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2019-1-E000682渤海银行-国瑞城\"/>
    </mc:Choice>
  </mc:AlternateContent>
  <bookViews>
    <workbookView xWindow="11628" yWindow="168" windowWidth="11388" windowHeight="9468" tabRatio="899" firstSheet="9"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AY3" i="3" l="1"/>
  <c r="C31" i="77"/>
  <c r="C23" i="77"/>
  <c r="C17" i="77"/>
  <c r="C5" i="77"/>
  <c r="B5" i="77"/>
  <c r="B17" i="77"/>
  <c r="B23" i="77"/>
  <c r="B31" i="77"/>
  <c r="B34" i="77" s="1"/>
  <c r="B35" i="77" s="1"/>
  <c r="I13" i="3"/>
  <c r="C34" i="77" l="1"/>
  <c r="C35" i="77" s="1"/>
  <c r="W27" i="1"/>
  <c r="U27" i="1"/>
  <c r="E20" i="6"/>
  <c r="U20" i="1"/>
  <c r="N6" i="1"/>
  <c r="B21" i="1"/>
  <c r="B24" i="1" s="1"/>
  <c r="A7" i="1"/>
  <c r="K7" i="1"/>
  <c r="D3" i="35"/>
  <c r="U4" i="43"/>
  <c r="U3" i="43"/>
  <c r="U2" i="43"/>
  <c r="D39" i="43"/>
  <c r="D34" i="43"/>
  <c r="D33" i="43"/>
  <c r="Y7" i="1"/>
  <c r="Y6" i="1"/>
  <c r="D3" i="4"/>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P5" i="71"/>
  <c r="P6" i="71"/>
  <c r="P7" i="71"/>
  <c r="P8" i="71"/>
  <c r="P9" i="71"/>
  <c r="AA9" i="71" s="1"/>
  <c r="P10" i="71"/>
  <c r="P11" i="71"/>
  <c r="E11" i="71" s="1"/>
  <c r="E10" i="71" s="1"/>
  <c r="E9" i="71" s="1"/>
  <c r="E8" i="71" s="1"/>
  <c r="E7" i="71" s="1"/>
  <c r="E6" i="71" s="1"/>
  <c r="E5" i="71" s="1"/>
  <c r="P12" i="71"/>
  <c r="P13" i="71"/>
  <c r="P14" i="71"/>
  <c r="P15" i="71"/>
  <c r="P16" i="71"/>
  <c r="P17" i="71"/>
  <c r="P18" i="71"/>
  <c r="P19" i="71"/>
  <c r="P20" i="71"/>
  <c r="P21" i="71"/>
  <c r="P22" i="71"/>
  <c r="P23" i="71"/>
  <c r="P24" i="71"/>
  <c r="P25" i="71"/>
  <c r="P26" i="71"/>
  <c r="P27" i="71"/>
  <c r="O5" i="71"/>
  <c r="O6" i="71"/>
  <c r="O7" i="71"/>
  <c r="O8" i="71"/>
  <c r="O9" i="71"/>
  <c r="O10" i="71"/>
  <c r="O11" i="71"/>
  <c r="O12" i="71"/>
  <c r="O13" i="71"/>
  <c r="O14" i="71"/>
  <c r="O15" i="71"/>
  <c r="O16" i="71"/>
  <c r="O17" i="71"/>
  <c r="O18" i="71"/>
  <c r="O19" i="71"/>
  <c r="O20" i="71"/>
  <c r="O21" i="71"/>
  <c r="O22" i="71"/>
  <c r="O23" i="71"/>
  <c r="O24" i="71"/>
  <c r="O25" i="71"/>
  <c r="O26" i="71"/>
  <c r="O27" i="71"/>
  <c r="N5" i="71"/>
  <c r="N6" i="71"/>
  <c r="X6" i="71" s="1"/>
  <c r="N7" i="71"/>
  <c r="N8" i="71"/>
  <c r="N9" i="71"/>
  <c r="N10" i="71"/>
  <c r="N11" i="71"/>
  <c r="N12" i="71"/>
  <c r="N13" i="71"/>
  <c r="N14" i="71"/>
  <c r="N15" i="71"/>
  <c r="N16" i="71"/>
  <c r="N17" i="71"/>
  <c r="N18" i="71"/>
  <c r="N19" i="71"/>
  <c r="N20" i="71"/>
  <c r="N21" i="71"/>
  <c r="N22" i="71"/>
  <c r="N23" i="71"/>
  <c r="N24" i="71"/>
  <c r="N25" i="71"/>
  <c r="N26" i="71"/>
  <c r="N27" i="71"/>
  <c r="X5" i="71"/>
  <c r="F12" i="71"/>
  <c r="F11" i="71"/>
  <c r="F10" i="71" s="1"/>
  <c r="F9" i="71" s="1"/>
  <c r="F8" i="71" s="1"/>
  <c r="F7" i="71" s="1"/>
  <c r="F6" i="71" s="1"/>
  <c r="F5" i="71" s="1"/>
  <c r="E12" i="71"/>
  <c r="C12" i="71"/>
  <c r="C11" i="71"/>
  <c r="C10" i="71" s="1"/>
  <c r="C9" i="71" s="1"/>
  <c r="C8" i="71" s="1"/>
  <c r="C7" i="71" s="1"/>
  <c r="C6" i="71" s="1"/>
  <c r="C5" i="71" s="1"/>
  <c r="D5" i="71" s="1"/>
  <c r="B12" i="71"/>
  <c r="B11" i="71" s="1"/>
  <c r="B10" i="71" s="1"/>
  <c r="B9" i="71" s="1"/>
  <c r="B8" i="71" s="1"/>
  <c r="B7" i="71" s="1"/>
  <c r="B6" i="71" s="1"/>
  <c r="B5" i="71" s="1"/>
  <c r="A6" i="1"/>
  <c r="F7" i="1"/>
  <c r="M47" i="67"/>
  <c r="J50" i="67"/>
  <c r="J51" i="67"/>
  <c r="G1" i="15"/>
  <c r="M47" i="15"/>
  <c r="J50" i="15"/>
  <c r="AH6" i="71"/>
  <c r="AG6" i="71"/>
  <c r="AE6" i="71"/>
  <c r="AF6" i="71" s="1"/>
  <c r="AD6" i="71"/>
  <c r="F24" i="12"/>
  <c r="F7" i="69"/>
  <c r="F7" i="68"/>
  <c r="M15" i="45"/>
  <c r="L15" i="45"/>
  <c r="K15" i="45"/>
  <c r="J15" i="45"/>
  <c r="I15" i="45"/>
  <c r="H15" i="45"/>
  <c r="G15" i="45"/>
  <c r="F15" i="45"/>
  <c r="E15" i="45"/>
  <c r="D15" i="45"/>
  <c r="C15" i="45"/>
  <c r="B15" i="45"/>
  <c r="AH7" i="71"/>
  <c r="AG7" i="71"/>
  <c r="AE7" i="71"/>
  <c r="AF7" i="71" s="1"/>
  <c r="AD7" i="71"/>
  <c r="AA6" i="71"/>
  <c r="AD8" i="71"/>
  <c r="AH8" i="71"/>
  <c r="AG8" i="71"/>
  <c r="AE8" i="71"/>
  <c r="AF8" i="71" s="1"/>
  <c r="L3" i="71"/>
  <c r="AH3" i="71" s="1"/>
  <c r="K3" i="71"/>
  <c r="AG3" i="71" s="1"/>
  <c r="J3" i="71"/>
  <c r="AE3" i="71" s="1"/>
  <c r="I3" i="71"/>
  <c r="AH9" i="71"/>
  <c r="AG9" i="71"/>
  <c r="AE9" i="71"/>
  <c r="AF9" i="71"/>
  <c r="AD9" i="71"/>
  <c r="AH10" i="71"/>
  <c r="AG10" i="71"/>
  <c r="AE10" i="71"/>
  <c r="AF10" i="71" s="1"/>
  <c r="AD10" i="71"/>
  <c r="AA10" i="71"/>
  <c r="D13" i="71"/>
  <c r="AH11" i="71"/>
  <c r="AG11" i="71"/>
  <c r="AE11" i="71"/>
  <c r="AF11" i="71"/>
  <c r="AD11" i="71"/>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L73" i="3" s="1"/>
  <c r="AZ73" i="3" s="1"/>
  <c r="BO73" i="3"/>
  <c r="BP73" i="3"/>
  <c r="BQ73" i="3"/>
  <c r="BR73" i="3"/>
  <c r="BS73" i="3"/>
  <c r="BT73" i="3"/>
  <c r="BB74" i="3"/>
  <c r="BC74" i="3"/>
  <c r="BA74" i="3" s="1"/>
  <c r="AZ74" i="3" s="1"/>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L75" i="3" s="1"/>
  <c r="AZ75" i="3" s="1"/>
  <c r="BO75" i="3"/>
  <c r="BP75" i="3"/>
  <c r="BQ75" i="3"/>
  <c r="BR75" i="3"/>
  <c r="BS75" i="3"/>
  <c r="BT75" i="3"/>
  <c r="BB76" i="3"/>
  <c r="BC76" i="3"/>
  <c r="BA76" i="3" s="1"/>
  <c r="AZ76" i="3" s="1"/>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L77" i="3" s="1"/>
  <c r="AZ77" i="3" s="1"/>
  <c r="BO77" i="3"/>
  <c r="BP77" i="3"/>
  <c r="BQ77" i="3"/>
  <c r="BR77" i="3"/>
  <c r="BS77" i="3"/>
  <c r="BT77" i="3"/>
  <c r="BB78" i="3"/>
  <c r="BC78" i="3"/>
  <c r="BA78" i="3" s="1"/>
  <c r="AZ78" i="3" s="1"/>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L79" i="3" s="1"/>
  <c r="AZ79" i="3" s="1"/>
  <c r="BO79" i="3"/>
  <c r="BP79" i="3"/>
  <c r="BQ79" i="3"/>
  <c r="BR79" i="3"/>
  <c r="BS79" i="3"/>
  <c r="BT79" i="3"/>
  <c r="BB80" i="3"/>
  <c r="BC80" i="3"/>
  <c r="BA80" i="3" s="1"/>
  <c r="AZ80" i="3" s="1"/>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L81" i="3" s="1"/>
  <c r="AZ81" i="3" s="1"/>
  <c r="BO81" i="3"/>
  <c r="BP81" i="3"/>
  <c r="BQ81" i="3"/>
  <c r="BR81" i="3"/>
  <c r="BS81" i="3"/>
  <c r="BT81" i="3"/>
  <c r="BB82" i="3"/>
  <c r="BC82" i="3"/>
  <c r="BA82" i="3" s="1"/>
  <c r="AZ82" i="3" s="1"/>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L83" i="3" s="1"/>
  <c r="AZ83" i="3" s="1"/>
  <c r="BO83" i="3"/>
  <c r="BP83" i="3"/>
  <c r="BQ83" i="3"/>
  <c r="BR83" i="3"/>
  <c r="BS83" i="3"/>
  <c r="BT83" i="3"/>
  <c r="BB84" i="3"/>
  <c r="BC84" i="3"/>
  <c r="BA84" i="3" s="1"/>
  <c r="AZ84" i="3" s="1"/>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L85" i="3" s="1"/>
  <c r="AZ85" i="3" s="1"/>
  <c r="BO85" i="3"/>
  <c r="BP85" i="3"/>
  <c r="BQ85" i="3"/>
  <c r="BR85" i="3"/>
  <c r="BS85" i="3"/>
  <c r="BT85" i="3"/>
  <c r="BB86" i="3"/>
  <c r="BC86" i="3"/>
  <c r="BA86" i="3" s="1"/>
  <c r="AZ86" i="3" s="1"/>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L87" i="3" s="1"/>
  <c r="AZ87" i="3" s="1"/>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L148" i="3"/>
  <c r="BB149" i="3"/>
  <c r="BC149" i="3"/>
  <c r="BD149" i="3"/>
  <c r="BE149" i="3"/>
  <c r="BF149" i="3"/>
  <c r="BG149" i="3"/>
  <c r="BH149" i="3"/>
  <c r="BI149" i="3"/>
  <c r="BJ149" i="3"/>
  <c r="BK149" i="3"/>
  <c r="BA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L150" i="3"/>
  <c r="BB151" i="3"/>
  <c r="BC151" i="3"/>
  <c r="BD151" i="3"/>
  <c r="BE151" i="3"/>
  <c r="BF151" i="3"/>
  <c r="BG151" i="3"/>
  <c r="BH151" i="3"/>
  <c r="BI151" i="3"/>
  <c r="BJ151" i="3"/>
  <c r="BK151" i="3"/>
  <c r="BA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D153" i="3"/>
  <c r="BE153" i="3"/>
  <c r="BF153" i="3"/>
  <c r="BG153" i="3"/>
  <c r="BH153" i="3"/>
  <c r="BI153" i="3"/>
  <c r="BJ153" i="3"/>
  <c r="BK153" i="3"/>
  <c r="BA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O215" i="3"/>
  <c r="BP215" i="3"/>
  <c r="BQ215" i="3"/>
  <c r="BR215" i="3"/>
  <c r="BS215" i="3"/>
  <c r="BT215" i="3"/>
  <c r="BL215" i="3"/>
  <c r="AZ215" i="3" s="1"/>
  <c r="BB216" i="3"/>
  <c r="BC216" i="3"/>
  <c r="BD216" i="3"/>
  <c r="BE216" i="3"/>
  <c r="BF216" i="3"/>
  <c r="BG216" i="3"/>
  <c r="BH216" i="3"/>
  <c r="BI216" i="3"/>
  <c r="BJ216" i="3"/>
  <c r="BK216" i="3"/>
  <c r="BA216" i="3"/>
  <c r="BM216" i="3"/>
  <c r="BN216" i="3"/>
  <c r="BL216" i="3" s="1"/>
  <c r="AZ216" i="3" s="1"/>
  <c r="BO216" i="3"/>
  <c r="BP216" i="3"/>
  <c r="BQ216" i="3"/>
  <c r="BR216" i="3"/>
  <c r="BS216" i="3"/>
  <c r="BT216" i="3"/>
  <c r="BB217" i="3"/>
  <c r="BC217" i="3"/>
  <c r="BA217" i="3" s="1"/>
  <c r="AZ217" i="3" s="1"/>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s="1"/>
  <c r="AZ218" i="3" s="1"/>
  <c r="BO218" i="3"/>
  <c r="BP218" i="3"/>
  <c r="BQ218" i="3"/>
  <c r="BR218" i="3"/>
  <c r="BS218" i="3"/>
  <c r="BT218" i="3"/>
  <c r="BB219" i="3"/>
  <c r="BC219" i="3"/>
  <c r="BA219" i="3" s="1"/>
  <c r="AZ219" i="3" s="1"/>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s="1"/>
  <c r="AZ220" i="3" s="1"/>
  <c r="BO220" i="3"/>
  <c r="BP220" i="3"/>
  <c r="BQ220" i="3"/>
  <c r="BR220" i="3"/>
  <c r="BS220" i="3"/>
  <c r="BT220" i="3"/>
  <c r="BB221" i="3"/>
  <c r="BC221" i="3"/>
  <c r="BA221" i="3" s="1"/>
  <c r="AZ221" i="3" s="1"/>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s="1"/>
  <c r="AZ222" i="3" s="1"/>
  <c r="BO222" i="3"/>
  <c r="BP222" i="3"/>
  <c r="BQ222" i="3"/>
  <c r="BR222" i="3"/>
  <c r="BS222" i="3"/>
  <c r="BT222" i="3"/>
  <c r="BB223" i="3"/>
  <c r="BC223" i="3"/>
  <c r="BA223" i="3" s="1"/>
  <c r="AZ223" i="3" s="1"/>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L224" i="3" s="1"/>
  <c r="AZ224" i="3" s="1"/>
  <c r="BO224" i="3"/>
  <c r="BP224" i="3"/>
  <c r="BQ224" i="3"/>
  <c r="BR224" i="3"/>
  <c r="BS224" i="3"/>
  <c r="BT224" i="3"/>
  <c r="BB225" i="3"/>
  <c r="BC225" i="3"/>
  <c r="BA225" i="3" s="1"/>
  <c r="AZ225" i="3" s="1"/>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L226" i="3" s="1"/>
  <c r="AZ226" i="3" s="1"/>
  <c r="BO226" i="3"/>
  <c r="BP226" i="3"/>
  <c r="BQ226" i="3"/>
  <c r="BR226" i="3"/>
  <c r="BS226" i="3"/>
  <c r="BT226" i="3"/>
  <c r="BB227" i="3"/>
  <c r="BC227" i="3"/>
  <c r="BA227" i="3" s="1"/>
  <c r="AZ227" i="3" s="1"/>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L228" i="3" s="1"/>
  <c r="AZ228" i="3" s="1"/>
  <c r="BO228" i="3"/>
  <c r="BP228" i="3"/>
  <c r="BQ228" i="3"/>
  <c r="BR228" i="3"/>
  <c r="BS228" i="3"/>
  <c r="BT228" i="3"/>
  <c r="BB229" i="3"/>
  <c r="BC229" i="3"/>
  <c r="BA229" i="3" s="1"/>
  <c r="AZ229" i="3" s="1"/>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L230" i="3" s="1"/>
  <c r="AZ230" i="3" s="1"/>
  <c r="BO230" i="3"/>
  <c r="BP230" i="3"/>
  <c r="BQ230" i="3"/>
  <c r="BR230" i="3"/>
  <c r="BS230" i="3"/>
  <c r="BT230" i="3"/>
  <c r="BB231" i="3"/>
  <c r="BC231" i="3"/>
  <c r="BA231" i="3" s="1"/>
  <c r="AZ231" i="3" s="1"/>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L232" i="3" s="1"/>
  <c r="AZ232" i="3" s="1"/>
  <c r="BO232" i="3"/>
  <c r="BP232" i="3"/>
  <c r="BQ232" i="3"/>
  <c r="BR232" i="3"/>
  <c r="BS232" i="3"/>
  <c r="BT232" i="3"/>
  <c r="BB233" i="3"/>
  <c r="BC233" i="3"/>
  <c r="BA233" i="3" s="1"/>
  <c r="AZ233" i="3" s="1"/>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L234" i="3" s="1"/>
  <c r="AZ234" i="3" s="1"/>
  <c r="BO234" i="3"/>
  <c r="BP234" i="3"/>
  <c r="BQ234" i="3"/>
  <c r="BR234" i="3"/>
  <c r="BS234" i="3"/>
  <c r="BT234" i="3"/>
  <c r="BB235" i="3"/>
  <c r="BC235" i="3"/>
  <c r="BA235" i="3" s="1"/>
  <c r="AZ235" i="3" s="1"/>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L236" i="3" s="1"/>
  <c r="AZ236" i="3" s="1"/>
  <c r="BO236" i="3"/>
  <c r="BP236" i="3"/>
  <c r="BQ236" i="3"/>
  <c r="BR236" i="3"/>
  <c r="BS236" i="3"/>
  <c r="BT236" i="3"/>
  <c r="BB237" i="3"/>
  <c r="BC237" i="3"/>
  <c r="BA237" i="3" s="1"/>
  <c r="AZ237" i="3" s="1"/>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L238" i="3" s="1"/>
  <c r="AZ238" i="3" s="1"/>
  <c r="BO238" i="3"/>
  <c r="BP238" i="3"/>
  <c r="BQ238" i="3"/>
  <c r="BR238" i="3"/>
  <c r="BS238" i="3"/>
  <c r="BT238" i="3"/>
  <c r="BB239" i="3"/>
  <c r="BC239" i="3"/>
  <c r="BA239" i="3" s="1"/>
  <c r="AZ239" i="3" s="1"/>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L240" i="3" s="1"/>
  <c r="AZ240" i="3" s="1"/>
  <c r="BO240" i="3"/>
  <c r="BP240" i="3"/>
  <c r="BQ240" i="3"/>
  <c r="BR240" i="3"/>
  <c r="BS240" i="3"/>
  <c r="BT240" i="3"/>
  <c r="BB241" i="3"/>
  <c r="BC241" i="3"/>
  <c r="BA241" i="3" s="1"/>
  <c r="AZ241" i="3" s="1"/>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A243" i="3" s="1"/>
  <c r="AZ243" i="3" s="1"/>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A245" i="3" s="1"/>
  <c r="AZ245" i="3" s="1"/>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A247" i="3" s="1"/>
  <c r="AZ247" i="3" s="1"/>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L265" i="3" s="1"/>
  <c r="BO265" i="3"/>
  <c r="BP265" i="3"/>
  <c r="BQ265" i="3"/>
  <c r="BR265" i="3"/>
  <c r="BS265" i="3"/>
  <c r="BT265" i="3"/>
  <c r="BB266" i="3"/>
  <c r="BC266" i="3"/>
  <c r="BA266" i="3" s="1"/>
  <c r="AZ266" i="3" s="1"/>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L267" i="3" s="1"/>
  <c r="AZ267" i="3" s="1"/>
  <c r="BO267" i="3"/>
  <c r="BP267" i="3"/>
  <c r="BQ267" i="3"/>
  <c r="BR267" i="3"/>
  <c r="BS267" i="3"/>
  <c r="BT267" i="3"/>
  <c r="BB268" i="3"/>
  <c r="BC268" i="3"/>
  <c r="BA268" i="3" s="1"/>
  <c r="AZ268" i="3" s="1"/>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AZ270" i="3" s="1"/>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L271" i="3" s="1"/>
  <c r="AZ271" i="3" s="1"/>
  <c r="BO271" i="3"/>
  <c r="BP271" i="3"/>
  <c r="BQ271" i="3"/>
  <c r="BR271" i="3"/>
  <c r="BS271" i="3"/>
  <c r="BT271" i="3"/>
  <c r="BB272" i="3"/>
  <c r="BC272" i="3"/>
  <c r="BA272" i="3" s="1"/>
  <c r="AZ272" i="3" s="1"/>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A274" i="3" s="1"/>
  <c r="AZ274" i="3" s="1"/>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A276" i="3" s="1"/>
  <c r="AZ276" i="3" s="1"/>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A278" i="3" s="1"/>
  <c r="AZ278" i="3" s="1"/>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A280" i="3" s="1"/>
  <c r="AZ280" i="3" s="1"/>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L281" i="3" s="1"/>
  <c r="AZ281" i="3" s="1"/>
  <c r="BO281" i="3"/>
  <c r="BP281" i="3"/>
  <c r="BQ281" i="3"/>
  <c r="BR281" i="3"/>
  <c r="BS281" i="3"/>
  <c r="BT281" i="3"/>
  <c r="BB282" i="3"/>
  <c r="BC282" i="3"/>
  <c r="BA282" i="3" s="1"/>
  <c r="AZ282" i="3" s="1"/>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L283" i="3" s="1"/>
  <c r="AZ283" i="3" s="1"/>
  <c r="BO283" i="3"/>
  <c r="BP283" i="3"/>
  <c r="BQ283" i="3"/>
  <c r="BR283" i="3"/>
  <c r="BS283" i="3"/>
  <c r="BT283" i="3"/>
  <c r="BB284" i="3"/>
  <c r="BC284" i="3"/>
  <c r="BA284" i="3" s="1"/>
  <c r="AZ284" i="3" s="1"/>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L285" i="3" s="1"/>
  <c r="AZ285" i="3" s="1"/>
  <c r="BO285" i="3"/>
  <c r="BP285" i="3"/>
  <c r="BQ285" i="3"/>
  <c r="BR285" i="3"/>
  <c r="BS285" i="3"/>
  <c r="BT285" i="3"/>
  <c r="BB286" i="3"/>
  <c r="BC286" i="3"/>
  <c r="BA286" i="3" s="1"/>
  <c r="AZ286" i="3" s="1"/>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L287" i="3" s="1"/>
  <c r="AZ287" i="3" s="1"/>
  <c r="BO287" i="3"/>
  <c r="BP287" i="3"/>
  <c r="BQ287" i="3"/>
  <c r="BR287" i="3"/>
  <c r="BS287" i="3"/>
  <c r="BT287" i="3"/>
  <c r="BB288" i="3"/>
  <c r="BC288" i="3"/>
  <c r="BA288" i="3" s="1"/>
  <c r="AZ288" i="3" s="1"/>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A290" i="3" s="1"/>
  <c r="AZ290" i="3" s="1"/>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L291" i="3" s="1"/>
  <c r="AZ291" i="3" s="1"/>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L293" i="3" s="1"/>
  <c r="AZ293" i="3" s="1"/>
  <c r="BO293" i="3"/>
  <c r="BP293" i="3"/>
  <c r="BQ293" i="3"/>
  <c r="BR293" i="3"/>
  <c r="BS293" i="3"/>
  <c r="BT293" i="3"/>
  <c r="BB294" i="3"/>
  <c r="BC294" i="3"/>
  <c r="BA294" i="3" s="1"/>
  <c r="AZ294" i="3" s="1"/>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A296" i="3" s="1"/>
  <c r="AZ296" i="3" s="1"/>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A298" i="3" s="1"/>
  <c r="AZ298" i="3" s="1"/>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A300" i="3" s="1"/>
  <c r="AZ300" i="3" s="1"/>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BD320" i="3"/>
  <c r="BE320" i="3"/>
  <c r="BF320" i="3"/>
  <c r="BG320" i="3"/>
  <c r="BH320" i="3"/>
  <c r="BI320" i="3"/>
  <c r="BJ320" i="3"/>
  <c r="BK320" i="3"/>
  <c r="BM320" i="3"/>
  <c r="BN320" i="3"/>
  <c r="BL320" i="3" s="1"/>
  <c r="BO320" i="3"/>
  <c r="BP320" i="3"/>
  <c r="BQ320" i="3"/>
  <c r="BR320" i="3"/>
  <c r="BS320" i="3"/>
  <c r="BT320" i="3"/>
  <c r="BB321" i="3"/>
  <c r="BC321" i="3"/>
  <c r="BA321" i="3" s="1"/>
  <c r="AZ321" i="3" s="1"/>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L322" i="3" s="1"/>
  <c r="AZ322" i="3" s="1"/>
  <c r="BO322" i="3"/>
  <c r="BP322" i="3"/>
  <c r="BQ322" i="3"/>
  <c r="BR322" i="3"/>
  <c r="BS322" i="3"/>
  <c r="BT322" i="3"/>
  <c r="BB323" i="3"/>
  <c r="BC323" i="3"/>
  <c r="BA323" i="3" s="1"/>
  <c r="AZ323" i="3" s="1"/>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L324" i="3" s="1"/>
  <c r="AZ324" i="3" s="1"/>
  <c r="BO324" i="3"/>
  <c r="BP324" i="3"/>
  <c r="BQ324" i="3"/>
  <c r="BR324" i="3"/>
  <c r="BS324" i="3"/>
  <c r="BT324" i="3"/>
  <c r="BB325" i="3"/>
  <c r="BC325" i="3"/>
  <c r="BA325" i="3" s="1"/>
  <c r="AZ325" i="3" s="1"/>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L326" i="3" s="1"/>
  <c r="AZ326" i="3" s="1"/>
  <c r="BO326" i="3"/>
  <c r="BP326" i="3"/>
  <c r="BQ326" i="3"/>
  <c r="BR326" i="3"/>
  <c r="BS326" i="3"/>
  <c r="BT326" i="3"/>
  <c r="BB327" i="3"/>
  <c r="BC327" i="3"/>
  <c r="BA327" i="3" s="1"/>
  <c r="AZ327" i="3" s="1"/>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L328" i="3" s="1"/>
  <c r="AZ328" i="3" s="1"/>
  <c r="BO328" i="3"/>
  <c r="BP328" i="3"/>
  <c r="BQ328" i="3"/>
  <c r="BR328" i="3"/>
  <c r="BS328" i="3"/>
  <c r="BT328" i="3"/>
  <c r="BB329" i="3"/>
  <c r="BC329" i="3"/>
  <c r="BA329" i="3" s="1"/>
  <c r="AZ329" i="3" s="1"/>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L330" i="3" s="1"/>
  <c r="AZ330" i="3" s="1"/>
  <c r="BO330" i="3"/>
  <c r="BP330" i="3"/>
  <c r="BQ330" i="3"/>
  <c r="BR330" i="3"/>
  <c r="BS330" i="3"/>
  <c r="BT330" i="3"/>
  <c r="BB331" i="3"/>
  <c r="BC331" i="3"/>
  <c r="BA331" i="3" s="1"/>
  <c r="AZ331" i="3" s="1"/>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L332" i="3" s="1"/>
  <c r="AZ332" i="3" s="1"/>
  <c r="BO332" i="3"/>
  <c r="BP332" i="3"/>
  <c r="BQ332" i="3"/>
  <c r="BR332" i="3"/>
  <c r="BS332" i="3"/>
  <c r="BT332" i="3"/>
  <c r="BB333" i="3"/>
  <c r="BC333" i="3"/>
  <c r="BA333" i="3" s="1"/>
  <c r="AZ333" i="3" s="1"/>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L334" i="3" s="1"/>
  <c r="AZ334" i="3" s="1"/>
  <c r="BO334" i="3"/>
  <c r="BP334" i="3"/>
  <c r="BQ334" i="3"/>
  <c r="BR334" i="3"/>
  <c r="BS334" i="3"/>
  <c r="BT334" i="3"/>
  <c r="BB335" i="3"/>
  <c r="BC335" i="3"/>
  <c r="BA335" i="3" s="1"/>
  <c r="AZ335" i="3" s="1"/>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L336" i="3" s="1"/>
  <c r="AZ336" i="3" s="1"/>
  <c r="BO336" i="3"/>
  <c r="BP336" i="3"/>
  <c r="BQ336" i="3"/>
  <c r="BR336" i="3"/>
  <c r="BS336" i="3"/>
  <c r="BT336" i="3"/>
  <c r="BB337" i="3"/>
  <c r="BC337" i="3"/>
  <c r="BA337" i="3" s="1"/>
  <c r="AZ337" i="3" s="1"/>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L338" i="3" s="1"/>
  <c r="AZ338" i="3" s="1"/>
  <c r="BO338" i="3"/>
  <c r="BP338" i="3"/>
  <c r="BQ338" i="3"/>
  <c r="BR338" i="3"/>
  <c r="BS338" i="3"/>
  <c r="BT338" i="3"/>
  <c r="BB339" i="3"/>
  <c r="BC339" i="3"/>
  <c r="BA339" i="3" s="1"/>
  <c r="AZ339" i="3" s="1"/>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L340" i="3" s="1"/>
  <c r="AZ340" i="3" s="1"/>
  <c r="BO340" i="3"/>
  <c r="BP340" i="3"/>
  <c r="BQ340" i="3"/>
  <c r="BR340" i="3"/>
  <c r="BS340" i="3"/>
  <c r="BT340" i="3"/>
  <c r="BB341" i="3"/>
  <c r="BC341" i="3"/>
  <c r="BA341" i="3" s="1"/>
  <c r="AZ341" i="3" s="1"/>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L342" i="3" s="1"/>
  <c r="AZ342" i="3" s="1"/>
  <c r="BO342" i="3"/>
  <c r="BP342" i="3"/>
  <c r="BQ342" i="3"/>
  <c r="BR342" i="3"/>
  <c r="BS342" i="3"/>
  <c r="BT342" i="3"/>
  <c r="BB343" i="3"/>
  <c r="BC343" i="3"/>
  <c r="BA343" i="3" s="1"/>
  <c r="AZ343" i="3" s="1"/>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L344" i="3" s="1"/>
  <c r="AZ344" i="3" s="1"/>
  <c r="BO344" i="3"/>
  <c r="BP344" i="3"/>
  <c r="BQ344" i="3"/>
  <c r="BR344" i="3"/>
  <c r="BS344" i="3"/>
  <c r="BT344" i="3"/>
  <c r="BB345" i="3"/>
  <c r="BC345" i="3"/>
  <c r="BA345" i="3" s="1"/>
  <c r="AZ345" i="3" s="1"/>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L346" i="3" s="1"/>
  <c r="AZ346" i="3" s="1"/>
  <c r="BO346" i="3"/>
  <c r="BP346" i="3"/>
  <c r="BQ346" i="3"/>
  <c r="BR346" i="3"/>
  <c r="BS346" i="3"/>
  <c r="BT346" i="3"/>
  <c r="BB347" i="3"/>
  <c r="BC347" i="3"/>
  <c r="BA347" i="3" s="1"/>
  <c r="AZ347" i="3" s="1"/>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L348" i="3" s="1"/>
  <c r="AZ348" i="3" s="1"/>
  <c r="BO348" i="3"/>
  <c r="BP348" i="3"/>
  <c r="BQ348" i="3"/>
  <c r="BR348" i="3"/>
  <c r="BS348" i="3"/>
  <c r="BT348" i="3"/>
  <c r="BB349" i="3"/>
  <c r="BC349" i="3"/>
  <c r="BA349" i="3" s="1"/>
  <c r="AZ349" i="3" s="1"/>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L350" i="3" s="1"/>
  <c r="AZ350" i="3" s="1"/>
  <c r="BO350" i="3"/>
  <c r="BP350" i="3"/>
  <c r="BQ350" i="3"/>
  <c r="BR350" i="3"/>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L352" i="3" s="1"/>
  <c r="AZ352" i="3" s="1"/>
  <c r="BO352" i="3"/>
  <c r="BP352" i="3"/>
  <c r="BQ352" i="3"/>
  <c r="BR352" i="3"/>
  <c r="BS352" i="3"/>
  <c r="BT352" i="3"/>
  <c r="BB353" i="3"/>
  <c r="BC353" i="3"/>
  <c r="BA353" i="3" s="1"/>
  <c r="AZ353" i="3" s="1"/>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L354" i="3" s="1"/>
  <c r="AZ354" i="3" s="1"/>
  <c r="BO354" i="3"/>
  <c r="BP354" i="3"/>
  <c r="BQ354" i="3"/>
  <c r="BR354" i="3"/>
  <c r="BS354" i="3"/>
  <c r="BT354" i="3"/>
  <c r="BB355" i="3"/>
  <c r="BC355" i="3"/>
  <c r="BA355" i="3" s="1"/>
  <c r="AZ355" i="3" s="1"/>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L356" i="3" s="1"/>
  <c r="AZ356" i="3" s="1"/>
  <c r="BO356" i="3"/>
  <c r="BP356" i="3"/>
  <c r="BQ356" i="3"/>
  <c r="BR356" i="3"/>
  <c r="BS356" i="3"/>
  <c r="BT356" i="3"/>
  <c r="BB357" i="3"/>
  <c r="BC357" i="3"/>
  <c r="BA357" i="3" s="1"/>
  <c r="AZ357" i="3" s="1"/>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L358" i="3" s="1"/>
  <c r="AZ358" i="3" s="1"/>
  <c r="BO358" i="3"/>
  <c r="BP358" i="3"/>
  <c r="BQ358" i="3"/>
  <c r="BR358" i="3"/>
  <c r="BS358" i="3"/>
  <c r="BT358" i="3"/>
  <c r="BB359" i="3"/>
  <c r="BC359" i="3"/>
  <c r="BA359" i="3" s="1"/>
  <c r="AZ359" i="3" s="1"/>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s="1"/>
  <c r="AZ360" i="3" s="1"/>
  <c r="BO360" i="3"/>
  <c r="BP360" i="3"/>
  <c r="BQ360" i="3"/>
  <c r="BR360" i="3"/>
  <c r="BS360" i="3"/>
  <c r="BT360" i="3"/>
  <c r="BB361" i="3"/>
  <c r="BC361" i="3"/>
  <c r="BA361" i="3" s="1"/>
  <c r="AZ361" i="3" s="1"/>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s="1"/>
  <c r="AZ362" i="3" s="1"/>
  <c r="BO362" i="3"/>
  <c r="BP362" i="3"/>
  <c r="BQ362" i="3"/>
  <c r="BR362" i="3"/>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s="1"/>
  <c r="AZ364" i="3" s="1"/>
  <c r="BO364" i="3"/>
  <c r="BP364" i="3"/>
  <c r="BQ364" i="3"/>
  <c r="BR364" i="3"/>
  <c r="BS364" i="3"/>
  <c r="BT364" i="3"/>
  <c r="BB365" i="3"/>
  <c r="BC365" i="3"/>
  <c r="BA365" i="3" s="1"/>
  <c r="AZ365" i="3" s="1"/>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s="1"/>
  <c r="AZ366" i="3" s="1"/>
  <c r="BO366" i="3"/>
  <c r="BP366" i="3"/>
  <c r="BQ366" i="3"/>
  <c r="BR366" i="3"/>
  <c r="BS366" i="3"/>
  <c r="BT366" i="3"/>
  <c r="BB367" i="3"/>
  <c r="BC367" i="3"/>
  <c r="BA367" i="3" s="1"/>
  <c r="AZ367" i="3" s="1"/>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s="1"/>
  <c r="AZ368" i="3" s="1"/>
  <c r="BO368" i="3"/>
  <c r="BP368" i="3"/>
  <c r="BQ368" i="3"/>
  <c r="BR368" i="3"/>
  <c r="BS368" i="3"/>
  <c r="BT368" i="3"/>
  <c r="BB369" i="3"/>
  <c r="BC369" i="3"/>
  <c r="BA369" i="3" s="1"/>
  <c r="AZ369" i="3" s="1"/>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s="1"/>
  <c r="AZ370" i="3" s="1"/>
  <c r="BO370" i="3"/>
  <c r="BP370" i="3"/>
  <c r="BQ370" i="3"/>
  <c r="BR370" i="3"/>
  <c r="BS370" i="3"/>
  <c r="BT370" i="3"/>
  <c r="BB371" i="3"/>
  <c r="BC371" i="3"/>
  <c r="BA371" i="3" s="1"/>
  <c r="AZ371" i="3" s="1"/>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s="1"/>
  <c r="AZ372" i="3" s="1"/>
  <c r="BO372" i="3"/>
  <c r="BP372" i="3"/>
  <c r="BQ372" i="3"/>
  <c r="BR372" i="3"/>
  <c r="BS372" i="3"/>
  <c r="BT372" i="3"/>
  <c r="BB373" i="3"/>
  <c r="BC373" i="3"/>
  <c r="BA373" i="3" s="1"/>
  <c r="AZ373" i="3" s="1"/>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s="1"/>
  <c r="AZ374" i="3" s="1"/>
  <c r="BO374" i="3"/>
  <c r="BP374" i="3"/>
  <c r="BQ374" i="3"/>
  <c r="BR374" i="3"/>
  <c r="BS374" i="3"/>
  <c r="BT374" i="3"/>
  <c r="BB375" i="3"/>
  <c r="BC375" i="3"/>
  <c r="BA375" i="3" s="1"/>
  <c r="AZ375" i="3" s="1"/>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s="1"/>
  <c r="AZ376" i="3" s="1"/>
  <c r="BO376" i="3"/>
  <c r="BP376" i="3"/>
  <c r="BQ376" i="3"/>
  <c r="BR376" i="3"/>
  <c r="BS376" i="3"/>
  <c r="BT376" i="3"/>
  <c r="BB377" i="3"/>
  <c r="BC377" i="3"/>
  <c r="BA377" i="3" s="1"/>
  <c r="AZ377" i="3" s="1"/>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s="1"/>
  <c r="AZ378" i="3" s="1"/>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s="1"/>
  <c r="AZ380" i="3" s="1"/>
  <c r="BO380" i="3"/>
  <c r="BP380" i="3"/>
  <c r="BQ380" i="3"/>
  <c r="BR380" i="3"/>
  <c r="BS380" i="3"/>
  <c r="BT380" i="3"/>
  <c r="BB381" i="3"/>
  <c r="BC381" i="3"/>
  <c r="BA381" i="3" s="1"/>
  <c r="AZ381" i="3" s="1"/>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s="1"/>
  <c r="AZ382" i="3" s="1"/>
  <c r="BO382" i="3"/>
  <c r="BP382" i="3"/>
  <c r="BQ382" i="3"/>
  <c r="BR382" i="3"/>
  <c r="BS382" i="3"/>
  <c r="BT382" i="3"/>
  <c r="BB383" i="3"/>
  <c r="BC383" i="3"/>
  <c r="BA383" i="3" s="1"/>
  <c r="AZ383" i="3" s="1"/>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L384" i="3" s="1"/>
  <c r="AZ384" i="3" s="1"/>
  <c r="BO384" i="3"/>
  <c r="BP384" i="3"/>
  <c r="BQ384" i="3"/>
  <c r="BR384" i="3"/>
  <c r="BS384" i="3"/>
  <c r="BT384" i="3"/>
  <c r="BB385" i="3"/>
  <c r="BC385" i="3"/>
  <c r="BA385" i="3" s="1"/>
  <c r="AZ385" i="3" s="1"/>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L386" i="3" s="1"/>
  <c r="AZ386" i="3" s="1"/>
  <c r="BO386" i="3"/>
  <c r="BP386" i="3"/>
  <c r="BQ386" i="3"/>
  <c r="BR386" i="3"/>
  <c r="BS386" i="3"/>
  <c r="BT386" i="3"/>
  <c r="BB387" i="3"/>
  <c r="BC387" i="3"/>
  <c r="BA387" i="3" s="1"/>
  <c r="AZ387" i="3" s="1"/>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L388" i="3" s="1"/>
  <c r="AZ388" i="3" s="1"/>
  <c r="BO388" i="3"/>
  <c r="BP388" i="3"/>
  <c r="BQ388" i="3"/>
  <c r="BR388" i="3"/>
  <c r="BS388" i="3"/>
  <c r="BT388" i="3"/>
  <c r="BB389" i="3"/>
  <c r="BC389" i="3"/>
  <c r="BA389" i="3" s="1"/>
  <c r="AZ389" i="3" s="1"/>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L390" i="3" s="1"/>
  <c r="AZ390" i="3" s="1"/>
  <c r="BO390" i="3"/>
  <c r="BP390" i="3"/>
  <c r="BQ390" i="3"/>
  <c r="BR390" i="3"/>
  <c r="BS390" i="3"/>
  <c r="BT390" i="3"/>
  <c r="BB391" i="3"/>
  <c r="BC391" i="3"/>
  <c r="BA391" i="3" s="1"/>
  <c r="AZ391" i="3" s="1"/>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L392" i="3" s="1"/>
  <c r="AZ392" i="3" s="1"/>
  <c r="BO392" i="3"/>
  <c r="BP392" i="3"/>
  <c r="BQ392" i="3"/>
  <c r="BR392" i="3"/>
  <c r="BS392" i="3"/>
  <c r="BT392" i="3"/>
  <c r="BB393" i="3"/>
  <c r="BC393" i="3"/>
  <c r="BA393" i="3" s="1"/>
  <c r="AZ393" i="3" s="1"/>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L394" i="3" s="1"/>
  <c r="AZ394" i="3" s="1"/>
  <c r="BO394" i="3"/>
  <c r="BP394" i="3"/>
  <c r="BQ394" i="3"/>
  <c r="BR394" i="3"/>
  <c r="BS394" i="3"/>
  <c r="BT394" i="3"/>
  <c r="BB395" i="3"/>
  <c r="BC395" i="3"/>
  <c r="BA395" i="3" s="1"/>
  <c r="AZ395" i="3" s="1"/>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L396" i="3" s="1"/>
  <c r="AZ396" i="3" s="1"/>
  <c r="BO396" i="3"/>
  <c r="BP396" i="3"/>
  <c r="BQ396" i="3"/>
  <c r="BR396" i="3"/>
  <c r="BS396" i="3"/>
  <c r="BT396" i="3"/>
  <c r="BB397" i="3"/>
  <c r="BC397" i="3"/>
  <c r="BA397" i="3" s="1"/>
  <c r="AZ397" i="3" s="1"/>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L398" i="3" s="1"/>
  <c r="AZ398" i="3" s="1"/>
  <c r="BO398" i="3"/>
  <c r="BP398" i="3"/>
  <c r="BQ398" i="3"/>
  <c r="BR398" i="3"/>
  <c r="BS398" i="3"/>
  <c r="BT398" i="3"/>
  <c r="BB399" i="3"/>
  <c r="BC399" i="3"/>
  <c r="BA399" i="3" s="1"/>
  <c r="AZ399" i="3" s="1"/>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L400" i="3" s="1"/>
  <c r="AZ400" i="3" s="1"/>
  <c r="BO400" i="3"/>
  <c r="BP400" i="3"/>
  <c r="BQ400" i="3"/>
  <c r="BR400" i="3"/>
  <c r="BS400" i="3"/>
  <c r="BT400" i="3"/>
  <c r="BB401" i="3"/>
  <c r="BC401" i="3"/>
  <c r="BA401" i="3" s="1"/>
  <c r="AZ401" i="3" s="1"/>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L402" i="3" s="1"/>
  <c r="AZ402" i="3" s="1"/>
  <c r="BO402" i="3"/>
  <c r="BP402" i="3"/>
  <c r="BQ402" i="3"/>
  <c r="BR402" i="3"/>
  <c r="BS402" i="3"/>
  <c r="BT402" i="3"/>
  <c r="BB403" i="3"/>
  <c r="BC403" i="3"/>
  <c r="BA403" i="3" s="1"/>
  <c r="AZ403" i="3" s="1"/>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L404" i="3" s="1"/>
  <c r="AZ404" i="3" s="1"/>
  <c r="BO404" i="3"/>
  <c r="BP404" i="3"/>
  <c r="BQ404" i="3"/>
  <c r="BR404" i="3"/>
  <c r="BS404" i="3"/>
  <c r="BT404" i="3"/>
  <c r="BB405" i="3"/>
  <c r="BC405" i="3"/>
  <c r="BA405" i="3" s="1"/>
  <c r="AZ405" i="3" s="1"/>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L406" i="3" s="1"/>
  <c r="AZ406" i="3" s="1"/>
  <c r="BO406" i="3"/>
  <c r="BP406" i="3"/>
  <c r="BQ406" i="3"/>
  <c r="BR406" i="3"/>
  <c r="BS406" i="3"/>
  <c r="BT406" i="3"/>
  <c r="BB407" i="3"/>
  <c r="BC407" i="3"/>
  <c r="BA407" i="3" s="1"/>
  <c r="AZ407" i="3" s="1"/>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L408" i="3" s="1"/>
  <c r="AZ408" i="3" s="1"/>
  <c r="BO408" i="3"/>
  <c r="BP408" i="3"/>
  <c r="BQ408" i="3"/>
  <c r="BR408" i="3"/>
  <c r="BS408" i="3"/>
  <c r="BT408" i="3"/>
  <c r="BB409" i="3"/>
  <c r="BC409" i="3"/>
  <c r="BA409" i="3" s="1"/>
  <c r="AZ409" i="3" s="1"/>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L410" i="3" s="1"/>
  <c r="AZ410" i="3" s="1"/>
  <c r="BO410" i="3"/>
  <c r="BP410" i="3"/>
  <c r="BQ410" i="3"/>
  <c r="BR410" i="3"/>
  <c r="BS410" i="3"/>
  <c r="BT410" i="3"/>
  <c r="BB411" i="3"/>
  <c r="BC411" i="3"/>
  <c r="BA411" i="3" s="1"/>
  <c r="AZ411" i="3" s="1"/>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L412" i="3" s="1"/>
  <c r="AZ412" i="3" s="1"/>
  <c r="BO412" i="3"/>
  <c r="BP412" i="3"/>
  <c r="BQ412" i="3"/>
  <c r="BR412" i="3"/>
  <c r="BS412" i="3"/>
  <c r="BT412" i="3"/>
  <c r="BB413" i="3"/>
  <c r="BC413" i="3"/>
  <c r="BA413" i="3" s="1"/>
  <c r="AZ413" i="3" s="1"/>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L414" i="3" s="1"/>
  <c r="AZ414" i="3" s="1"/>
  <c r="BO414" i="3"/>
  <c r="BP414" i="3"/>
  <c r="BQ414" i="3"/>
  <c r="BR414" i="3"/>
  <c r="BS414" i="3"/>
  <c r="BT414" i="3"/>
  <c r="BB415" i="3"/>
  <c r="BC415" i="3"/>
  <c r="BA415" i="3" s="1"/>
  <c r="AZ415" i="3" s="1"/>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L416" i="3" s="1"/>
  <c r="AZ416" i="3" s="1"/>
  <c r="BO416" i="3"/>
  <c r="BP416" i="3"/>
  <c r="BQ416" i="3"/>
  <c r="BR416" i="3"/>
  <c r="BS416" i="3"/>
  <c r="BT416" i="3"/>
  <c r="BB417" i="3"/>
  <c r="BC417" i="3"/>
  <c r="BA417" i="3" s="1"/>
  <c r="AZ417" i="3" s="1"/>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L418" i="3" s="1"/>
  <c r="AZ418" i="3" s="1"/>
  <c r="BO418" i="3"/>
  <c r="BP418" i="3"/>
  <c r="BQ418" i="3"/>
  <c r="BR418" i="3"/>
  <c r="BS418" i="3"/>
  <c r="BT418" i="3"/>
  <c r="BB419" i="3"/>
  <c r="BC419" i="3"/>
  <c r="BA419" i="3" s="1"/>
  <c r="AZ419" i="3" s="1"/>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L420" i="3" s="1"/>
  <c r="AZ420" i="3" s="1"/>
  <c r="BO420" i="3"/>
  <c r="BP420" i="3"/>
  <c r="BQ420" i="3"/>
  <c r="BR420" i="3"/>
  <c r="BS420" i="3"/>
  <c r="BT420" i="3"/>
  <c r="BB421" i="3"/>
  <c r="BC421" i="3"/>
  <c r="BA421" i="3" s="1"/>
  <c r="AZ421" i="3" s="1"/>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L422" i="3" s="1"/>
  <c r="AZ422" i="3" s="1"/>
  <c r="BO422" i="3"/>
  <c r="BP422" i="3"/>
  <c r="BQ422" i="3"/>
  <c r="BR422" i="3"/>
  <c r="BS422" i="3"/>
  <c r="BT422" i="3"/>
  <c r="BB423" i="3"/>
  <c r="BC423" i="3"/>
  <c r="BA423" i="3" s="1"/>
  <c r="AZ423" i="3" s="1"/>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L424" i="3" s="1"/>
  <c r="AZ424" i="3" s="1"/>
  <c r="BO424" i="3"/>
  <c r="BP424" i="3"/>
  <c r="BQ424" i="3"/>
  <c r="BR424" i="3"/>
  <c r="BS424" i="3"/>
  <c r="BT424" i="3"/>
  <c r="BB425" i="3"/>
  <c r="BC425" i="3"/>
  <c r="BA425" i="3" s="1"/>
  <c r="AZ425" i="3" s="1"/>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L426" i="3" s="1"/>
  <c r="AZ426" i="3" s="1"/>
  <c r="BO426" i="3"/>
  <c r="BP426" i="3"/>
  <c r="BQ426" i="3"/>
  <c r="BR426" i="3"/>
  <c r="BS426" i="3"/>
  <c r="BT426" i="3"/>
  <c r="BB427" i="3"/>
  <c r="BC427" i="3"/>
  <c r="BA427" i="3" s="1"/>
  <c r="AZ427" i="3" s="1"/>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L428" i="3" s="1"/>
  <c r="AZ428" i="3" s="1"/>
  <c r="BO428" i="3"/>
  <c r="BP428" i="3"/>
  <c r="BQ428" i="3"/>
  <c r="BR428" i="3"/>
  <c r="BS428" i="3"/>
  <c r="BT428" i="3"/>
  <c r="BB429" i="3"/>
  <c r="BC429" i="3"/>
  <c r="BA429" i="3" s="1"/>
  <c r="AZ429" i="3" s="1"/>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L430" i="3" s="1"/>
  <c r="AZ430" i="3" s="1"/>
  <c r="BO430" i="3"/>
  <c r="BP430" i="3"/>
  <c r="BQ430" i="3"/>
  <c r="BR430" i="3"/>
  <c r="BS430" i="3"/>
  <c r="BT430" i="3"/>
  <c r="BB431" i="3"/>
  <c r="BC431" i="3"/>
  <c r="BA431" i="3" s="1"/>
  <c r="AZ431" i="3" s="1"/>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L432" i="3" s="1"/>
  <c r="AZ432" i="3" s="1"/>
  <c r="BO432" i="3"/>
  <c r="BP432" i="3"/>
  <c r="BQ432" i="3"/>
  <c r="BR432" i="3"/>
  <c r="BS432" i="3"/>
  <c r="BT432" i="3"/>
  <c r="BB433" i="3"/>
  <c r="BC433" i="3"/>
  <c r="BA433" i="3" s="1"/>
  <c r="AZ433" i="3" s="1"/>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L434" i="3" s="1"/>
  <c r="AZ434" i="3" s="1"/>
  <c r="BO434" i="3"/>
  <c r="BP434" i="3"/>
  <c r="BQ434" i="3"/>
  <c r="BR434" i="3"/>
  <c r="BS434" i="3"/>
  <c r="BT434" i="3"/>
  <c r="BB435" i="3"/>
  <c r="BC435" i="3"/>
  <c r="BA435" i="3" s="1"/>
  <c r="AZ435" i="3" s="1"/>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L436" i="3" s="1"/>
  <c r="AZ436" i="3" s="1"/>
  <c r="BO436" i="3"/>
  <c r="BP436" i="3"/>
  <c r="BQ436" i="3"/>
  <c r="BR436" i="3"/>
  <c r="BS436" i="3"/>
  <c r="BT436" i="3"/>
  <c r="BB437" i="3"/>
  <c r="BC437" i="3"/>
  <c r="BA437" i="3" s="1"/>
  <c r="AZ437" i="3" s="1"/>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L438" i="3" s="1"/>
  <c r="AZ438" i="3" s="1"/>
  <c r="BO438" i="3"/>
  <c r="BP438" i="3"/>
  <c r="BQ438" i="3"/>
  <c r="BR438" i="3"/>
  <c r="BS438" i="3"/>
  <c r="BT438" i="3"/>
  <c r="BB439" i="3"/>
  <c r="BC439" i="3"/>
  <c r="BA439" i="3" s="1"/>
  <c r="AZ439" i="3" s="1"/>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L440" i="3" s="1"/>
  <c r="AZ440" i="3" s="1"/>
  <c r="BO440" i="3"/>
  <c r="BP440" i="3"/>
  <c r="BQ440" i="3"/>
  <c r="BR440" i="3"/>
  <c r="BS440" i="3"/>
  <c r="BT440" i="3"/>
  <c r="BB441" i="3"/>
  <c r="BC441" i="3"/>
  <c r="BA441" i="3" s="1"/>
  <c r="AZ441" i="3" s="1"/>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L442" i="3" s="1"/>
  <c r="AZ442" i="3" s="1"/>
  <c r="BO442" i="3"/>
  <c r="BP442" i="3"/>
  <c r="BQ442" i="3"/>
  <c r="BR442" i="3"/>
  <c r="BS442" i="3"/>
  <c r="BT442" i="3"/>
  <c r="BB443" i="3"/>
  <c r="BC443" i="3"/>
  <c r="BA443" i="3" s="1"/>
  <c r="AZ443" i="3" s="1"/>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L444" i="3" s="1"/>
  <c r="AZ444" i="3" s="1"/>
  <c r="BO444" i="3"/>
  <c r="BP444" i="3"/>
  <c r="BQ444" i="3"/>
  <c r="BR444" i="3"/>
  <c r="BS444" i="3"/>
  <c r="BT444" i="3"/>
  <c r="BB445" i="3"/>
  <c r="BC445" i="3"/>
  <c r="BA445" i="3" s="1"/>
  <c r="AZ445" i="3" s="1"/>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L446" i="3" s="1"/>
  <c r="AZ446" i="3" s="1"/>
  <c r="BO446" i="3"/>
  <c r="BP446" i="3"/>
  <c r="BQ446" i="3"/>
  <c r="BR446" i="3"/>
  <c r="BS446" i="3"/>
  <c r="BT446" i="3"/>
  <c r="BB447" i="3"/>
  <c r="BC447" i="3"/>
  <c r="BA447" i="3" s="1"/>
  <c r="AZ447" i="3" s="1"/>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L448" i="3" s="1"/>
  <c r="AZ448" i="3" s="1"/>
  <c r="BO448" i="3"/>
  <c r="BP448" i="3"/>
  <c r="BQ448" i="3"/>
  <c r="BR448" i="3"/>
  <c r="BS448" i="3"/>
  <c r="BT448" i="3"/>
  <c r="BB449" i="3"/>
  <c r="BC449" i="3"/>
  <c r="BA449" i="3" s="1"/>
  <c r="AZ449" i="3" s="1"/>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L450" i="3" s="1"/>
  <c r="AZ450" i="3" s="1"/>
  <c r="BO450" i="3"/>
  <c r="BP450" i="3"/>
  <c r="BQ450" i="3"/>
  <c r="BR450" i="3"/>
  <c r="BS450" i="3"/>
  <c r="BT450" i="3"/>
  <c r="BB451" i="3"/>
  <c r="BC451" i="3"/>
  <c r="BA451" i="3" s="1"/>
  <c r="AZ451" i="3" s="1"/>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L452" i="3" s="1"/>
  <c r="AZ452" i="3" s="1"/>
  <c r="BO452" i="3"/>
  <c r="BP452" i="3"/>
  <c r="BQ452" i="3"/>
  <c r="BR452" i="3"/>
  <c r="BS452" i="3"/>
  <c r="BT452" i="3"/>
  <c r="BB453" i="3"/>
  <c r="BC453" i="3"/>
  <c r="BA453" i="3" s="1"/>
  <c r="AZ453" i="3" s="1"/>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L454" i="3" s="1"/>
  <c r="AZ454" i="3" s="1"/>
  <c r="BO454" i="3"/>
  <c r="BP454" i="3"/>
  <c r="BQ454" i="3"/>
  <c r="BR454" i="3"/>
  <c r="BS454" i="3"/>
  <c r="BT454" i="3"/>
  <c r="BB455" i="3"/>
  <c r="BC455" i="3"/>
  <c r="BA455" i="3" s="1"/>
  <c r="AZ455" i="3" s="1"/>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L456" i="3" s="1"/>
  <c r="AZ456" i="3" s="1"/>
  <c r="BO456" i="3"/>
  <c r="BP456" i="3"/>
  <c r="BQ456" i="3"/>
  <c r="BR456" i="3"/>
  <c r="BS456" i="3"/>
  <c r="BT456" i="3"/>
  <c r="BB457" i="3"/>
  <c r="BC457" i="3"/>
  <c r="BA457" i="3" s="1"/>
  <c r="AZ457" i="3" s="1"/>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L458" i="3" s="1"/>
  <c r="AZ458" i="3" s="1"/>
  <c r="BO458" i="3"/>
  <c r="BP458" i="3"/>
  <c r="BQ458" i="3"/>
  <c r="BR458" i="3"/>
  <c r="BS458" i="3"/>
  <c r="BT458" i="3"/>
  <c r="BB459" i="3"/>
  <c r="BC459" i="3"/>
  <c r="BA459" i="3" s="1"/>
  <c r="AZ459" i="3" s="1"/>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L460" i="3" s="1"/>
  <c r="AZ460" i="3" s="1"/>
  <c r="BO460" i="3"/>
  <c r="BP460" i="3"/>
  <c r="BQ460" i="3"/>
  <c r="BR460" i="3"/>
  <c r="BS460" i="3"/>
  <c r="BT460" i="3"/>
  <c r="BB461" i="3"/>
  <c r="BC461" i="3"/>
  <c r="BA461" i="3" s="1"/>
  <c r="AZ461" i="3" s="1"/>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L462" i="3" s="1"/>
  <c r="AZ462" i="3" s="1"/>
  <c r="BO462" i="3"/>
  <c r="BP462" i="3"/>
  <c r="BQ462" i="3"/>
  <c r="BR462" i="3"/>
  <c r="BS462" i="3"/>
  <c r="BT462" i="3"/>
  <c r="BB463" i="3"/>
  <c r="BC463" i="3"/>
  <c r="BA463" i="3" s="1"/>
  <c r="AZ463" i="3" s="1"/>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L464" i="3" s="1"/>
  <c r="AZ464" i="3" s="1"/>
  <c r="BO464" i="3"/>
  <c r="BP464" i="3"/>
  <c r="BQ464" i="3"/>
  <c r="BR464" i="3"/>
  <c r="BS464" i="3"/>
  <c r="BT464" i="3"/>
  <c r="BB465" i="3"/>
  <c r="BC465" i="3"/>
  <c r="BA465" i="3" s="1"/>
  <c r="AZ465" i="3" s="1"/>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L466" i="3" s="1"/>
  <c r="AZ466" i="3" s="1"/>
  <c r="BO466" i="3"/>
  <c r="BP466" i="3"/>
  <c r="BQ466" i="3"/>
  <c r="BR466" i="3"/>
  <c r="BS466" i="3"/>
  <c r="BT466" i="3"/>
  <c r="BB467" i="3"/>
  <c r="BC467" i="3"/>
  <c r="BA467" i="3" s="1"/>
  <c r="AZ467" i="3" s="1"/>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L468" i="3" s="1"/>
  <c r="AZ468" i="3" s="1"/>
  <c r="BO468" i="3"/>
  <c r="BP468" i="3"/>
  <c r="BQ468" i="3"/>
  <c r="BR468" i="3"/>
  <c r="BS468" i="3"/>
  <c r="BT468" i="3"/>
  <c r="BB469" i="3"/>
  <c r="BC469" i="3"/>
  <c r="BA469" i="3" s="1"/>
  <c r="AZ469" i="3" s="1"/>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L470" i="3" s="1"/>
  <c r="AZ470" i="3" s="1"/>
  <c r="BO470" i="3"/>
  <c r="BP470" i="3"/>
  <c r="BQ470" i="3"/>
  <c r="BR470" i="3"/>
  <c r="BS470" i="3"/>
  <c r="BT470" i="3"/>
  <c r="BB471" i="3"/>
  <c r="BC471" i="3"/>
  <c r="BA471" i="3" s="1"/>
  <c r="AZ471" i="3" s="1"/>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L472" i="3" s="1"/>
  <c r="AZ472" i="3" s="1"/>
  <c r="BO472" i="3"/>
  <c r="BP472" i="3"/>
  <c r="BQ472" i="3"/>
  <c r="BR472" i="3"/>
  <c r="BS472" i="3"/>
  <c r="BT472" i="3"/>
  <c r="BB473" i="3"/>
  <c r="BC473" i="3"/>
  <c r="BA473" i="3" s="1"/>
  <c r="AZ473" i="3" s="1"/>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L474" i="3" s="1"/>
  <c r="AZ474" i="3" s="1"/>
  <c r="BO474" i="3"/>
  <c r="BP474" i="3"/>
  <c r="BQ474" i="3"/>
  <c r="BR474" i="3"/>
  <c r="BS474" i="3"/>
  <c r="BT474" i="3"/>
  <c r="BB475" i="3"/>
  <c r="BC475" i="3"/>
  <c r="BA475" i="3" s="1"/>
  <c r="AZ475" i="3" s="1"/>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L476" i="3" s="1"/>
  <c r="AZ476" i="3" s="1"/>
  <c r="BO476" i="3"/>
  <c r="BP476" i="3"/>
  <c r="BQ476" i="3"/>
  <c r="BR476" i="3"/>
  <c r="BS476" i="3"/>
  <c r="BT476" i="3"/>
  <c r="BB477" i="3"/>
  <c r="BC477" i="3"/>
  <c r="BA477" i="3" s="1"/>
  <c r="AZ477" i="3" s="1"/>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L478" i="3" s="1"/>
  <c r="AZ478" i="3" s="1"/>
  <c r="BO478" i="3"/>
  <c r="BP478" i="3"/>
  <c r="BQ478" i="3"/>
  <c r="BR478" i="3"/>
  <c r="BS478" i="3"/>
  <c r="BT478" i="3"/>
  <c r="BB479" i="3"/>
  <c r="BC479" i="3"/>
  <c r="BA479" i="3" s="1"/>
  <c r="AZ479" i="3" s="1"/>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L480" i="3" s="1"/>
  <c r="AZ480" i="3" s="1"/>
  <c r="BO480" i="3"/>
  <c r="BP480" i="3"/>
  <c r="BQ480" i="3"/>
  <c r="BR480" i="3"/>
  <c r="BS480" i="3"/>
  <c r="BT480" i="3"/>
  <c r="BB481" i="3"/>
  <c r="BC481" i="3"/>
  <c r="BA481" i="3" s="1"/>
  <c r="AZ481" i="3" s="1"/>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L482" i="3" s="1"/>
  <c r="AZ482" i="3" s="1"/>
  <c r="BO482" i="3"/>
  <c r="BP482" i="3"/>
  <c r="BQ482" i="3"/>
  <c r="BR482" i="3"/>
  <c r="BS482" i="3"/>
  <c r="BT482" i="3"/>
  <c r="BB483" i="3"/>
  <c r="BC483" i="3"/>
  <c r="BA483" i="3" s="1"/>
  <c r="AZ483" i="3" s="1"/>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s="1"/>
  <c r="AZ484" i="3" s="1"/>
  <c r="BO484" i="3"/>
  <c r="BP484" i="3"/>
  <c r="BQ484" i="3"/>
  <c r="BR484" i="3"/>
  <c r="BS484" i="3"/>
  <c r="BT484" i="3"/>
  <c r="BB485" i="3"/>
  <c r="BC485" i="3"/>
  <c r="BA485" i="3" s="1"/>
  <c r="AZ485" i="3" s="1"/>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s="1"/>
  <c r="AZ486" i="3" s="1"/>
  <c r="BO486" i="3"/>
  <c r="BP486" i="3"/>
  <c r="BQ486" i="3"/>
  <c r="BR486" i="3"/>
  <c r="BS486" i="3"/>
  <c r="BT486" i="3"/>
  <c r="BB487" i="3"/>
  <c r="BC487" i="3"/>
  <c r="BA487" i="3" s="1"/>
  <c r="AZ487" i="3" s="1"/>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s="1"/>
  <c r="AZ488" i="3" s="1"/>
  <c r="BO488" i="3"/>
  <c r="BP488" i="3"/>
  <c r="BQ488" i="3"/>
  <c r="BR488" i="3"/>
  <c r="BS488" i="3"/>
  <c r="BT488" i="3"/>
  <c r="BB489" i="3"/>
  <c r="BC489" i="3"/>
  <c r="BA489" i="3" s="1"/>
  <c r="AZ489" i="3" s="1"/>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s="1"/>
  <c r="AZ490" i="3" s="1"/>
  <c r="BO490" i="3"/>
  <c r="BP490" i="3"/>
  <c r="BQ490" i="3"/>
  <c r="BR490" i="3"/>
  <c r="BS490" i="3"/>
  <c r="BT490" i="3"/>
  <c r="BB491" i="3"/>
  <c r="BC491" i="3"/>
  <c r="BA491" i="3" s="1"/>
  <c r="AZ491" i="3" s="1"/>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s="1"/>
  <c r="AZ506" i="3" s="1"/>
  <c r="BO506" i="3"/>
  <c r="BP506" i="3"/>
  <c r="BQ506" i="3"/>
  <c r="BR506" i="3"/>
  <c r="BS506" i="3"/>
  <c r="BT506" i="3"/>
  <c r="BB507" i="3"/>
  <c r="BC507" i="3"/>
  <c r="BA507" i="3" s="1"/>
  <c r="AZ507" i="3" s="1"/>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s="1"/>
  <c r="AZ508" i="3" s="1"/>
  <c r="BO508" i="3"/>
  <c r="BP508" i="3"/>
  <c r="BQ508" i="3"/>
  <c r="BR508" i="3"/>
  <c r="BS508" i="3"/>
  <c r="BT508" i="3"/>
  <c r="BB509" i="3"/>
  <c r="BC509" i="3"/>
  <c r="BA509" i="3" s="1"/>
  <c r="AZ509" i="3" s="1"/>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s="1"/>
  <c r="AZ510" i="3" s="1"/>
  <c r="BO510" i="3"/>
  <c r="BP510" i="3"/>
  <c r="BQ510" i="3"/>
  <c r="BR510" i="3"/>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s="1"/>
  <c r="AZ512" i="3" s="1"/>
  <c r="BO512" i="3"/>
  <c r="BP512" i="3"/>
  <c r="BQ512" i="3"/>
  <c r="BR512" i="3"/>
  <c r="BS512" i="3"/>
  <c r="BT512" i="3"/>
  <c r="BB513" i="3"/>
  <c r="BC513" i="3"/>
  <c r="BA513" i="3" s="1"/>
  <c r="AZ513" i="3" s="1"/>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s="1"/>
  <c r="AZ514" i="3" s="1"/>
  <c r="BO514" i="3"/>
  <c r="BP514" i="3"/>
  <c r="BQ514" i="3"/>
  <c r="BR514" i="3"/>
  <c r="BS514" i="3"/>
  <c r="BT514" i="3"/>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A517" i="3" s="1"/>
  <c r="AZ517" i="3" s="1"/>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s="1"/>
  <c r="AZ518" i="3" s="1"/>
  <c r="BO518" i="3"/>
  <c r="BP518" i="3"/>
  <c r="BQ518" i="3"/>
  <c r="BR518" i="3"/>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s="1"/>
  <c r="AZ520" i="3" s="1"/>
  <c r="BO520" i="3"/>
  <c r="BP520" i="3"/>
  <c r="BQ520" i="3"/>
  <c r="BR520" i="3"/>
  <c r="BS520" i="3"/>
  <c r="BT520" i="3"/>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AZ523" i="3" s="1"/>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s="1"/>
  <c r="AZ524" i="3" s="1"/>
  <c r="BO524" i="3"/>
  <c r="BP524" i="3"/>
  <c r="BQ524" i="3"/>
  <c r="BR524" i="3"/>
  <c r="BS524" i="3"/>
  <c r="BT524" i="3"/>
  <c r="BB525" i="3"/>
  <c r="BC525" i="3"/>
  <c r="BA525" i="3" s="1"/>
  <c r="AZ525" i="3" s="1"/>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A529" i="3" s="1"/>
  <c r="AZ529" i="3" s="1"/>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L530" i="3" s="1"/>
  <c r="AZ530" i="3" s="1"/>
  <c r="BO530" i="3"/>
  <c r="BP530" i="3"/>
  <c r="BQ530" i="3"/>
  <c r="BR530" i="3"/>
  <c r="BS530" i="3"/>
  <c r="BT530" i="3"/>
  <c r="BB531" i="3"/>
  <c r="BC531" i="3"/>
  <c r="BA531" i="3" s="1"/>
  <c r="AZ531" i="3" s="1"/>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L532" i="3" s="1"/>
  <c r="AZ532" i="3" s="1"/>
  <c r="BO532" i="3"/>
  <c r="BP532" i="3"/>
  <c r="BQ532" i="3"/>
  <c r="BR532" i="3"/>
  <c r="BS532" i="3"/>
  <c r="BT532" i="3"/>
  <c r="BB533" i="3"/>
  <c r="BC533" i="3"/>
  <c r="BA533" i="3" s="1"/>
  <c r="AZ533" i="3" s="1"/>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A537" i="3" s="1"/>
  <c r="AZ537" i="3" s="1"/>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A539" i="3" s="1"/>
  <c r="AZ539" i="3" s="1"/>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A541" i="3" s="1"/>
  <c r="AZ541" i="3" s="1"/>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s="1"/>
  <c r="AZ542" i="3" s="1"/>
  <c r="BO542" i="3"/>
  <c r="BP542" i="3"/>
  <c r="BQ542" i="3"/>
  <c r="BR542" i="3"/>
  <c r="BS542" i="3"/>
  <c r="BT542" i="3"/>
  <c r="BB543" i="3"/>
  <c r="BC543" i="3"/>
  <c r="BA543" i="3" s="1"/>
  <c r="AZ543" i="3" s="1"/>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s="1"/>
  <c r="AZ544" i="3" s="1"/>
  <c r="BO544" i="3"/>
  <c r="BP544" i="3"/>
  <c r="BQ544" i="3"/>
  <c r="BR544" i="3"/>
  <c r="BS544" i="3"/>
  <c r="BT544" i="3"/>
  <c r="BB545" i="3"/>
  <c r="BC545" i="3"/>
  <c r="BA545" i="3" s="1"/>
  <c r="AZ545" i="3" s="1"/>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s="1"/>
  <c r="AZ546" i="3" s="1"/>
  <c r="BO546" i="3"/>
  <c r="BP546" i="3"/>
  <c r="BQ546" i="3"/>
  <c r="BR546" i="3"/>
  <c r="BS546" i="3"/>
  <c r="BT546" i="3"/>
  <c r="BB547" i="3"/>
  <c r="BC547" i="3"/>
  <c r="BA547" i="3" s="1"/>
  <c r="AZ547" i="3" s="1"/>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s="1"/>
  <c r="AZ548" i="3" s="1"/>
  <c r="BO548" i="3"/>
  <c r="BP548" i="3"/>
  <c r="BQ548" i="3"/>
  <c r="BR548" i="3"/>
  <c r="BS548" i="3"/>
  <c r="BT548" i="3"/>
  <c r="BB549" i="3"/>
  <c r="BC549" i="3"/>
  <c r="BA549" i="3" s="1"/>
  <c r="AZ549" i="3" s="1"/>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s="1"/>
  <c r="AZ550" i="3" s="1"/>
  <c r="BO550" i="3"/>
  <c r="BP550" i="3"/>
  <c r="BQ550" i="3"/>
  <c r="BR550" i="3"/>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s="1"/>
  <c r="AZ552" i="3" s="1"/>
  <c r="BO552" i="3"/>
  <c r="BP552" i="3"/>
  <c r="BQ552" i="3"/>
  <c r="BR552" i="3"/>
  <c r="BS552" i="3"/>
  <c r="BT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s="1"/>
  <c r="AZ554" i="3" s="1"/>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H13" i="3"/>
  <c r="AC13" i="3"/>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12" i="71"/>
  <c r="AG12" i="71"/>
  <c r="AH12" i="71"/>
  <c r="AE12" i="71"/>
  <c r="AF12" i="71" s="1"/>
  <c r="X10" i="71"/>
  <c r="AB11" i="71"/>
  <c r="AA11" i="71"/>
  <c r="Y10" i="71"/>
  <c r="Z10" i="71"/>
  <c r="Y11" i="71"/>
  <c r="Z11" i="71"/>
  <c r="V12" i="71"/>
  <c r="AB12" i="71"/>
  <c r="Y12" i="71"/>
  <c r="Z12" i="71"/>
  <c r="X12" i="71"/>
  <c r="AA12" i="71"/>
  <c r="A2" i="53"/>
  <c r="K59" i="67"/>
  <c r="P61" i="67" s="1"/>
  <c r="K59" i="15"/>
  <c r="P74" i="15" s="1"/>
  <c r="P61" i="15"/>
  <c r="D116" i="39"/>
  <c r="E116" i="39"/>
  <c r="F116" i="39"/>
  <c r="G116" i="39"/>
  <c r="H116" i="39"/>
  <c r="I116" i="39"/>
  <c r="J116" i="39"/>
  <c r="K116" i="39"/>
  <c r="L116" i="39"/>
  <c r="M116" i="39"/>
  <c r="C116" i="39"/>
  <c r="A21" i="62"/>
  <c r="A20" i="62"/>
  <c r="A22" i="51"/>
  <c r="A21" i="51"/>
  <c r="A20" i="51"/>
  <c r="A14" i="62"/>
  <c r="A13" i="62"/>
  <c r="B59" i="72" s="1"/>
  <c r="A19" i="62"/>
  <c r="B65" i="72" s="1"/>
  <c r="A12" i="62"/>
  <c r="B58" i="72"/>
  <c r="A120" i="9"/>
  <c r="H2" i="52"/>
  <c r="A1" i="52"/>
  <c r="A3" i="5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16" i="72"/>
  <c r="B60" i="72"/>
  <c r="B67" i="72"/>
  <c r="B66" i="72"/>
  <c r="B10" i="72"/>
  <c r="C53" i="10"/>
  <c r="B51" i="10"/>
  <c r="B19" i="72"/>
  <c r="A18" i="51"/>
  <c r="B13" i="72" s="1"/>
  <c r="C8" i="68"/>
  <c r="B49" i="48"/>
  <c r="B5" i="72" s="1"/>
  <c r="I19" i="43"/>
  <c r="D77" i="71"/>
  <c r="F76" i="71"/>
  <c r="F75" i="71" s="1"/>
  <c r="F74" i="71" s="1"/>
  <c r="E76" i="71"/>
  <c r="E75" i="71"/>
  <c r="E74" i="71" s="1"/>
  <c r="C76" i="71"/>
  <c r="D76" i="71" s="1"/>
  <c r="B76" i="71"/>
  <c r="B75" i="71" s="1"/>
  <c r="B74" i="71" s="1"/>
  <c r="D73" i="71"/>
  <c r="F72" i="71"/>
  <c r="F71" i="71" s="1"/>
  <c r="F70" i="71" s="1"/>
  <c r="E72" i="71"/>
  <c r="E71" i="71"/>
  <c r="E70" i="71" s="1"/>
  <c r="C72" i="71"/>
  <c r="D72" i="71" s="1"/>
  <c r="B72" i="71"/>
  <c r="B71" i="71" s="1"/>
  <c r="B70" i="71" s="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F56" i="71"/>
  <c r="V56" i="71"/>
  <c r="E56" i="71"/>
  <c r="P56" i="71"/>
  <c r="C56" i="71"/>
  <c r="B56" i="71"/>
  <c r="S56" i="71" s="1"/>
  <c r="F55" i="71"/>
  <c r="F54"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c r="O45" i="71"/>
  <c r="C46" i="71"/>
  <c r="C47" i="71" s="1"/>
  <c r="N45" i="71"/>
  <c r="B46" i="71"/>
  <c r="B47" i="71" s="1"/>
  <c r="B48" i="71" s="1"/>
  <c r="S48" i="71" s="1"/>
  <c r="D45" i="71"/>
  <c r="Q44" i="71"/>
  <c r="P44" i="71"/>
  <c r="O44" i="71"/>
  <c r="N44" i="71"/>
  <c r="Q43" i="71"/>
  <c r="P43" i="71"/>
  <c r="O43" i="71"/>
  <c r="N43" i="71"/>
  <c r="Q42" i="71"/>
  <c r="P42" i="71"/>
  <c r="O42" i="71"/>
  <c r="N42" i="71"/>
  <c r="O41" i="71"/>
  <c r="C42" i="71"/>
  <c r="C43" i="71" s="1"/>
  <c r="Q41" i="71"/>
  <c r="F42" i="71"/>
  <c r="F43" i="71" s="1"/>
  <c r="F44" i="71" s="1"/>
  <c r="V44" i="71" s="1"/>
  <c r="P41" i="71"/>
  <c r="E42" i="71" s="1"/>
  <c r="E43" i="71" s="1"/>
  <c r="E44" i="71" s="1"/>
  <c r="U44"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c r="C39" i="71" s="1"/>
  <c r="N37" i="71"/>
  <c r="B38" i="71"/>
  <c r="B39" i="71" s="1"/>
  <c r="B40" i="71" s="1"/>
  <c r="S40" i="71" s="1"/>
  <c r="D37" i="71"/>
  <c r="T36" i="71"/>
  <c r="Q36" i="71"/>
  <c r="P36" i="71"/>
  <c r="O36" i="71"/>
  <c r="N36" i="71"/>
  <c r="D36" i="71"/>
  <c r="Q35" i="71"/>
  <c r="P35" i="71"/>
  <c r="O35" i="71"/>
  <c r="N35" i="71"/>
  <c r="Q34" i="71"/>
  <c r="P34" i="71"/>
  <c r="O34" i="71"/>
  <c r="N34" i="71"/>
  <c r="Q33" i="71"/>
  <c r="F34" i="71"/>
  <c r="F35" i="71" s="1"/>
  <c r="F36" i="71" s="1"/>
  <c r="V36" i="71" s="1"/>
  <c r="P33" i="71"/>
  <c r="E34" i="71" s="1"/>
  <c r="E35" i="71" s="1"/>
  <c r="E36" i="71" s="1"/>
  <c r="U36" i="71" s="1"/>
  <c r="O33" i="71"/>
  <c r="C34" i="71"/>
  <c r="N33" i="71"/>
  <c r="B34" i="71"/>
  <c r="B35" i="71" s="1"/>
  <c r="B36" i="71" s="1"/>
  <c r="S36" i="71" s="1"/>
  <c r="D33" i="71"/>
  <c r="Q32" i="71"/>
  <c r="P32" i="71"/>
  <c r="O32" i="71"/>
  <c r="N32" i="71"/>
  <c r="Q31" i="71"/>
  <c r="P31" i="71"/>
  <c r="O31" i="71"/>
  <c r="N31" i="71"/>
  <c r="Q30" i="71"/>
  <c r="P30" i="71"/>
  <c r="O30" i="71"/>
  <c r="N30" i="71"/>
  <c r="Q29" i="71"/>
  <c r="F30" i="71"/>
  <c r="F31" i="71" s="1"/>
  <c r="F32" i="71" s="1"/>
  <c r="V32" i="71" s="1"/>
  <c r="P29" i="71"/>
  <c r="E30" i="71" s="1"/>
  <c r="E31" i="71" s="1"/>
  <c r="E32" i="71" s="1"/>
  <c r="U32" i="71" s="1"/>
  <c r="O29" i="71"/>
  <c r="C30" i="71"/>
  <c r="D30" i="71" s="1"/>
  <c r="N29" i="71"/>
  <c r="B30" i="71"/>
  <c r="B31" i="71" s="1"/>
  <c r="B32" i="71" s="1"/>
  <c r="S32" i="71" s="1"/>
  <c r="D29" i="71"/>
  <c r="Q28" i="71"/>
  <c r="P28" i="71"/>
  <c r="O28" i="71"/>
  <c r="N28" i="71"/>
  <c r="AB27" i="71"/>
  <c r="AA27" i="71"/>
  <c r="Y27" i="71"/>
  <c r="Z27" i="71"/>
  <c r="X27" i="71"/>
  <c r="AB26" i="71"/>
  <c r="Y26" i="71"/>
  <c r="Z26" i="71"/>
  <c r="F26" i="71"/>
  <c r="F27" i="71"/>
  <c r="F28" i="71" s="1"/>
  <c r="V28" i="71" s="1"/>
  <c r="D25" i="71"/>
  <c r="AB24" i="71"/>
  <c r="Y24" i="71"/>
  <c r="Z24" i="71"/>
  <c r="AB23" i="71"/>
  <c r="Y23" i="71"/>
  <c r="Z23" i="71" s="1"/>
  <c r="AB22" i="71"/>
  <c r="Y22" i="71"/>
  <c r="Z22" i="71"/>
  <c r="F22" i="71"/>
  <c r="F23" i="71"/>
  <c r="F24" i="71" s="1"/>
  <c r="V24" i="71" s="1"/>
  <c r="D21" i="71"/>
  <c r="AB20" i="71"/>
  <c r="Y20" i="71"/>
  <c r="Z20" i="71"/>
  <c r="AB19" i="71"/>
  <c r="Y19" i="71"/>
  <c r="Z19" i="71" s="1"/>
  <c r="AB18" i="71"/>
  <c r="Y18" i="71"/>
  <c r="Z18" i="71"/>
  <c r="F18" i="71"/>
  <c r="F19" i="71"/>
  <c r="F20" i="71" s="1"/>
  <c r="V20" i="71" s="1"/>
  <c r="D17" i="71"/>
  <c r="B18" i="71"/>
  <c r="B19" i="71" s="1"/>
  <c r="B20" i="71" s="1"/>
  <c r="S20" i="71" s="1"/>
  <c r="X17" i="71"/>
  <c r="E18" i="71"/>
  <c r="E19" i="71"/>
  <c r="E20" i="71" s="1"/>
  <c r="U20" i="71" s="1"/>
  <c r="AA17" i="71"/>
  <c r="B22" i="71"/>
  <c r="B23" i="71" s="1"/>
  <c r="B24" i="71" s="1"/>
  <c r="S24" i="71" s="1"/>
  <c r="X21" i="71"/>
  <c r="B26" i="71"/>
  <c r="B27" i="71"/>
  <c r="B28" i="71" s="1"/>
  <c r="S28" i="71" s="1"/>
  <c r="X25" i="71"/>
  <c r="E26" i="71"/>
  <c r="E27" i="71" s="1"/>
  <c r="E28" i="71" s="1"/>
  <c r="U28" i="71" s="1"/>
  <c r="AA25" i="71"/>
  <c r="E22" i="71"/>
  <c r="E23" i="71" s="1"/>
  <c r="E24" i="71" s="1"/>
  <c r="U24" i="71" s="1"/>
  <c r="AA21" i="71"/>
  <c r="C18" i="71"/>
  <c r="Y17" i="71"/>
  <c r="Z17" i="71" s="1"/>
  <c r="AB17" i="71"/>
  <c r="X18" i="71"/>
  <c r="AA18" i="71"/>
  <c r="X19" i="71"/>
  <c r="AA19" i="71"/>
  <c r="X20" i="71"/>
  <c r="AA20" i="71"/>
  <c r="C22" i="71"/>
  <c r="C23" i="71"/>
  <c r="C24" i="71" s="1"/>
  <c r="Y21" i="71"/>
  <c r="Z21" i="71"/>
  <c r="AB21" i="71"/>
  <c r="X22" i="71"/>
  <c r="AA22" i="71"/>
  <c r="X23" i="71"/>
  <c r="AA23" i="71"/>
  <c r="X24" i="71"/>
  <c r="AA24" i="71"/>
  <c r="C26" i="71"/>
  <c r="D26" i="71" s="1"/>
  <c r="Y25" i="71"/>
  <c r="Z25" i="71"/>
  <c r="AB25" i="71"/>
  <c r="X26" i="71"/>
  <c r="AA26" i="71"/>
  <c r="C16" i="71"/>
  <c r="Y3" i="71"/>
  <c r="Z3" i="71" s="1"/>
  <c r="Y13" i="71"/>
  <c r="Z13" i="71" s="1"/>
  <c r="Y14" i="71"/>
  <c r="Z14" i="71" s="1"/>
  <c r="Y15" i="71"/>
  <c r="Z15" i="71" s="1"/>
  <c r="Y16" i="71"/>
  <c r="Z16" i="71" s="1"/>
  <c r="B16" i="71"/>
  <c r="B15" i="71" s="1"/>
  <c r="B14" i="71" s="1"/>
  <c r="X13" i="71"/>
  <c r="X14" i="71"/>
  <c r="X15" i="71"/>
  <c r="X16" i="71"/>
  <c r="C19" i="71"/>
  <c r="D18" i="71"/>
  <c r="D22" i="71"/>
  <c r="C27" i="71"/>
  <c r="C28" i="71" s="1"/>
  <c r="C31" i="71"/>
  <c r="C32" i="71" s="1"/>
  <c r="C35" i="71"/>
  <c r="D35" i="71" s="1"/>
  <c r="D34" i="71"/>
  <c r="D38" i="71"/>
  <c r="E47" i="71"/>
  <c r="E48" i="71" s="1"/>
  <c r="U48" i="71" s="1"/>
  <c r="U56" i="71"/>
  <c r="E55" i="71"/>
  <c r="P55" i="71" s="1"/>
  <c r="D42" i="71"/>
  <c r="D46" i="71"/>
  <c r="T56" i="71"/>
  <c r="O56" i="71"/>
  <c r="D56" i="71"/>
  <c r="C55" i="71"/>
  <c r="Q56" i="71"/>
  <c r="E59" i="71"/>
  <c r="E58" i="71" s="1"/>
  <c r="D60" i="71"/>
  <c r="C63" i="71"/>
  <c r="E63" i="71"/>
  <c r="E62" i="71" s="1"/>
  <c r="D64" i="71"/>
  <c r="E67" i="71"/>
  <c r="E66" i="71" s="1"/>
  <c r="D68" i="71"/>
  <c r="C75" i="71"/>
  <c r="C74" i="71" s="1"/>
  <c r="D74" i="71" s="1"/>
  <c r="T16" i="71"/>
  <c r="C15" i="71"/>
  <c r="C14" i="71" s="1"/>
  <c r="D14" i="71" s="1"/>
  <c r="F16" i="71"/>
  <c r="F15" i="71" s="1"/>
  <c r="F14" i="71" s="1"/>
  <c r="AB13" i="71"/>
  <c r="AB14" i="71"/>
  <c r="AB15" i="71"/>
  <c r="AB16" i="71"/>
  <c r="E16" i="71"/>
  <c r="E15" i="71"/>
  <c r="E14" i="71" s="1"/>
  <c r="AA3" i="71"/>
  <c r="AA13" i="71"/>
  <c r="AA14" i="71"/>
  <c r="AA15" i="71"/>
  <c r="AA16" i="71"/>
  <c r="D16" i="71"/>
  <c r="U16" i="71"/>
  <c r="C54" i="71"/>
  <c r="O55" i="71"/>
  <c r="D55" i="71"/>
  <c r="D63" i="71"/>
  <c r="C62" i="71"/>
  <c r="D62" i="71" s="1"/>
  <c r="D75" i="71"/>
  <c r="E54" i="71"/>
  <c r="P53" i="71" s="1"/>
  <c r="D31" i="71"/>
  <c r="D27" i="71"/>
  <c r="D23" i="71"/>
  <c r="C20" i="71"/>
  <c r="D19" i="71"/>
  <c r="V16" i="71"/>
  <c r="P54" i="71"/>
  <c r="O54" i="71"/>
  <c r="D54" i="71"/>
  <c r="O53" i="71"/>
  <c r="T20" i="71"/>
  <c r="D2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G84" i="34"/>
  <c r="J21" i="34"/>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D46" i="67"/>
  <c r="F33" i="67"/>
  <c r="F61" i="67" s="1"/>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8" i="1"/>
  <c r="F9" i="1"/>
  <c r="F10" i="1"/>
  <c r="F11" i="1"/>
  <c r="F12" i="1"/>
  <c r="F13" i="1"/>
  <c r="D6" i="1"/>
  <c r="D9" i="1"/>
  <c r="D10" i="1"/>
  <c r="D11" i="1"/>
  <c r="D12" i="1"/>
  <c r="D13" i="1"/>
  <c r="D7" i="1"/>
  <c r="D8" i="1"/>
  <c r="A8" i="1"/>
  <c r="K8" i="1" s="1"/>
  <c r="M8" i="1" s="1"/>
  <c r="A9" i="1"/>
  <c r="K9" i="1" s="1"/>
  <c r="A10" i="1"/>
  <c r="K10" i="1" s="1"/>
  <c r="M10" i="1" s="1"/>
  <c r="A11" i="1"/>
  <c r="K11" i="1" s="1"/>
  <c r="A12" i="1"/>
  <c r="K12" i="1" s="1"/>
  <c r="M12" i="1" s="1"/>
  <c r="A13" i="1"/>
  <c r="K13" i="1" s="1"/>
  <c r="B11" i="1"/>
  <c r="E11" i="1" s="1"/>
  <c r="B7" i="1"/>
  <c r="E7"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L22" i="4"/>
  <c r="L20" i="4"/>
  <c r="A15" i="62" s="1"/>
  <c r="B61" i="72" s="1"/>
  <c r="A5" i="62"/>
  <c r="B72" i="72" s="1"/>
  <c r="A4" i="62"/>
  <c r="B70" i="72"/>
  <c r="F33" i="9"/>
  <c r="B37" i="48"/>
  <c r="B2" i="72" s="1"/>
  <c r="B13" i="53"/>
  <c r="B29" i="72" s="1"/>
  <c r="R35" i="4"/>
  <c r="Q35" i="4"/>
  <c r="P35" i="4"/>
  <c r="O35" i="4"/>
  <c r="N35" i="4"/>
  <c r="M35" i="4"/>
  <c r="L35" i="4"/>
  <c r="K34" i="4"/>
  <c r="T34" i="4"/>
  <c r="G13" i="1"/>
  <c r="G11" i="1"/>
  <c r="I15" i="4"/>
  <c r="H15" i="4"/>
  <c r="G15" i="4"/>
  <c r="E15" i="4"/>
  <c r="F6" i="1" s="1"/>
  <c r="I20" i="43" s="1"/>
  <c r="D15" i="4"/>
  <c r="G7" i="1"/>
  <c r="L21" i="4"/>
  <c r="F19" i="4"/>
  <c r="F2" i="52"/>
  <c r="B50" i="72"/>
  <c r="D2" i="52"/>
  <c r="B46" i="72"/>
  <c r="B8" i="53"/>
  <c r="B23" i="72"/>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c r="M19" i="15"/>
  <c r="O10" i="1"/>
  <c r="B22" i="1"/>
  <c r="B23" i="1"/>
  <c r="B43" i="1"/>
  <c r="D78" i="9" s="1"/>
  <c r="E21" i="6"/>
  <c r="F23" i="15"/>
  <c r="D24" i="15" s="1"/>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s="1"/>
  <c r="O53" i="9" s="1"/>
  <c r="D89" i="9"/>
  <c r="C89" i="9"/>
  <c r="C87" i="9" s="1"/>
  <c r="G12" i="1"/>
  <c r="J55" i="9"/>
  <c r="B31" i="1"/>
  <c r="B52" i="1"/>
  <c r="M20" i="15"/>
  <c r="T4" i="1"/>
  <c r="F15" i="15"/>
  <c r="F17" i="15"/>
  <c r="F18" i="15"/>
  <c r="F20" i="15"/>
  <c r="F21" i="1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B110" i="39"/>
  <c r="F35" i="39" s="1"/>
  <c r="B112" i="39"/>
  <c r="J30" i="36"/>
  <c r="AC30" i="36" s="1"/>
  <c r="H30" i="36"/>
  <c r="F30" i="36"/>
  <c r="AA30" i="36" s="1"/>
  <c r="C26" i="35"/>
  <c r="C79" i="35" s="1"/>
  <c r="D87" i="35"/>
  <c r="E87" i="35" s="1"/>
  <c r="F87" i="35" s="1"/>
  <c r="H34" i="37"/>
  <c r="D101" i="37"/>
  <c r="F34" i="37"/>
  <c r="D99" i="37"/>
  <c r="E99" i="37"/>
  <c r="F99" i="37" s="1"/>
  <c r="G99" i="37"/>
  <c r="H99" i="37" s="1"/>
  <c r="I99" i="37" s="1"/>
  <c r="J99" i="37" s="1"/>
  <c r="K99" i="37"/>
  <c r="L99" i="37" s="1"/>
  <c r="M99" i="37" s="1"/>
  <c r="H42" i="34"/>
  <c r="J42" i="34"/>
  <c r="W42" i="34" s="1"/>
  <c r="F42" i="34"/>
  <c r="AA42" i="34" s="1"/>
  <c r="J38" i="34"/>
  <c r="W38" i="34"/>
  <c r="D114" i="34"/>
  <c r="F38" i="34"/>
  <c r="S38" i="34" s="1"/>
  <c r="D112" i="34"/>
  <c r="E112" i="34" s="1"/>
  <c r="F112" i="34"/>
  <c r="G112" i="34" s="1"/>
  <c r="H112" i="34" s="1"/>
  <c r="I112" i="34" s="1"/>
  <c r="J112" i="34"/>
  <c r="K112" i="34" s="1"/>
  <c r="L112" i="34" s="1"/>
  <c r="M112" i="34" s="1"/>
  <c r="F40" i="33"/>
  <c r="J41" i="33"/>
  <c r="D113" i="33"/>
  <c r="E113" i="33" s="1"/>
  <c r="F37" i="33"/>
  <c r="D111" i="33"/>
  <c r="E111" i="33" s="1"/>
  <c r="F111" i="33" s="1"/>
  <c r="S515" i="31"/>
  <c r="S516" i="31"/>
  <c r="S517" i="31"/>
  <c r="S518" i="31"/>
  <c r="S519" i="31"/>
  <c r="S520" i="31"/>
  <c r="S521" i="31"/>
  <c r="S522" i="31"/>
  <c r="S523" i="31"/>
  <c r="S524" i="31"/>
  <c r="F41" i="21"/>
  <c r="J41" i="21"/>
  <c r="AC41" i="21" s="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F88" i="40" s="1"/>
  <c r="D86" i="40"/>
  <c r="E86" i="40"/>
  <c r="F86" i="40" s="1"/>
  <c r="G86" i="40" s="1"/>
  <c r="D84" i="40"/>
  <c r="E84" i="40"/>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AB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D93" i="39"/>
  <c r="E93" i="39"/>
  <c r="F93" i="39" s="1"/>
  <c r="G93" i="39"/>
  <c r="D91" i="39"/>
  <c r="E91" i="39"/>
  <c r="F91" i="39" s="1"/>
  <c r="G91" i="39" s="1"/>
  <c r="D89" i="39"/>
  <c r="E89" i="39"/>
  <c r="F89" i="39" s="1"/>
  <c r="G89" i="39"/>
  <c r="B86" i="39"/>
  <c r="B84" i="39"/>
  <c r="F13" i="39" s="1"/>
  <c r="AA13" i="39" s="1"/>
  <c r="B82" i="39"/>
  <c r="J12" i="39"/>
  <c r="W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F107" i="37" s="1"/>
  <c r="G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E71" i="37" s="1"/>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J26" i="37"/>
  <c r="AC26" i="37" s="1"/>
  <c r="H26" i="37"/>
  <c r="AB26" i="37" s="1"/>
  <c r="F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W31" i="36" s="1"/>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S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H24" i="36"/>
  <c r="Q23" i="36"/>
  <c r="Z23" i="36" s="1"/>
  <c r="J23" i="36"/>
  <c r="AC23" i="36" s="1"/>
  <c r="H23" i="36"/>
  <c r="AB23" i="36" s="1"/>
  <c r="F23" i="36"/>
  <c r="Q22" i="36"/>
  <c r="Z22" i="36" s="1"/>
  <c r="J22" i="36"/>
  <c r="Q20" i="36"/>
  <c r="Z20" i="36" s="1"/>
  <c r="Q16" i="36"/>
  <c r="Z16" i="36" s="1"/>
  <c r="Q14" i="36"/>
  <c r="Z14" i="36" s="1"/>
  <c r="Q13" i="36"/>
  <c r="Z13" i="36" s="1"/>
  <c r="Q12" i="36"/>
  <c r="Z12" i="36" s="1"/>
  <c r="H12" i="36"/>
  <c r="Q11" i="36"/>
  <c r="Z11" i="36" s="1"/>
  <c r="Q10" i="36"/>
  <c r="Z10" i="36" s="1"/>
  <c r="F10" i="36"/>
  <c r="Q9" i="36"/>
  <c r="Z9" i="36" s="1"/>
  <c r="J9" i="36"/>
  <c r="AC9" i="36" s="1"/>
  <c r="H9" i="36"/>
  <c r="AB9" i="36" s="1"/>
  <c r="F9" i="36"/>
  <c r="J8" i="36"/>
  <c r="H8" i="36"/>
  <c r="U8" i="36" s="1"/>
  <c r="F8" i="36"/>
  <c r="D89" i="35"/>
  <c r="M90" i="35"/>
  <c r="L90" i="35"/>
  <c r="K90" i="35"/>
  <c r="J90" i="35"/>
  <c r="I90" i="35"/>
  <c r="H90" i="35"/>
  <c r="G90" i="35"/>
  <c r="F90" i="35"/>
  <c r="E90" i="35"/>
  <c r="D90" i="35"/>
  <c r="C90" i="35"/>
  <c r="F85" i="35"/>
  <c r="E85" i="35"/>
  <c r="D85" i="35"/>
  <c r="C85" i="35"/>
  <c r="J27" i="35"/>
  <c r="H27" i="35"/>
  <c r="U27" i="35" s="1"/>
  <c r="F27" i="35"/>
  <c r="J22" i="35"/>
  <c r="B101" i="35"/>
  <c r="B99" i="35"/>
  <c r="B97" i="35"/>
  <c r="B77" i="35"/>
  <c r="B75" i="35"/>
  <c r="J24" i="35" s="1"/>
  <c r="AC24" i="35" s="1"/>
  <c r="B73" i="35"/>
  <c r="H23" i="35"/>
  <c r="B57" i="35"/>
  <c r="J11" i="35" s="1"/>
  <c r="B61" i="35"/>
  <c r="B59" i="35"/>
  <c r="H12" i="35" s="1"/>
  <c r="B131" i="34"/>
  <c r="B129" i="34"/>
  <c r="J46" i="34" s="1"/>
  <c r="W46" i="34" s="1"/>
  <c r="B127" i="34"/>
  <c r="B99" i="34"/>
  <c r="F32" i="34" s="1"/>
  <c r="S32" i="34" s="1"/>
  <c r="B97" i="34"/>
  <c r="B95" i="34"/>
  <c r="H30" i="34" s="1"/>
  <c r="U30" i="34" s="1"/>
  <c r="B93" i="34"/>
  <c r="B75" i="34"/>
  <c r="J14" i="34" s="1"/>
  <c r="B73" i="34"/>
  <c r="B71" i="34"/>
  <c r="F12" i="34" s="1"/>
  <c r="AA12" i="34" s="1"/>
  <c r="B130" i="33"/>
  <c r="B128" i="33"/>
  <c r="J45" i="33" s="1"/>
  <c r="B126" i="33"/>
  <c r="B98" i="33"/>
  <c r="F31" i="33" s="1"/>
  <c r="S31" i="33" s="1"/>
  <c r="B96" i="33"/>
  <c r="B94" i="33"/>
  <c r="J29" i="33" s="1"/>
  <c r="B74" i="33"/>
  <c r="B72" i="33"/>
  <c r="J13" i="33" s="1"/>
  <c r="W13" i="33" s="1"/>
  <c r="B70" i="33"/>
  <c r="J12" i="33"/>
  <c r="AC12" i="33" s="1"/>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W9" i="35" s="1"/>
  <c r="P39" i="35"/>
  <c r="P38" i="35"/>
  <c r="V37" i="35"/>
  <c r="T37" i="35"/>
  <c r="R37" i="35"/>
  <c r="P37" i="35"/>
  <c r="Q36" i="35"/>
  <c r="Z36" i="35"/>
  <c r="Q35" i="35"/>
  <c r="Z35" i="35"/>
  <c r="Q34" i="35"/>
  <c r="Z34" i="35"/>
  <c r="Q33" i="35"/>
  <c r="Z33" i="35"/>
  <c r="Q32" i="35"/>
  <c r="Z32" i="35"/>
  <c r="H32" i="35"/>
  <c r="AB32" i="35"/>
  <c r="F32" i="35"/>
  <c r="AA32" i="35"/>
  <c r="Q31" i="35"/>
  <c r="Z31" i="35"/>
  <c r="Q30" i="35"/>
  <c r="Z30" i="35" s="1"/>
  <c r="Q29" i="35"/>
  <c r="Z29" i="35" s="1"/>
  <c r="Q28" i="35"/>
  <c r="Z28" i="35" s="1"/>
  <c r="J28" i="35"/>
  <c r="AC28" i="35" s="1"/>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c r="F88" i="34" s="1"/>
  <c r="G88" i="34"/>
  <c r="H88" i="34" s="1"/>
  <c r="I88" i="34" s="1"/>
  <c r="J88" i="34" s="1"/>
  <c r="K88" i="34" s="1"/>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S12" i="34"/>
  <c r="Q11" i="34"/>
  <c r="Z11" i="34"/>
  <c r="Q10" i="34"/>
  <c r="Z10" i="34"/>
  <c r="F10" i="34"/>
  <c r="AA10" i="34"/>
  <c r="Q9" i="34"/>
  <c r="Z9" i="34"/>
  <c r="F9" i="34"/>
  <c r="AA9" i="34" s="1"/>
  <c r="J8" i="34"/>
  <c r="H8" i="34"/>
  <c r="U8" i="34" s="1"/>
  <c r="F8" i="34"/>
  <c r="AA8" i="34" s="1"/>
  <c r="D121" i="33"/>
  <c r="E121" i="33"/>
  <c r="F121" i="33" s="1"/>
  <c r="F109" i="33"/>
  <c r="E109" i="33"/>
  <c r="D109" i="33"/>
  <c r="C109" i="33"/>
  <c r="D91" i="33"/>
  <c r="E91" i="33"/>
  <c r="B88" i="33"/>
  <c r="J26" i="33"/>
  <c r="W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F106" i="33" s="1"/>
  <c r="M102" i="33"/>
  <c r="L102" i="33"/>
  <c r="K102" i="33"/>
  <c r="J102" i="33"/>
  <c r="I102" i="33"/>
  <c r="H102" i="33"/>
  <c r="G102" i="33"/>
  <c r="F102" i="33"/>
  <c r="E102" i="33"/>
  <c r="D102" i="33"/>
  <c r="C102" i="33"/>
  <c r="D101" i="33"/>
  <c r="E101" i="33" s="1"/>
  <c r="B92" i="33"/>
  <c r="H28" i="33" s="1"/>
  <c r="B90" i="33"/>
  <c r="D87" i="33"/>
  <c r="E87" i="33" s="1"/>
  <c r="F87" i="33" s="1"/>
  <c r="G87" i="33" s="1"/>
  <c r="H87" i="33" s="1"/>
  <c r="I87" i="33" s="1"/>
  <c r="J87" i="33" s="1"/>
  <c r="K87" i="33" s="1"/>
  <c r="L87" i="33" s="1"/>
  <c r="M87" i="33" s="1"/>
  <c r="D85" i="33"/>
  <c r="E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I66" i="33" s="1"/>
  <c r="C63" i="33"/>
  <c r="H54" i="33"/>
  <c r="P49" i="33"/>
  <c r="P48" i="33"/>
  <c r="V47" i="33"/>
  <c r="T47" i="33"/>
  <c r="R47" i="33"/>
  <c r="P47" i="33"/>
  <c r="Q46" i="33"/>
  <c r="Z46" i="33" s="1"/>
  <c r="Q45" i="33"/>
  <c r="Z45" i="33" s="1"/>
  <c r="Q44" i="33"/>
  <c r="Z44" i="33" s="1"/>
  <c r="Q43" i="33"/>
  <c r="Z43" i="33" s="1"/>
  <c r="Q42" i="33"/>
  <c r="Z42" i="33" s="1"/>
  <c r="J42" i="33"/>
  <c r="AC41" i="33"/>
  <c r="W41" i="33"/>
  <c r="Q41" i="33"/>
  <c r="Z41" i="33" s="1"/>
  <c r="Q40" i="33"/>
  <c r="Z40" i="33" s="1"/>
  <c r="J40" i="33"/>
  <c r="AC40" i="33" s="1"/>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G18" i="20"/>
  <c r="G19" i="20"/>
  <c r="B85" i="43" s="1"/>
  <c r="G16" i="20"/>
  <c r="G15" i="20"/>
  <c r="B81" i="43" s="1"/>
  <c r="C24" i="20"/>
  <c r="C21" i="20"/>
  <c r="C20" i="20"/>
  <c r="C18" i="20"/>
  <c r="C17" i="20"/>
  <c r="C16" i="20"/>
  <c r="C17" i="39" s="1"/>
  <c r="C15" i="20"/>
  <c r="E54" i="21"/>
  <c r="F54" i="21" s="1"/>
  <c r="I54" i="21"/>
  <c r="J54" i="21" s="1"/>
  <c r="G54" i="21"/>
  <c r="H54" i="21" s="1"/>
  <c r="D125" i="21"/>
  <c r="E125" i="21" s="1"/>
  <c r="F125" i="21"/>
  <c r="G125" i="21" s="1"/>
  <c r="D123" i="21"/>
  <c r="E123" i="21" s="1"/>
  <c r="F123" i="21"/>
  <c r="G123" i="21" s="1"/>
  <c r="F42" i="21"/>
  <c r="AA42" i="21"/>
  <c r="D119" i="21"/>
  <c r="F40"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F77" i="21" s="1"/>
  <c r="G77" i="21" s="1"/>
  <c r="B130" i="21"/>
  <c r="B128" i="21"/>
  <c r="B126" i="21"/>
  <c r="B98" i="21"/>
  <c r="B96" i="21"/>
  <c r="B94" i="21"/>
  <c r="J29" i="21"/>
  <c r="B92" i="21"/>
  <c r="B90" i="21"/>
  <c r="J27" i="21"/>
  <c r="W27" i="21" s="1"/>
  <c r="B74" i="21"/>
  <c r="B72" i="21"/>
  <c r="H13" i="21"/>
  <c r="U13" i="21" s="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19" i="6" s="1"/>
  <c r="I4" i="6"/>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H34" i="21"/>
  <c r="AB34" i="21" s="1"/>
  <c r="F43" i="21"/>
  <c r="H38" i="21"/>
  <c r="U38" i="21" s="1"/>
  <c r="H43" i="21"/>
  <c r="F38" i="21"/>
  <c r="F36" i="21"/>
  <c r="S36" i="21" s="1"/>
  <c r="F39" i="21"/>
  <c r="AA39" i="21" s="1"/>
  <c r="J40" i="21"/>
  <c r="H35" i="21"/>
  <c r="AB35" i="21" s="1"/>
  <c r="J8" i="21"/>
  <c r="H8" i="21"/>
  <c r="H10" i="21"/>
  <c r="AB10" i="21" s="1"/>
  <c r="H39" i="21"/>
  <c r="U39" i="21" s="1"/>
  <c r="J34" i="21"/>
  <c r="W34" i="21" s="1"/>
  <c r="H36" i="21"/>
  <c r="F35" i="21"/>
  <c r="AA35" i="21" s="1"/>
  <c r="J10" i="21"/>
  <c r="H26" i="21"/>
  <c r="AB19" i="21"/>
  <c r="J19" i="21"/>
  <c r="W19" i="21"/>
  <c r="J12" i="21"/>
  <c r="AC12" i="21"/>
  <c r="H12" i="21"/>
  <c r="AB12" i="21"/>
  <c r="J26" i="21"/>
  <c r="W26" i="21"/>
  <c r="F26" i="21"/>
  <c r="S26" i="21"/>
  <c r="S41" i="21"/>
  <c r="AA41" i="21"/>
  <c r="F45" i="39"/>
  <c r="S45" i="39" s="1"/>
  <c r="J45" i="39"/>
  <c r="W45" i="39" s="1"/>
  <c r="F36" i="39"/>
  <c r="S36" i="39" s="1"/>
  <c r="H36" i="39"/>
  <c r="AB36" i="39" s="1"/>
  <c r="J35" i="39"/>
  <c r="J36" i="39"/>
  <c r="AC36" i="39" s="1"/>
  <c r="U9" i="39"/>
  <c r="W40" i="39"/>
  <c r="U30" i="37"/>
  <c r="W31" i="37"/>
  <c r="F103" i="37"/>
  <c r="G103" i="37" s="1"/>
  <c r="H103" i="37" s="1"/>
  <c r="I103" i="37" s="1"/>
  <c r="J103" i="37" s="1"/>
  <c r="K103" i="37" s="1"/>
  <c r="L103" i="37" s="1"/>
  <c r="M103" i="37" s="1"/>
  <c r="F39" i="37"/>
  <c r="U14" i="37"/>
  <c r="F29" i="36"/>
  <c r="AA29" i="36"/>
  <c r="F16" i="36"/>
  <c r="AA16" i="36" s="1"/>
  <c r="S30" i="36"/>
  <c r="AA31" i="36"/>
  <c r="AC31" i="36"/>
  <c r="U31" i="36"/>
  <c r="J33" i="36"/>
  <c r="W33" i="36"/>
  <c r="H22" i="35"/>
  <c r="AB22" i="35"/>
  <c r="W28" i="35"/>
  <c r="F36" i="34"/>
  <c r="AA36" i="34" s="1"/>
  <c r="J35" i="34"/>
  <c r="S34" i="34"/>
  <c r="U34" i="34"/>
  <c r="H39" i="33"/>
  <c r="AB39" i="33"/>
  <c r="F26" i="33"/>
  <c r="AA26" i="33"/>
  <c r="S9" i="33"/>
  <c r="U33" i="33"/>
  <c r="U35" i="33"/>
  <c r="S40" i="33"/>
  <c r="W33" i="33"/>
  <c r="W39" i="33"/>
  <c r="H39" i="37"/>
  <c r="AB39" i="37"/>
  <c r="F11" i="40"/>
  <c r="H11" i="40"/>
  <c r="AB11" i="40" s="1"/>
  <c r="AB39" i="40"/>
  <c r="AC40" i="40"/>
  <c r="AA9" i="40"/>
  <c r="AC9" i="40"/>
  <c r="S34" i="40"/>
  <c r="S40" i="40"/>
  <c r="W31" i="40"/>
  <c r="S38"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c r="J109" i="39" s="1"/>
  <c r="K109" i="39" s="1"/>
  <c r="L109" i="39" s="1"/>
  <c r="M109" i="39" s="1"/>
  <c r="J31" i="39"/>
  <c r="F101" i="39"/>
  <c r="G101" i="39" s="1"/>
  <c r="H27" i="39"/>
  <c r="U27" i="39"/>
  <c r="J19" i="39"/>
  <c r="AC19" i="39"/>
  <c r="J17" i="39"/>
  <c r="J27" i="39"/>
  <c r="AC27" i="39" s="1"/>
  <c r="F27" i="39"/>
  <c r="AA27" i="39" s="1"/>
  <c r="F11" i="21"/>
  <c r="S11" i="21"/>
  <c r="U34" i="21"/>
  <c r="C25" i="39"/>
  <c r="C21" i="39"/>
  <c r="H11" i="39"/>
  <c r="S40" i="39"/>
  <c r="H32" i="33"/>
  <c r="H11" i="21"/>
  <c r="J11" i="21"/>
  <c r="H37" i="40"/>
  <c r="U37" i="40" s="1"/>
  <c r="H36" i="40"/>
  <c r="AB36" i="40" s="1"/>
  <c r="F35" i="40"/>
  <c r="H23" i="40"/>
  <c r="AB23" i="40" s="1"/>
  <c r="H17" i="40"/>
  <c r="U17" i="40" s="1"/>
  <c r="J15" i="40"/>
  <c r="J11" i="40"/>
  <c r="AB12" i="33"/>
  <c r="F37" i="39"/>
  <c r="J34" i="36"/>
  <c r="U30" i="36"/>
  <c r="J30" i="35"/>
  <c r="W30" i="35"/>
  <c r="H30" i="35"/>
  <c r="AB30" i="35"/>
  <c r="F22" i="35"/>
  <c r="AA22" i="35"/>
  <c r="H10" i="35"/>
  <c r="U10" i="35"/>
  <c r="F33" i="36"/>
  <c r="AA33" i="36" s="1"/>
  <c r="W30" i="36"/>
  <c r="H16" i="36"/>
  <c r="AB16" i="36"/>
  <c r="J29" i="36"/>
  <c r="F12" i="36"/>
  <c r="AA12" i="36" s="1"/>
  <c r="F24" i="36"/>
  <c r="AA24" i="36"/>
  <c r="F34" i="36"/>
  <c r="S34" i="36"/>
  <c r="AB8" i="36"/>
  <c r="U8" i="35"/>
  <c r="F14" i="35"/>
  <c r="AA14" i="35"/>
  <c r="F23" i="35"/>
  <c r="AA23" i="35"/>
  <c r="J32" i="35"/>
  <c r="AC32" i="35"/>
  <c r="J16" i="35"/>
  <c r="AC16" i="35"/>
  <c r="H16" i="35"/>
  <c r="U16" i="35"/>
  <c r="F16" i="35"/>
  <c r="S16" i="35"/>
  <c r="H14" i="35"/>
  <c r="AB14" i="35"/>
  <c r="H33" i="35"/>
  <c r="AC8" i="35"/>
  <c r="J20" i="35"/>
  <c r="W20" i="35"/>
  <c r="F35" i="37"/>
  <c r="S35" i="37"/>
  <c r="E101" i="37"/>
  <c r="F101" i="37"/>
  <c r="G101" i="37" s="1"/>
  <c r="H101" i="37" s="1"/>
  <c r="I101" i="37" s="1"/>
  <c r="J101" i="37" s="1"/>
  <c r="K101" i="37" s="1"/>
  <c r="L101" i="37" s="1"/>
  <c r="M101" i="37" s="1"/>
  <c r="J34" i="37"/>
  <c r="W34" i="37" s="1"/>
  <c r="S10" i="37"/>
  <c r="AB34" i="37"/>
  <c r="J33" i="37"/>
  <c r="AC33" i="37"/>
  <c r="U42" i="34"/>
  <c r="H40" i="34"/>
  <c r="E114" i="34"/>
  <c r="F114" i="34" s="1"/>
  <c r="H36" i="34"/>
  <c r="U36" i="34"/>
  <c r="F37" i="34"/>
  <c r="AA37" i="34"/>
  <c r="S35" i="34"/>
  <c r="F28" i="34"/>
  <c r="F27" i="34"/>
  <c r="AA27" i="34" s="1"/>
  <c r="F25" i="34"/>
  <c r="H23" i="34"/>
  <c r="J23" i="34"/>
  <c r="AC23" i="34" s="1"/>
  <c r="F19" i="34"/>
  <c r="H17" i="34"/>
  <c r="U17" i="34" s="1"/>
  <c r="F15" i="34"/>
  <c r="AA15" i="34" s="1"/>
  <c r="J15" i="34"/>
  <c r="H15" i="34"/>
  <c r="J28" i="34"/>
  <c r="F41" i="33"/>
  <c r="S38" i="33"/>
  <c r="F32" i="33"/>
  <c r="AA32" i="33" s="1"/>
  <c r="J19" i="33"/>
  <c r="J15" i="33"/>
  <c r="F11" i="33"/>
  <c r="AA11" i="33" s="1"/>
  <c r="S26" i="33"/>
  <c r="W40" i="33"/>
  <c r="U8" i="33"/>
  <c r="S8" i="33"/>
  <c r="F37" i="40"/>
  <c r="AA37" i="40"/>
  <c r="F36" i="40"/>
  <c r="AA36" i="40"/>
  <c r="H28" i="40"/>
  <c r="U28" i="40"/>
  <c r="F23" i="40"/>
  <c r="AA23" i="40"/>
  <c r="F17" i="40"/>
  <c r="AA17" i="40"/>
  <c r="J17" i="40"/>
  <c r="W17" i="40"/>
  <c r="F15" i="40"/>
  <c r="S15" i="40"/>
  <c r="H15" i="40"/>
  <c r="AB15" i="40"/>
  <c r="AB30" i="36"/>
  <c r="U30" i="35"/>
  <c r="F29" i="35"/>
  <c r="S29" i="35" s="1"/>
  <c r="H29" i="35"/>
  <c r="AB29" i="35" s="1"/>
  <c r="H33" i="37"/>
  <c r="AB33" i="37" s="1"/>
  <c r="F33" i="37"/>
  <c r="U34" i="37"/>
  <c r="W33" i="37"/>
  <c r="S34" i="37"/>
  <c r="AA34" i="37"/>
  <c r="J43" i="34"/>
  <c r="AC43" i="34" s="1"/>
  <c r="AB42" i="34"/>
  <c r="J40" i="34"/>
  <c r="AC40" i="34" s="1"/>
  <c r="G114" i="34"/>
  <c r="H114" i="34" s="1"/>
  <c r="I114" i="34"/>
  <c r="J114" i="34" s="1"/>
  <c r="K114" i="34" s="1"/>
  <c r="L114" i="34" s="1"/>
  <c r="M114" i="34" s="1"/>
  <c r="H38" i="34"/>
  <c r="AB38" i="34"/>
  <c r="J36" i="34"/>
  <c r="W36" i="34"/>
  <c r="H37" i="34"/>
  <c r="U37" i="34"/>
  <c r="H25" i="34"/>
  <c r="AB25" i="34"/>
  <c r="J25" i="34"/>
  <c r="AC25" i="34"/>
  <c r="F23" i="34"/>
  <c r="AA23" i="34" s="1"/>
  <c r="J19" i="34"/>
  <c r="F17" i="34"/>
  <c r="J17" i="34"/>
  <c r="W17" i="34" s="1"/>
  <c r="AB17" i="34"/>
  <c r="S15" i="34"/>
  <c r="F113" i="33"/>
  <c r="G113" i="33" s="1"/>
  <c r="H113" i="33"/>
  <c r="I113" i="33" s="1"/>
  <c r="J113" i="33" s="1"/>
  <c r="K113" i="33" s="1"/>
  <c r="L113" i="33" s="1"/>
  <c r="M113" i="33" s="1"/>
  <c r="H37" i="33"/>
  <c r="H15" i="33"/>
  <c r="H11" i="33"/>
  <c r="AB11" i="33" s="1"/>
  <c r="F28" i="40"/>
  <c r="S42" i="34"/>
  <c r="AC38" i="34"/>
  <c r="AA38" i="34"/>
  <c r="J37" i="34"/>
  <c r="AC37" i="34"/>
  <c r="J11" i="33"/>
  <c r="W11" i="33"/>
  <c r="U23" i="40"/>
  <c r="H123" i="21"/>
  <c r="I123" i="21" s="1"/>
  <c r="J123" i="21" s="1"/>
  <c r="K123" i="21" s="1"/>
  <c r="L123" i="21" s="1"/>
  <c r="M123" i="21" s="1"/>
  <c r="J42" i="21"/>
  <c r="H42" i="21"/>
  <c r="J44" i="34"/>
  <c r="AC44" i="34" s="1"/>
  <c r="F44" i="34"/>
  <c r="AA44" i="34"/>
  <c r="J10" i="35"/>
  <c r="W10" i="35"/>
  <c r="J44" i="21"/>
  <c r="AC44" i="21"/>
  <c r="H44" i="21"/>
  <c r="U44" i="21"/>
  <c r="F44" i="21"/>
  <c r="AA44" i="21"/>
  <c r="H46" i="21"/>
  <c r="U46" i="21"/>
  <c r="J46" i="21"/>
  <c r="W46" i="21"/>
  <c r="F46" i="21"/>
  <c r="AA46" i="21"/>
  <c r="E119" i="21"/>
  <c r="F119" i="21"/>
  <c r="G119" i="21" s="1"/>
  <c r="H119" i="21" s="1"/>
  <c r="I119" i="21" s="1"/>
  <c r="J119" i="21" s="1"/>
  <c r="K119" i="21" s="1"/>
  <c r="L119" i="21" s="1"/>
  <c r="M119" i="21" s="1"/>
  <c r="H26" i="33"/>
  <c r="F28" i="33"/>
  <c r="F33" i="35"/>
  <c r="J33" i="35"/>
  <c r="AC33" i="35" s="1"/>
  <c r="F30" i="35"/>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F27" i="33"/>
  <c r="AA27" i="33"/>
  <c r="F13" i="33"/>
  <c r="S13" i="33" s="1"/>
  <c r="H29" i="33"/>
  <c r="U29" i="33" s="1"/>
  <c r="J31" i="33"/>
  <c r="H45" i="33"/>
  <c r="U45" i="33" s="1"/>
  <c r="F45" i="33"/>
  <c r="F14" i="34"/>
  <c r="S14" i="34" s="1"/>
  <c r="F30" i="34"/>
  <c r="H32" i="34"/>
  <c r="U32" i="34" s="1"/>
  <c r="H46" i="34"/>
  <c r="U46" i="34" s="1"/>
  <c r="H11" i="35"/>
  <c r="U11" i="35" s="1"/>
  <c r="F11" i="35"/>
  <c r="S11" i="35" s="1"/>
  <c r="J26" i="36"/>
  <c r="H28" i="36"/>
  <c r="U28" i="36" s="1"/>
  <c r="J32" i="36"/>
  <c r="J11" i="36"/>
  <c r="AC11" i="36" s="1"/>
  <c r="H11" i="36"/>
  <c r="F11" i="36"/>
  <c r="H13" i="36"/>
  <c r="AB13" i="36" s="1"/>
  <c r="J13" i="36"/>
  <c r="AC13" i="36" s="1"/>
  <c r="F13" i="36"/>
  <c r="S13" i="36"/>
  <c r="E89" i="37"/>
  <c r="F89" i="37"/>
  <c r="G89" i="37" s="1"/>
  <c r="H89" i="37"/>
  <c r="I89" i="37" s="1"/>
  <c r="J89" i="37" s="1"/>
  <c r="K89" i="37" s="1"/>
  <c r="L89" i="37" s="1"/>
  <c r="M89" i="37" s="1"/>
  <c r="J29" i="37"/>
  <c r="F29" i="37"/>
  <c r="F105" i="37"/>
  <c r="H36" i="37"/>
  <c r="AB36" i="37"/>
  <c r="J37" i="37"/>
  <c r="H37" i="37"/>
  <c r="U37" i="37" s="1"/>
  <c r="H40" i="37"/>
  <c r="U40" i="37" s="1"/>
  <c r="J40" i="37"/>
  <c r="AC40" i="37" s="1"/>
  <c r="F40" i="37"/>
  <c r="AA40" i="37" s="1"/>
  <c r="H14" i="33"/>
  <c r="U14" i="33" s="1"/>
  <c r="F14" i="33"/>
  <c r="J14" i="33"/>
  <c r="AC14" i="33" s="1"/>
  <c r="H30" i="33"/>
  <c r="AB30" i="33"/>
  <c r="F30" i="33"/>
  <c r="J30" i="33"/>
  <c r="AC30" i="33" s="1"/>
  <c r="H44" i="33"/>
  <c r="J44" i="33"/>
  <c r="F44" i="33"/>
  <c r="J46" i="33"/>
  <c r="AC46" i="33" s="1"/>
  <c r="F46" i="33"/>
  <c r="H46" i="33"/>
  <c r="AB46" i="33" s="1"/>
  <c r="H13" i="34"/>
  <c r="U13" i="34" s="1"/>
  <c r="J13" i="34"/>
  <c r="F13" i="34"/>
  <c r="J29" i="34"/>
  <c r="AC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H13" i="37"/>
  <c r="AB13" i="37"/>
  <c r="F13" i="37"/>
  <c r="S13" i="37"/>
  <c r="J13" i="37"/>
  <c r="W13" i="37"/>
  <c r="F43" i="39"/>
  <c r="AA43" i="39"/>
  <c r="H43" i="39"/>
  <c r="J14" i="39"/>
  <c r="AC14" i="39" s="1"/>
  <c r="F14" i="39"/>
  <c r="S14" i="39" s="1"/>
  <c r="H14" i="39"/>
  <c r="AB14" i="39"/>
  <c r="F12" i="40"/>
  <c r="S12" i="40"/>
  <c r="H12" i="40"/>
  <c r="AB12" i="40"/>
  <c r="H30" i="40"/>
  <c r="AB30" i="40"/>
  <c r="F33" i="40"/>
  <c r="AA33" i="40"/>
  <c r="H33" i="40"/>
  <c r="U33" i="40"/>
  <c r="J35" i="40"/>
  <c r="AC35" i="40"/>
  <c r="J37" i="40"/>
  <c r="AC37" i="40"/>
  <c r="F14" i="37"/>
  <c r="S14" i="37"/>
  <c r="F27" i="37"/>
  <c r="AA27" i="37"/>
  <c r="J13" i="39"/>
  <c r="H14" i="40"/>
  <c r="AB14" i="40"/>
  <c r="J14" i="40"/>
  <c r="W14" i="40"/>
  <c r="F14" i="40"/>
  <c r="AA14" i="40"/>
  <c r="J14" i="37"/>
  <c r="AC14" i="37"/>
  <c r="J27" i="37"/>
  <c r="AC27" i="37"/>
  <c r="AA13" i="35"/>
  <c r="U31" i="34"/>
  <c r="U46" i="33"/>
  <c r="J36" i="37"/>
  <c r="G105" i="37"/>
  <c r="J10" i="36"/>
  <c r="AC10" i="36"/>
  <c r="AA14" i="37"/>
  <c r="W31" i="34"/>
  <c r="W13" i="36"/>
  <c r="W11" i="36"/>
  <c r="AA14" i="34"/>
  <c r="S44" i="34"/>
  <c r="F17" i="21"/>
  <c r="AA17" i="21"/>
  <c r="H17" i="21"/>
  <c r="AB17" i="21"/>
  <c r="F15" i="21"/>
  <c r="S15" i="21"/>
  <c r="J41" i="39"/>
  <c r="W41" i="39" s="1"/>
  <c r="AC45" i="39"/>
  <c r="U36" i="39"/>
  <c r="S505" i="31"/>
  <c r="S503" i="31"/>
  <c r="S501" i="31"/>
  <c r="S499" i="31"/>
  <c r="O27" i="31"/>
  <c r="O28" i="31"/>
  <c r="O26" i="31"/>
  <c r="M27" i="31"/>
  <c r="M28" i="31"/>
  <c r="M26" i="31"/>
  <c r="I26" i="31"/>
  <c r="I25" i="31"/>
  <c r="S25" i="31"/>
  <c r="Q26" i="31"/>
  <c r="K26" i="31"/>
  <c r="I27" i="31"/>
  <c r="Q27" i="31"/>
  <c r="K27" i="31"/>
  <c r="I28" i="31"/>
  <c r="Q28" i="31"/>
  <c r="K28" i="31"/>
  <c r="S21" i="40"/>
  <c r="H25" i="21"/>
  <c r="F25" i="21"/>
  <c r="J25" i="21"/>
  <c r="AC25" i="21" s="1"/>
  <c r="E125" i="33"/>
  <c r="F125" i="33" s="1"/>
  <c r="G125" i="33" s="1"/>
  <c r="H43" i="33"/>
  <c r="AB43" i="33" s="1"/>
  <c r="H17" i="37"/>
  <c r="U17" i="37" s="1"/>
  <c r="AB27" i="37"/>
  <c r="AA36" i="39"/>
  <c r="F39" i="33"/>
  <c r="AA39" i="33"/>
  <c r="E123" i="33"/>
  <c r="F42" i="33"/>
  <c r="AA42" i="33" s="1"/>
  <c r="H28" i="34"/>
  <c r="AB28" i="34" s="1"/>
  <c r="F14" i="36"/>
  <c r="F22" i="36"/>
  <c r="S22" i="36" s="1"/>
  <c r="F26" i="36"/>
  <c r="S26" i="36" s="1"/>
  <c r="H27" i="34"/>
  <c r="H35" i="34"/>
  <c r="F41" i="34"/>
  <c r="S41" i="34" s="1"/>
  <c r="H41" i="34"/>
  <c r="U41" i="34" s="1"/>
  <c r="J41" i="34"/>
  <c r="F10" i="35"/>
  <c r="S10" i="35" s="1"/>
  <c r="H24" i="35"/>
  <c r="AB24" i="35" s="1"/>
  <c r="H23" i="37"/>
  <c r="AB23" i="37" s="1"/>
  <c r="J32" i="37"/>
  <c r="AC32" i="37" s="1"/>
  <c r="F36" i="37"/>
  <c r="AA36" i="37" s="1"/>
  <c r="F37" i="37"/>
  <c r="F31" i="40"/>
  <c r="H31" i="40"/>
  <c r="F32" i="40"/>
  <c r="H32" i="40"/>
  <c r="AB32" i="40" s="1"/>
  <c r="J36" i="40"/>
  <c r="AA41" i="34"/>
  <c r="H19" i="37"/>
  <c r="AB19" i="37"/>
  <c r="F123" i="33"/>
  <c r="G123" i="33"/>
  <c r="H123" i="33" s="1"/>
  <c r="I123" i="33" s="1"/>
  <c r="J123" i="33" s="1"/>
  <c r="K123" i="33" s="1"/>
  <c r="L123" i="33" s="1"/>
  <c r="M123" i="33" s="1"/>
  <c r="H42" i="33"/>
  <c r="AB42" i="33"/>
  <c r="J43" i="33"/>
  <c r="AC43" i="33" s="1"/>
  <c r="U43" i="33"/>
  <c r="S28" i="31"/>
  <c r="S27" i="31"/>
  <c r="S26" i="31"/>
  <c r="U14" i="40"/>
  <c r="AC33" i="36"/>
  <c r="U35" i="35"/>
  <c r="AA12" i="35"/>
  <c r="W14" i="37"/>
  <c r="U33" i="37"/>
  <c r="U39" i="37"/>
  <c r="W26" i="37"/>
  <c r="AC8" i="37"/>
  <c r="U26" i="37"/>
  <c r="W47" i="34"/>
  <c r="AB13" i="34"/>
  <c r="W37" i="34"/>
  <c r="AB37" i="34"/>
  <c r="AC36" i="34"/>
  <c r="AA13" i="33"/>
  <c r="U11" i="33"/>
  <c r="U19" i="21"/>
  <c r="W44" i="21"/>
  <c r="AC46" i="21"/>
  <c r="U12" i="21"/>
  <c r="F43" i="33"/>
  <c r="AA43" i="33"/>
  <c r="W15" i="34"/>
  <c r="AC15" i="34"/>
  <c r="W16" i="35"/>
  <c r="W40" i="37"/>
  <c r="H107" i="37"/>
  <c r="I107" i="37" s="1"/>
  <c r="J107" i="37" s="1"/>
  <c r="K107" i="37" s="1"/>
  <c r="L107" i="37" s="1"/>
  <c r="M107" i="37" s="1"/>
  <c r="H37" i="21"/>
  <c r="S42" i="21"/>
  <c r="H19" i="34"/>
  <c r="AB19" i="34"/>
  <c r="J9" i="37"/>
  <c r="W9" i="37"/>
  <c r="H9" i="37"/>
  <c r="AB9" i="37"/>
  <c r="F9" i="37"/>
  <c r="S9" i="37"/>
  <c r="J12" i="37"/>
  <c r="W12" i="37"/>
  <c r="H12" i="37"/>
  <c r="AB12" i="37"/>
  <c r="F12" i="37"/>
  <c r="S12" i="37"/>
  <c r="F15" i="37"/>
  <c r="AA15" i="37" s="1"/>
  <c r="E94" i="37"/>
  <c r="F31" i="37"/>
  <c r="S31" i="37"/>
  <c r="F12" i="39"/>
  <c r="S12" i="39"/>
  <c r="J42" i="39"/>
  <c r="AC42" i="39"/>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G88" i="40"/>
  <c r="F19" i="40"/>
  <c r="S19" i="40"/>
  <c r="S14" i="40"/>
  <c r="AB33" i="40"/>
  <c r="W23" i="39"/>
  <c r="AC43" i="39"/>
  <c r="W43" i="39"/>
  <c r="U45" i="39"/>
  <c r="AB45" i="39"/>
  <c r="H37" i="39"/>
  <c r="AB37" i="39" s="1"/>
  <c r="H25" i="39"/>
  <c r="AB25" i="39" s="1"/>
  <c r="J25" i="39"/>
  <c r="W25" i="39" s="1"/>
  <c r="F25" i="39"/>
  <c r="AA25" i="39"/>
  <c r="F15" i="39"/>
  <c r="AA15" i="39"/>
  <c r="H15" i="39"/>
  <c r="U15" i="39"/>
  <c r="J15" i="39"/>
  <c r="W15" i="39"/>
  <c r="H41" i="39"/>
  <c r="AB34" i="39"/>
  <c r="U40" i="39"/>
  <c r="S42" i="39"/>
  <c r="W14" i="39"/>
  <c r="AA41" i="39"/>
  <c r="W8" i="39"/>
  <c r="J19" i="40"/>
  <c r="AC19" i="40" s="1"/>
  <c r="J50" i="40"/>
  <c r="B54" i="72"/>
  <c r="H103" i="9"/>
  <c r="D8" i="53" s="1"/>
  <c r="D9" i="53" s="1"/>
  <c r="B25" i="72" s="1"/>
  <c r="B16" i="53"/>
  <c r="B33" i="72" s="1"/>
  <c r="C7" i="37"/>
  <c r="C52" i="37" s="1"/>
  <c r="C7" i="34"/>
  <c r="C7" i="36"/>
  <c r="C46" i="36" s="1"/>
  <c r="W35" i="40"/>
  <c r="A118" i="9"/>
  <c r="A4" i="52"/>
  <c r="B41" i="72"/>
  <c r="J11" i="39"/>
  <c r="W11" i="39"/>
  <c r="F11" i="39"/>
  <c r="AA11" i="39"/>
  <c r="A12" i="52"/>
  <c r="B56" i="72"/>
  <c r="S11" i="39"/>
  <c r="G4" i="4"/>
  <c r="I4" i="4"/>
  <c r="K5" i="4"/>
  <c r="B47" i="48" s="1"/>
  <c r="A2" i="9"/>
  <c r="F59" i="43"/>
  <c r="H62" i="43"/>
  <c r="BO5" i="3"/>
  <c r="BM5" i="3"/>
  <c r="F29" i="6" s="1"/>
  <c r="BJ5" i="3"/>
  <c r="BH5" i="3"/>
  <c r="BF5" i="3"/>
  <c r="BD5" i="3"/>
  <c r="BQ5" i="3"/>
  <c r="AC5" i="3"/>
  <c r="BS5" i="3"/>
  <c r="BP5" i="3"/>
  <c r="BN5" i="3"/>
  <c r="G29" i="6" s="1"/>
  <c r="BK5" i="3"/>
  <c r="BI5" i="3"/>
  <c r="BG5" i="3"/>
  <c r="BE5" i="3"/>
  <c r="E15" i="6" s="1"/>
  <c r="BC5" i="3"/>
  <c r="BT5" i="3"/>
  <c r="BB5" i="3"/>
  <c r="BR5" i="3"/>
  <c r="G28" i="6" s="1"/>
  <c r="G30" i="6" s="1"/>
  <c r="G31" i="6" s="1"/>
  <c r="E8" i="6"/>
  <c r="U36" i="40"/>
  <c r="F36" i="43"/>
  <c r="F81" i="43"/>
  <c r="N2" i="43"/>
  <c r="F48" i="43" s="1"/>
  <c r="H52" i="43"/>
  <c r="F70" i="43"/>
  <c r="H73" i="43"/>
  <c r="M11" i="43"/>
  <c r="D17" i="43"/>
  <c r="F39" i="43"/>
  <c r="I17" i="43"/>
  <c r="F35" i="43"/>
  <c r="J17" i="43"/>
  <c r="U17" i="39"/>
  <c r="S14" i="35"/>
  <c r="AC35" i="21"/>
  <c r="U10" i="21"/>
  <c r="G8" i="1"/>
  <c r="G9" i="1"/>
  <c r="G10" i="1"/>
  <c r="F48" i="9"/>
  <c r="O52" i="9" s="1"/>
  <c r="AC11" i="39"/>
  <c r="W44" i="34"/>
  <c r="S15" i="37"/>
  <c r="U13" i="37"/>
  <c r="U12" i="40"/>
  <c r="AA12" i="40"/>
  <c r="J37" i="33"/>
  <c r="G106" i="33"/>
  <c r="H106" i="33" s="1"/>
  <c r="I106" i="33" s="1"/>
  <c r="J106" i="33" s="1"/>
  <c r="K106" i="33" s="1"/>
  <c r="L106" i="33" s="1"/>
  <c r="M106" i="33" s="1"/>
  <c r="J34" i="33"/>
  <c r="W34" i="33"/>
  <c r="F33" i="34"/>
  <c r="S33" i="34"/>
  <c r="W12" i="36"/>
  <c r="AC12" i="36"/>
  <c r="H20" i="36"/>
  <c r="U20" i="36"/>
  <c r="J20" i="36"/>
  <c r="W20" i="36"/>
  <c r="J27" i="36"/>
  <c r="AC33" i="40"/>
  <c r="H35" i="40"/>
  <c r="AB35" i="40" s="1"/>
  <c r="H35" i="37"/>
  <c r="AC14" i="35"/>
  <c r="H20" i="35"/>
  <c r="U20" i="35"/>
  <c r="F20" i="35"/>
  <c r="AA20" i="35"/>
  <c r="AB29" i="36"/>
  <c r="U29" i="36"/>
  <c r="H32" i="37"/>
  <c r="AB32" i="37" s="1"/>
  <c r="F96" i="37"/>
  <c r="G96" i="37" s="1"/>
  <c r="H96" i="37" s="1"/>
  <c r="I96" i="37" s="1"/>
  <c r="J96" i="37" s="1"/>
  <c r="K96" i="37" s="1"/>
  <c r="L96" i="37" s="1"/>
  <c r="M96" i="37" s="1"/>
  <c r="J30" i="40"/>
  <c r="AC30" i="40"/>
  <c r="F30" i="40"/>
  <c r="AA30" i="40"/>
  <c r="AC2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J39" i="39"/>
  <c r="E97" i="39"/>
  <c r="F97" i="39" s="1"/>
  <c r="G97" i="39" s="1"/>
  <c r="C40" i="11"/>
  <c r="H75" i="43"/>
  <c r="F23" i="39"/>
  <c r="H27" i="36"/>
  <c r="U27" i="36" s="1"/>
  <c r="F27" i="36"/>
  <c r="H33" i="34"/>
  <c r="U33" i="34" s="1"/>
  <c r="F32" i="37"/>
  <c r="F20" i="36"/>
  <c r="AA20" i="36"/>
  <c r="J33" i="34"/>
  <c r="AC33" i="34"/>
  <c r="H23" i="39"/>
  <c r="U23" i="39"/>
  <c r="D48" i="9"/>
  <c r="M52" i="9"/>
  <c r="M9" i="1"/>
  <c r="O9" i="1"/>
  <c r="P9" i="1"/>
  <c r="AE9" i="1"/>
  <c r="D93" i="9"/>
  <c r="E13" i="6"/>
  <c r="AC26" i="33"/>
  <c r="W27" i="34"/>
  <c r="AB34" i="36"/>
  <c r="U34" i="36"/>
  <c r="AB33" i="36"/>
  <c r="U33" i="36"/>
  <c r="AC12" i="39"/>
  <c r="AC39" i="40"/>
  <c r="W39" i="40"/>
  <c r="W12" i="33"/>
  <c r="AA39" i="34"/>
  <c r="U30" i="33"/>
  <c r="AA47" i="34"/>
  <c r="S19" i="39"/>
  <c r="F12" i="33"/>
  <c r="H12" i="39"/>
  <c r="AB12" i="39" s="1"/>
  <c r="F39" i="40"/>
  <c r="AA39" i="40" s="1"/>
  <c r="S12" i="1"/>
  <c r="AR12" i="1" s="1"/>
  <c r="R12" i="1"/>
  <c r="B12" i="1"/>
  <c r="E12" i="1"/>
  <c r="S10" i="1"/>
  <c r="AQ10" i="1" s="1"/>
  <c r="R10" i="1"/>
  <c r="B10" i="1"/>
  <c r="E10" i="1" s="1"/>
  <c r="D1" i="66"/>
  <c r="E10" i="66" s="1"/>
  <c r="O12" i="1"/>
  <c r="P12" i="1"/>
  <c r="S13" i="1"/>
  <c r="AR13" i="1" s="1"/>
  <c r="R13" i="1"/>
  <c r="S11" i="1"/>
  <c r="AQ11" i="1" s="1"/>
  <c r="R11" i="1"/>
  <c r="S9" i="1"/>
  <c r="AR9" i="1" s="1"/>
  <c r="R9" i="1"/>
  <c r="C42" i="1"/>
  <c r="C4" i="12"/>
  <c r="B41" i="1"/>
  <c r="H100" i="43"/>
  <c r="C30" i="66"/>
  <c r="E26" i="66" s="1"/>
  <c r="AC34" i="33"/>
  <c r="AA34" i="33"/>
  <c r="S22" i="31"/>
  <c r="R22" i="31" s="1"/>
  <c r="B21" i="31" s="1"/>
  <c r="J100" i="43"/>
  <c r="AB37" i="40"/>
  <c r="U35" i="40"/>
  <c r="W38" i="40"/>
  <c r="S17" i="40"/>
  <c r="S23" i="40"/>
  <c r="AC17" i="40"/>
  <c r="S30" i="40"/>
  <c r="AA19" i="40"/>
  <c r="U21" i="40"/>
  <c r="AB19" i="40"/>
  <c r="W42" i="39"/>
  <c r="S43" i="39"/>
  <c r="F32" i="39"/>
  <c r="F107" i="39"/>
  <c r="G107" i="39" s="1"/>
  <c r="U25" i="39"/>
  <c r="AB27" i="39"/>
  <c r="U31" i="39"/>
  <c r="S25" i="39"/>
  <c r="J21" i="39"/>
  <c r="AC21" i="39" s="1"/>
  <c r="F21" i="39"/>
  <c r="G95" i="39"/>
  <c r="H21" i="39"/>
  <c r="W19" i="39"/>
  <c r="U19" i="39"/>
  <c r="S17" i="39"/>
  <c r="AC15" i="39"/>
  <c r="S15" i="39"/>
  <c r="AB15" i="39"/>
  <c r="AA12" i="39"/>
  <c r="U14" i="39"/>
  <c r="U12" i="39"/>
  <c r="AB27" i="36"/>
  <c r="U26" i="36"/>
  <c r="S33" i="36"/>
  <c r="AA34" i="36"/>
  <c r="S29" i="36"/>
  <c r="AA22" i="36"/>
  <c r="W14" i="36"/>
  <c r="AB14" i="36"/>
  <c r="U22" i="36"/>
  <c r="S16" i="36"/>
  <c r="S24" i="36"/>
  <c r="U23" i="36"/>
  <c r="AB20" i="36"/>
  <c r="U16" i="36"/>
  <c r="U10" i="36"/>
  <c r="W10" i="36"/>
  <c r="AA25" i="35"/>
  <c r="S23" i="35"/>
  <c r="AB13" i="35"/>
  <c r="U29" i="35"/>
  <c r="AB27" i="35"/>
  <c r="U32" i="35"/>
  <c r="AC30" i="35"/>
  <c r="S32" i="35"/>
  <c r="W32" i="35"/>
  <c r="S28" i="35"/>
  <c r="AB16" i="35"/>
  <c r="U22" i="35"/>
  <c r="S20" i="35"/>
  <c r="AC20" i="35"/>
  <c r="S22" i="35"/>
  <c r="U14" i="35"/>
  <c r="AC10" i="35"/>
  <c r="AA10" i="35"/>
  <c r="AB10" i="35"/>
  <c r="AA11" i="35"/>
  <c r="AC12" i="35"/>
  <c r="W13" i="35"/>
  <c r="F9" i="35"/>
  <c r="S9" i="35" s="1"/>
  <c r="H9" i="35"/>
  <c r="F26" i="35"/>
  <c r="J26" i="35"/>
  <c r="W26" i="35" s="1"/>
  <c r="H26" i="35"/>
  <c r="W27" i="37"/>
  <c r="AC9" i="37"/>
  <c r="U29" i="37"/>
  <c r="AB31" i="37"/>
  <c r="S36" i="37"/>
  <c r="U32" i="37"/>
  <c r="AC35" i="37"/>
  <c r="W39" i="37"/>
  <c r="S30" i="37"/>
  <c r="AC15" i="37"/>
  <c r="J17" i="37"/>
  <c r="W17" i="37"/>
  <c r="G73" i="37"/>
  <c r="F17" i="37"/>
  <c r="AB17" i="37"/>
  <c r="F75" i="37"/>
  <c r="F19" i="37"/>
  <c r="AA19" i="37" s="1"/>
  <c r="F79" i="37"/>
  <c r="F23" i="37"/>
  <c r="S23" i="37" s="1"/>
  <c r="U23" i="37"/>
  <c r="U15" i="37"/>
  <c r="AC13" i="37"/>
  <c r="U9" i="37"/>
  <c r="AA13" i="37"/>
  <c r="AA12" i="37"/>
  <c r="AA9" i="37"/>
  <c r="H10" i="37"/>
  <c r="H60" i="37"/>
  <c r="F63" i="37"/>
  <c r="F11" i="37"/>
  <c r="S11" i="37" s="1"/>
  <c r="S27" i="34"/>
  <c r="W25" i="34"/>
  <c r="AB8" i="34"/>
  <c r="AA33" i="34"/>
  <c r="U44" i="34"/>
  <c r="U43" i="34"/>
  <c r="AC39" i="34"/>
  <c r="AC42" i="34"/>
  <c r="U39" i="34"/>
  <c r="S43" i="34"/>
  <c r="AB41" i="34"/>
  <c r="AA45" i="34"/>
  <c r="W34" i="34"/>
  <c r="U28" i="34"/>
  <c r="AA29" i="34"/>
  <c r="S23" i="34"/>
  <c r="S10" i="34"/>
  <c r="H67" i="34"/>
  <c r="H10" i="34"/>
  <c r="F11" i="34"/>
  <c r="F70" i="34"/>
  <c r="G70" i="34" s="1"/>
  <c r="AA35" i="33"/>
  <c r="S27" i="33"/>
  <c r="S32" i="33"/>
  <c r="AB29" i="33"/>
  <c r="W38" i="33"/>
  <c r="H41" i="33"/>
  <c r="AB41" i="33" s="1"/>
  <c r="G121" i="33"/>
  <c r="H121" i="33" s="1"/>
  <c r="I121" i="33"/>
  <c r="J121" i="33" s="1"/>
  <c r="K121" i="33" s="1"/>
  <c r="L121" i="33" s="1"/>
  <c r="M121" i="33" s="1"/>
  <c r="U42" i="33"/>
  <c r="S42" i="33"/>
  <c r="F36" i="33"/>
  <c r="G111" i="33"/>
  <c r="H111" i="33" s="1"/>
  <c r="J35" i="33"/>
  <c r="W35" i="33" s="1"/>
  <c r="S37" i="33"/>
  <c r="AA37" i="33"/>
  <c r="S39" i="33"/>
  <c r="F101" i="33"/>
  <c r="G101" i="33" s="1"/>
  <c r="H101" i="33" s="1"/>
  <c r="I101" i="33" s="1"/>
  <c r="J101" i="33" s="1"/>
  <c r="K101" i="33" s="1"/>
  <c r="L101" i="33" s="1"/>
  <c r="M101" i="33" s="1"/>
  <c r="J32" i="33"/>
  <c r="AC32" i="33" s="1"/>
  <c r="S43" i="33"/>
  <c r="F91" i="33"/>
  <c r="G91" i="33" s="1"/>
  <c r="H27" i="33"/>
  <c r="H25" i="33"/>
  <c r="F25" i="33"/>
  <c r="S25" i="33" s="1"/>
  <c r="J23" i="33"/>
  <c r="F85" i="33"/>
  <c r="H23" i="33"/>
  <c r="F19" i="33"/>
  <c r="S19" i="33"/>
  <c r="J17" i="33"/>
  <c r="W17" i="33" s="1"/>
  <c r="S15" i="33"/>
  <c r="U9" i="33"/>
  <c r="J10" i="33"/>
  <c r="AC10" i="33" s="1"/>
  <c r="H10" i="33"/>
  <c r="AA10" i="33"/>
  <c r="AC11" i="33"/>
  <c r="W43" i="21"/>
  <c r="W36" i="21"/>
  <c r="W41" i="21"/>
  <c r="S39" i="21"/>
  <c r="AA36" i="21"/>
  <c r="J15" i="21"/>
  <c r="W15" i="21" s="1"/>
  <c r="F23" i="21"/>
  <c r="S23" i="21" s="1"/>
  <c r="E85" i="21"/>
  <c r="F85" i="21" s="1"/>
  <c r="S8" i="21"/>
  <c r="M3" i="43"/>
  <c r="M1" i="43"/>
  <c r="N8" i="43"/>
  <c r="C18" i="9"/>
  <c r="D18" i="9"/>
  <c r="F34" i="67"/>
  <c r="F62" i="67"/>
  <c r="M20" i="67"/>
  <c r="F34" i="15"/>
  <c r="E10" i="6"/>
  <c r="J56" i="9"/>
  <c r="J57" i="9" s="1"/>
  <c r="J59" i="9" s="1"/>
  <c r="J61" i="9" s="1"/>
  <c r="A24" i="51"/>
  <c r="B18" i="72" s="1"/>
  <c r="U29" i="34"/>
  <c r="E5" i="6"/>
  <c r="P10" i="1"/>
  <c r="E32" i="6"/>
  <c r="L19" i="6"/>
  <c r="G1" i="68"/>
  <c r="K1" i="12"/>
  <c r="E19" i="69"/>
  <c r="E19" i="68"/>
  <c r="E19" i="11"/>
  <c r="E1" i="73"/>
  <c r="K1" i="73" s="1"/>
  <c r="G41" i="69"/>
  <c r="G22" i="69"/>
  <c r="G41" i="68"/>
  <c r="G22" i="68"/>
  <c r="G27" i="12"/>
  <c r="G26" i="12"/>
  <c r="G41" i="11"/>
  <c r="G22" i="11"/>
  <c r="G25" i="12"/>
  <c r="C100" i="43"/>
  <c r="E11" i="43"/>
  <c r="E10" i="43"/>
  <c r="E9" i="43"/>
  <c r="E8" i="43"/>
  <c r="C7" i="43"/>
  <c r="E81" i="43"/>
  <c r="B79" i="43"/>
  <c r="E48" i="43"/>
  <c r="B46" i="43" s="1"/>
  <c r="C24" i="43" s="1"/>
  <c r="E70" i="43"/>
  <c r="B68" i="43" s="1"/>
  <c r="F100" i="43"/>
  <c r="H17" i="43"/>
  <c r="B24" i="72"/>
  <c r="G6" i="1"/>
  <c r="H85" i="43"/>
  <c r="H53" i="43"/>
  <c r="H78" i="43"/>
  <c r="H71" i="43"/>
  <c r="C17" i="43"/>
  <c r="F33" i="43"/>
  <c r="W23" i="1" s="1"/>
  <c r="K17" i="43"/>
  <c r="F34" i="43"/>
  <c r="W24" i="1" s="1"/>
  <c r="N6" i="43"/>
  <c r="M2" i="43"/>
  <c r="C6" i="43" s="1"/>
  <c r="C5" i="43" s="1"/>
  <c r="N3" i="43"/>
  <c r="F38" i="43"/>
  <c r="F37" i="43"/>
  <c r="M9" i="43"/>
  <c r="N5" i="43"/>
  <c r="M12" i="43"/>
  <c r="B19" i="53"/>
  <c r="B37" i="72" s="1"/>
  <c r="C7" i="39"/>
  <c r="C68" i="39" s="1"/>
  <c r="C70" i="39" s="1"/>
  <c r="C7" i="35"/>
  <c r="C48" i="35" s="1"/>
  <c r="C7" i="33"/>
  <c r="C58" i="33" s="1"/>
  <c r="D58" i="33" s="1"/>
  <c r="E58" i="33" s="1"/>
  <c r="F58" i="33" s="1"/>
  <c r="G58" i="33" s="1"/>
  <c r="C7" i="21"/>
  <c r="C58" i="21"/>
  <c r="D58" i="21" s="1"/>
  <c r="E58" i="21" s="1"/>
  <c r="F58" i="21" s="1"/>
  <c r="C7" i="40"/>
  <c r="C63" i="40"/>
  <c r="D63" i="40" s="1"/>
  <c r="M47" i="9"/>
  <c r="G19" i="43"/>
  <c r="O19" i="43" s="1"/>
  <c r="T35" i="4"/>
  <c r="A19" i="51" s="1"/>
  <c r="B14" i="72" s="1"/>
  <c r="D46" i="36"/>
  <c r="E46" i="36" s="1"/>
  <c r="C59" i="34"/>
  <c r="D59" i="34"/>
  <c r="E59" i="34" s="1"/>
  <c r="F59" i="34" s="1"/>
  <c r="D52" i="37"/>
  <c r="E52" i="37" s="1"/>
  <c r="F52" i="37" s="1"/>
  <c r="A4" i="51"/>
  <c r="B6" i="72"/>
  <c r="D48" i="35"/>
  <c r="E48" i="35" s="1"/>
  <c r="H66" i="43"/>
  <c r="H65" i="43"/>
  <c r="H64" i="43"/>
  <c r="H63" i="43"/>
  <c r="H55" i="43"/>
  <c r="H72" i="43"/>
  <c r="L20" i="6"/>
  <c r="E51" i="40"/>
  <c r="B6" i="1"/>
  <c r="E6" i="1"/>
  <c r="S8" i="1"/>
  <c r="AQ8" i="1" s="1"/>
  <c r="M11" i="1"/>
  <c r="O11" i="1"/>
  <c r="P11" i="1"/>
  <c r="AP6" i="1"/>
  <c r="B9" i="1"/>
  <c r="E9" i="1" s="1"/>
  <c r="G1" i="69"/>
  <c r="W23" i="40"/>
  <c r="U32" i="40"/>
  <c r="S37" i="40"/>
  <c r="AB28" i="40"/>
  <c r="W34" i="40"/>
  <c r="W19" i="40"/>
  <c r="S36" i="40"/>
  <c r="W37" i="40"/>
  <c r="AC14" i="40"/>
  <c r="S33" i="40"/>
  <c r="AA15" i="40"/>
  <c r="U15" i="40"/>
  <c r="AB17" i="40"/>
  <c r="U8" i="40"/>
  <c r="S8" i="40"/>
  <c r="AC41" i="39"/>
  <c r="U42" i="39"/>
  <c r="AB23" i="39"/>
  <c r="U41" i="39"/>
  <c r="AB41" i="39"/>
  <c r="AC25" i="39"/>
  <c r="S13" i="39"/>
  <c r="U43" i="39"/>
  <c r="AB43" i="39"/>
  <c r="AB11" i="39"/>
  <c r="U11" i="39"/>
  <c r="S27" i="39"/>
  <c r="W17" i="39"/>
  <c r="AC17" i="39"/>
  <c r="W31" i="39"/>
  <c r="AC31" i="39"/>
  <c r="AA45" i="39"/>
  <c r="AB39" i="39"/>
  <c r="W34" i="39"/>
  <c r="S8" i="39"/>
  <c r="S20" i="36"/>
  <c r="S28" i="36"/>
  <c r="AC20" i="36"/>
  <c r="AB28" i="36"/>
  <c r="AA13" i="36"/>
  <c r="W9" i="36"/>
  <c r="AB20" i="35"/>
  <c r="AC25" i="35"/>
  <c r="U25" i="35"/>
  <c r="W33" i="35"/>
  <c r="U24" i="35"/>
  <c r="S35" i="35"/>
  <c r="W35" i="35"/>
  <c r="AA16" i="35"/>
  <c r="AA35" i="37"/>
  <c r="S27" i="37"/>
  <c r="W32" i="37"/>
  <c r="U36" i="37"/>
  <c r="S40" i="37"/>
  <c r="AB37" i="37"/>
  <c r="AC34" i="37"/>
  <c r="AA11" i="37"/>
  <c r="AA31" i="37"/>
  <c r="U19" i="37"/>
  <c r="AA8" i="37"/>
  <c r="AA40" i="34"/>
  <c r="U19" i="34"/>
  <c r="AB33" i="34"/>
  <c r="AC45" i="34"/>
  <c r="AA31" i="34"/>
  <c r="AB45" i="34"/>
  <c r="AB47" i="34"/>
  <c r="U25" i="34"/>
  <c r="AB36" i="34"/>
  <c r="W33" i="34"/>
  <c r="W29" i="34"/>
  <c r="AA32" i="34"/>
  <c r="S37" i="34"/>
  <c r="U38" i="34"/>
  <c r="W40" i="34"/>
  <c r="AA19" i="34"/>
  <c r="S19" i="34"/>
  <c r="S8" i="34"/>
  <c r="W23" i="34"/>
  <c r="AC35" i="34"/>
  <c r="W35" i="34"/>
  <c r="U39" i="33"/>
  <c r="U38" i="33"/>
  <c r="S33" i="33"/>
  <c r="AB34" i="33"/>
  <c r="U44" i="33"/>
  <c r="AB44" i="33"/>
  <c r="S30" i="33"/>
  <c r="AA30" i="33"/>
  <c r="W14" i="33"/>
  <c r="AA31" i="33"/>
  <c r="S11" i="33"/>
  <c r="W9" i="33"/>
  <c r="W8" i="33"/>
  <c r="S44" i="21"/>
  <c r="AA11" i="21"/>
  <c r="F33" i="21"/>
  <c r="S33" i="21" s="1"/>
  <c r="J33" i="21"/>
  <c r="H33" i="21"/>
  <c r="AB33" i="21" s="1"/>
  <c r="F37" i="21"/>
  <c r="AA26" i="21"/>
  <c r="AB46" i="21"/>
  <c r="U40" i="21"/>
  <c r="AC15" i="21"/>
  <c r="S35" i="21"/>
  <c r="J37" i="21"/>
  <c r="H15" i="21"/>
  <c r="J17" i="21"/>
  <c r="AC19" i="21"/>
  <c r="W39" i="21"/>
  <c r="S46" i="21"/>
  <c r="F29" i="21"/>
  <c r="S29" i="21"/>
  <c r="F13" i="21"/>
  <c r="AA13" i="21"/>
  <c r="AC38" i="21"/>
  <c r="H32" i="21"/>
  <c r="AB32" i="21" s="1"/>
  <c r="J32" i="21"/>
  <c r="F32" i="21"/>
  <c r="AA32" i="21" s="1"/>
  <c r="U17" i="21"/>
  <c r="K141" i="21"/>
  <c r="K144" i="21"/>
  <c r="K143" i="21"/>
  <c r="U27" i="21"/>
  <c r="AB44" i="21"/>
  <c r="W13" i="21"/>
  <c r="F10" i="21"/>
  <c r="K145" i="21"/>
  <c r="W25" i="21"/>
  <c r="AA29" i="21"/>
  <c r="S27" i="21"/>
  <c r="S17" i="21"/>
  <c r="AA15" i="21"/>
  <c r="AC27" i="21"/>
  <c r="AC26" i="21"/>
  <c r="AB29" i="21"/>
  <c r="AC34" i="21"/>
  <c r="W12" i="21"/>
  <c r="W30" i="40"/>
  <c r="C15" i="40"/>
  <c r="U30" i="40"/>
  <c r="B52" i="43"/>
  <c r="B67" i="43"/>
  <c r="D23" i="15"/>
  <c r="D22" i="15"/>
  <c r="O6" i="1"/>
  <c r="P6" i="1"/>
  <c r="F30" i="11"/>
  <c r="C48" i="11" s="1"/>
  <c r="F28" i="67"/>
  <c r="M18" i="67"/>
  <c r="F28" i="15"/>
  <c r="C28" i="15"/>
  <c r="S7" i="1"/>
  <c r="S39" i="40"/>
  <c r="S12" i="33"/>
  <c r="AA12" i="33"/>
  <c r="F54" i="9"/>
  <c r="J32" i="39"/>
  <c r="H107" i="39"/>
  <c r="I107" i="39" s="1"/>
  <c r="J107" i="39"/>
  <c r="K107" i="39" s="1"/>
  <c r="L107" i="39" s="1"/>
  <c r="M107" i="39" s="1"/>
  <c r="H32" i="39"/>
  <c r="U32" i="39" s="1"/>
  <c r="AA32" i="39"/>
  <c r="S32" i="39"/>
  <c r="AB21" i="39"/>
  <c r="U21" i="39"/>
  <c r="AA21" i="39"/>
  <c r="S21" i="39"/>
  <c r="U9" i="35"/>
  <c r="AB9" i="35"/>
  <c r="AA9" i="35"/>
  <c r="AC26" i="35"/>
  <c r="AB26" i="35"/>
  <c r="U26" i="35"/>
  <c r="AC17" i="37"/>
  <c r="J19" i="37"/>
  <c r="W19" i="37" s="1"/>
  <c r="G75" i="37"/>
  <c r="AA23" i="37"/>
  <c r="J23" i="37"/>
  <c r="G79" i="37"/>
  <c r="J10" i="37"/>
  <c r="I60" i="37"/>
  <c r="G63" i="37"/>
  <c r="H11" i="37"/>
  <c r="AB11" i="37" s="1"/>
  <c r="AB10" i="37"/>
  <c r="U10" i="37"/>
  <c r="H11" i="34"/>
  <c r="AB11" i="34" s="1"/>
  <c r="AB10" i="34"/>
  <c r="U10" i="34"/>
  <c r="J10" i="34"/>
  <c r="I67" i="34"/>
  <c r="U41" i="33"/>
  <c r="I111" i="33"/>
  <c r="J111" i="33" s="1"/>
  <c r="K111" i="33" s="1"/>
  <c r="L111" i="33" s="1"/>
  <c r="M111" i="33" s="1"/>
  <c r="J36" i="33"/>
  <c r="H36" i="33"/>
  <c r="U36" i="33" s="1"/>
  <c r="S36" i="33"/>
  <c r="AA36" i="33"/>
  <c r="U27" i="33"/>
  <c r="AB27" i="33"/>
  <c r="H91" i="33"/>
  <c r="I91" i="33" s="1"/>
  <c r="J91" i="33" s="1"/>
  <c r="K91" i="33" s="1"/>
  <c r="L91" i="33" s="1"/>
  <c r="M91" i="33" s="1"/>
  <c r="J27" i="33"/>
  <c r="W27" i="33" s="1"/>
  <c r="U25" i="33"/>
  <c r="AB25" i="33"/>
  <c r="AA25" i="33"/>
  <c r="J25" i="33"/>
  <c r="W25" i="33" s="1"/>
  <c r="AB23" i="33"/>
  <c r="U23" i="33"/>
  <c r="F23" i="33"/>
  <c r="G85" i="33"/>
  <c r="AC23" i="33"/>
  <c r="W23" i="33"/>
  <c r="AA19" i="33"/>
  <c r="H19" i="33"/>
  <c r="AB19" i="33" s="1"/>
  <c r="G79" i="33"/>
  <c r="H17" i="33"/>
  <c r="F17" i="33"/>
  <c r="AA17" i="33" s="1"/>
  <c r="AC17" i="33"/>
  <c r="U10" i="33"/>
  <c r="AB10" i="33"/>
  <c r="W10" i="33"/>
  <c r="U33" i="21"/>
  <c r="J23" i="21"/>
  <c r="AC23" i="21" s="1"/>
  <c r="G85" i="21"/>
  <c r="H23" i="21"/>
  <c r="S13" i="21"/>
  <c r="O14" i="1"/>
  <c r="P14" i="1"/>
  <c r="AR8" i="1"/>
  <c r="T8" i="1"/>
  <c r="AP7" i="1"/>
  <c r="M7" i="1"/>
  <c r="O7" i="1"/>
  <c r="AC33" i="21"/>
  <c r="W33" i="21"/>
  <c r="W32" i="21"/>
  <c r="AC32" i="21"/>
  <c r="S32" i="21"/>
  <c r="AA10" i="21"/>
  <c r="S10" i="21"/>
  <c r="C30" i="11"/>
  <c r="AC32" i="39"/>
  <c r="W32" i="39"/>
  <c r="AC19" i="37"/>
  <c r="W23" i="37"/>
  <c r="AC23" i="37"/>
  <c r="H63" i="37"/>
  <c r="I63" i="37"/>
  <c r="J63" i="37" s="1"/>
  <c r="K63" i="37"/>
  <c r="L63" i="37" s="1"/>
  <c r="M63" i="37" s="1"/>
  <c r="J11" i="37"/>
  <c r="W10" i="37"/>
  <c r="AC10" i="37"/>
  <c r="U11" i="34"/>
  <c r="AC10" i="34"/>
  <c r="W10" i="34"/>
  <c r="H70" i="34"/>
  <c r="I70" i="34" s="1"/>
  <c r="J70" i="34" s="1"/>
  <c r="K70" i="34" s="1"/>
  <c r="L70" i="34" s="1"/>
  <c r="M70" i="34" s="1"/>
  <c r="J11" i="34"/>
  <c r="AC36" i="33"/>
  <c r="W36" i="33"/>
  <c r="AB36" i="33"/>
  <c r="AC27" i="33"/>
  <c r="AC25" i="33"/>
  <c r="AA23" i="33"/>
  <c r="S23" i="33"/>
  <c r="S17" i="33"/>
  <c r="U17" i="33"/>
  <c r="AB17" i="33"/>
  <c r="U23" i="21"/>
  <c r="AB23" i="21"/>
  <c r="P7" i="1"/>
  <c r="AC11" i="37"/>
  <c r="W11" i="37"/>
  <c r="W11" i="34"/>
  <c r="AC11" i="34"/>
  <c r="R7" i="1"/>
  <c r="F34" i="11"/>
  <c r="C36" i="11" s="1"/>
  <c r="F11" i="12"/>
  <c r="C23" i="12" s="1"/>
  <c r="R8"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D59" i="9"/>
  <c r="M55" i="9" s="1"/>
  <c r="B38" i="72"/>
  <c r="D20" i="53"/>
  <c r="B40" i="72"/>
  <c r="AD3" i="71"/>
  <c r="C65" i="40"/>
  <c r="J1" i="73"/>
  <c r="C13" i="12"/>
  <c r="C77" i="9"/>
  <c r="C74" i="9" s="1"/>
  <c r="C28" i="67"/>
  <c r="H77" i="43"/>
  <c r="H76" i="43"/>
  <c r="H51" i="43"/>
  <c r="H67" i="43"/>
  <c r="H59" i="43"/>
  <c r="H60" i="43"/>
  <c r="H61" i="43"/>
  <c r="M4" i="43"/>
  <c r="M5" i="43"/>
  <c r="N12" i="43"/>
  <c r="N11" i="43"/>
  <c r="M10" i="43"/>
  <c r="M7" i="43"/>
  <c r="H70" i="43"/>
  <c r="H54" i="43"/>
  <c r="N9" i="43"/>
  <c r="M8" i="43"/>
  <c r="N10" i="43"/>
  <c r="H48" i="43"/>
  <c r="H74" i="43"/>
  <c r="M6" i="43"/>
  <c r="N7" i="43"/>
  <c r="N4" i="43"/>
  <c r="H49" i="43"/>
  <c r="N17" i="43"/>
  <c r="L17" i="43"/>
  <c r="O17" i="43"/>
  <c r="M17" i="43"/>
  <c r="E17" i="43"/>
  <c r="D68" i="39"/>
  <c r="D70" i="39" s="1"/>
  <c r="F48" i="35"/>
  <c r="G48" i="35" s="1"/>
  <c r="C24" i="12"/>
  <c r="D10" i="71"/>
  <c r="D11" i="71"/>
  <c r="D12" i="71"/>
  <c r="U12" i="71" s="1"/>
  <c r="S12" i="71"/>
  <c r="T12" i="71"/>
  <c r="AB10" i="71"/>
  <c r="X8" i="71"/>
  <c r="X7" i="71"/>
  <c r="AA8" i="71"/>
  <c r="AA7" i="71"/>
  <c r="X11" i="71"/>
  <c r="Y7" i="71"/>
  <c r="Z7" i="71"/>
  <c r="AB8" i="71"/>
  <c r="AB7" i="71"/>
  <c r="S8" i="71"/>
  <c r="C94" i="9"/>
  <c r="C92" i="9"/>
  <c r="Y8" i="71"/>
  <c r="Z8" i="71"/>
  <c r="AB3" i="71"/>
  <c r="X3" i="71"/>
  <c r="AF3" i="71"/>
  <c r="P24" i="43"/>
  <c r="B66" i="40" s="1"/>
  <c r="P22" i="43"/>
  <c r="C19" i="68"/>
  <c r="F31" i="15"/>
  <c r="M17" i="67"/>
  <c r="F59" i="67"/>
  <c r="F59" i="15"/>
  <c r="M17" i="15"/>
  <c r="F31" i="67"/>
  <c r="G17" i="43"/>
  <c r="C16" i="43"/>
  <c r="D5" i="43"/>
  <c r="E68" i="39"/>
  <c r="E70" i="39" s="1"/>
  <c r="V8" i="71"/>
  <c r="D9" i="71"/>
  <c r="P25" i="43"/>
  <c r="F68" i="39"/>
  <c r="F70" i="39" s="1"/>
  <c r="D6" i="71"/>
  <c r="T8" i="71"/>
  <c r="D7" i="71"/>
  <c r="D8" i="71"/>
  <c r="G68" i="39"/>
  <c r="H68" i="39" s="1"/>
  <c r="U8" i="71"/>
  <c r="G70" i="39"/>
  <c r="F5" i="73"/>
  <c r="M24" i="15"/>
  <c r="F3" i="73"/>
  <c r="D2" i="21"/>
  <c r="E11" i="76"/>
  <c r="D2" i="35"/>
  <c r="E2" i="69"/>
  <c r="D6" i="73"/>
  <c r="M22" i="15"/>
  <c r="E2" i="68"/>
  <c r="D2" i="34"/>
  <c r="B13" i="76"/>
  <c r="B11" i="76"/>
  <c r="E9" i="76"/>
  <c r="D2" i="37"/>
  <c r="B7" i="76"/>
  <c r="E12" i="76"/>
  <c r="D2" i="36"/>
  <c r="AO8" i="1"/>
  <c r="F4" i="73"/>
  <c r="B9" i="76"/>
  <c r="AO9" i="1"/>
  <c r="J15" i="15"/>
  <c r="D2" i="33"/>
  <c r="E8" i="76"/>
  <c r="M28" i="15"/>
  <c r="L47" i="15"/>
  <c r="B8" i="76"/>
  <c r="B10" i="76"/>
  <c r="AO12" i="1"/>
  <c r="F20" i="31"/>
  <c r="E7" i="76"/>
  <c r="AO13" i="1"/>
  <c r="M23" i="15"/>
  <c r="AO10" i="1"/>
  <c r="C76" i="15"/>
  <c r="E13" i="76"/>
  <c r="AO11" i="1"/>
  <c r="B12" i="76"/>
  <c r="F6" i="73"/>
  <c r="M26" i="15"/>
  <c r="E10" i="76"/>
  <c r="M27" i="15"/>
  <c r="F7" i="73"/>
  <c r="E63" i="40" l="1"/>
  <c r="D65" i="40"/>
  <c r="P21" i="43"/>
  <c r="P23" i="43"/>
  <c r="B71" i="39" s="1"/>
  <c r="E7" i="70"/>
  <c r="AQ9" i="1"/>
  <c r="AQ12" i="1"/>
  <c r="C36" i="69"/>
  <c r="G13" i="3"/>
  <c r="T7" i="1"/>
  <c r="C5" i="11"/>
  <c r="AQ7" i="1"/>
  <c r="T9" i="1"/>
  <c r="AR11" i="1"/>
  <c r="T11" i="1"/>
  <c r="AR10" i="1"/>
  <c r="L27" i="6"/>
  <c r="AR7" i="1"/>
  <c r="O16" i="1"/>
  <c r="T13" i="1"/>
  <c r="P16" i="1"/>
  <c r="C11" i="12" s="1"/>
  <c r="C12" i="12" s="1"/>
  <c r="AQ13" i="1"/>
  <c r="T10" i="1"/>
  <c r="T12" i="1"/>
  <c r="E9" i="49"/>
  <c r="E13" i="49"/>
  <c r="B14" i="49"/>
  <c r="E4" i="49"/>
  <c r="B5" i="49"/>
  <c r="E5" i="49"/>
  <c r="E6" i="49"/>
  <c r="E16" i="49"/>
  <c r="B4" i="49"/>
  <c r="E14" i="49"/>
  <c r="E10" i="49"/>
  <c r="E7" i="49"/>
  <c r="B9" i="49"/>
  <c r="C4" i="4" s="1"/>
  <c r="B4" i="62" s="1"/>
  <c r="B71" i="72" s="1"/>
  <c r="B13" i="49"/>
  <c r="B22" i="49"/>
  <c r="E15" i="49"/>
  <c r="B16" i="49"/>
  <c r="B11" i="49"/>
  <c r="E21" i="49"/>
  <c r="B8" i="49"/>
  <c r="E8" i="49"/>
  <c r="B10" i="49"/>
  <c r="E11" i="49"/>
  <c r="E22" i="49"/>
  <c r="B6" i="49"/>
  <c r="B15" i="49"/>
  <c r="B7" i="49"/>
  <c r="B13" i="70"/>
  <c r="B12" i="70"/>
  <c r="B11" i="70"/>
  <c r="B10" i="70"/>
  <c r="B9" i="70"/>
  <c r="B8" i="70"/>
  <c r="Q71" i="15"/>
  <c r="I1" i="73"/>
  <c r="B39" i="1" s="1"/>
  <c r="I68" i="39"/>
  <c r="H70" i="39"/>
  <c r="G58" i="21"/>
  <c r="H58" i="21" s="1"/>
  <c r="I58" i="21" s="1"/>
  <c r="J58" i="21" s="1"/>
  <c r="K58" i="21" s="1"/>
  <c r="L58" i="21" s="1"/>
  <c r="M58" i="21" s="1"/>
  <c r="N58" i="21" s="1"/>
  <c r="O58" i="21" s="1"/>
  <c r="H7" i="21"/>
  <c r="J7" i="21"/>
  <c r="F63" i="40"/>
  <c r="E65" i="40"/>
  <c r="C15" i="12"/>
  <c r="G52" i="37"/>
  <c r="H52" i="37" s="1"/>
  <c r="I52" i="37" s="1"/>
  <c r="J52" i="37" s="1"/>
  <c r="K52" i="37" s="1"/>
  <c r="L52" i="37" s="1"/>
  <c r="M52" i="37" s="1"/>
  <c r="N52" i="37" s="1"/>
  <c r="O52" i="37" s="1"/>
  <c r="U28" i="33"/>
  <c r="AB28" i="33"/>
  <c r="AA35" i="39"/>
  <c r="S35" i="39"/>
  <c r="H48" i="35"/>
  <c r="I48" i="35" s="1"/>
  <c r="J48" i="35" s="1"/>
  <c r="K48" i="35" s="1"/>
  <c r="L48" i="35" s="1"/>
  <c r="M48" i="35" s="1"/>
  <c r="N48" i="35" s="1"/>
  <c r="O48" i="35" s="1"/>
  <c r="J7" i="35"/>
  <c r="G59" i="34"/>
  <c r="H59" i="34" s="1"/>
  <c r="I59" i="34" s="1"/>
  <c r="J59" i="34" s="1"/>
  <c r="K59" i="34" s="1"/>
  <c r="L59" i="34" s="1"/>
  <c r="M59" i="34" s="1"/>
  <c r="N59" i="34" s="1"/>
  <c r="O59" i="34" s="1"/>
  <c r="F7" i="34"/>
  <c r="F46" i="36"/>
  <c r="G46" i="36" s="1"/>
  <c r="H46" i="36" s="1"/>
  <c r="I46" i="36" s="1"/>
  <c r="J46" i="36" s="1"/>
  <c r="K46" i="36" s="1"/>
  <c r="L46" i="36" s="1"/>
  <c r="M46" i="36" s="1"/>
  <c r="N46" i="36" s="1"/>
  <c r="O46" i="36" s="1"/>
  <c r="H58" i="33"/>
  <c r="I58" i="33" s="1"/>
  <c r="J58" i="33" s="1"/>
  <c r="K58" i="33" s="1"/>
  <c r="L58" i="33" s="1"/>
  <c r="M58" i="33" s="1"/>
  <c r="N58" i="33" s="1"/>
  <c r="O58" i="33" s="1"/>
  <c r="H7" i="33"/>
  <c r="E60" i="40"/>
  <c r="E65" i="39"/>
  <c r="F7" i="36"/>
  <c r="F7" i="37"/>
  <c r="AC29" i="33"/>
  <c r="W29" i="33"/>
  <c r="W45" i="33"/>
  <c r="AC45" i="33"/>
  <c r="W14" i="34"/>
  <c r="AC14" i="34"/>
  <c r="U12" i="35"/>
  <c r="AB12" i="35"/>
  <c r="AC11" i="35"/>
  <c r="W11" i="35"/>
  <c r="U15" i="21"/>
  <c r="AB15" i="21"/>
  <c r="E58" i="40"/>
  <c r="E63" i="39"/>
  <c r="AA32" i="37"/>
  <c r="S32" i="37"/>
  <c r="AA27" i="36"/>
  <c r="S27" i="36"/>
  <c r="S39" i="39"/>
  <c r="AA39" i="39"/>
  <c r="W27" i="36"/>
  <c r="AC27" i="36"/>
  <c r="H83" i="43"/>
  <c r="H86" i="43"/>
  <c r="H87" i="43"/>
  <c r="H81" i="43"/>
  <c r="H88" i="43"/>
  <c r="F28" i="6"/>
  <c r="U31" i="40"/>
  <c r="AB31" i="40"/>
  <c r="AA14" i="36"/>
  <c r="S14" i="36"/>
  <c r="AC37" i="37"/>
  <c r="W37" i="37"/>
  <c r="S30" i="35"/>
  <c r="AA30" i="35"/>
  <c r="AB15" i="33"/>
  <c r="U15" i="33"/>
  <c r="AC19" i="33"/>
  <c r="W19" i="33"/>
  <c r="W28" i="34"/>
  <c r="AC28" i="34"/>
  <c r="U11" i="21"/>
  <c r="AB11" i="21"/>
  <c r="S39" i="37"/>
  <c r="AA39" i="37"/>
  <c r="AC35" i="39"/>
  <c r="W35" i="39"/>
  <c r="U36" i="21"/>
  <c r="AB36" i="21"/>
  <c r="J34" i="35"/>
  <c r="H34" i="35"/>
  <c r="F34" i="35"/>
  <c r="AC22" i="35"/>
  <c r="W22" i="35"/>
  <c r="AC8" i="36"/>
  <c r="W8" i="36"/>
  <c r="W16" i="36"/>
  <c r="AC16" i="36"/>
  <c r="AB38" i="39"/>
  <c r="U38" i="39"/>
  <c r="AB9" i="40"/>
  <c r="U9" i="40"/>
  <c r="AB38" i="40"/>
  <c r="U38" i="40"/>
  <c r="H13" i="40"/>
  <c r="J13" i="40"/>
  <c r="F13" i="40"/>
  <c r="H27" i="40"/>
  <c r="J27" i="40"/>
  <c r="F27" i="40"/>
  <c r="U41" i="21"/>
  <c r="AB41" i="21"/>
  <c r="D9" i="68"/>
  <c r="D9" i="11"/>
  <c r="C9" i="11" s="1"/>
  <c r="D9" i="69"/>
  <c r="D19" i="12"/>
  <c r="C19" i="12" s="1"/>
  <c r="AA26" i="35"/>
  <c r="S26" i="35"/>
  <c r="AA23" i="39"/>
  <c r="S23" i="39"/>
  <c r="W37" i="33"/>
  <c r="AC37" i="33"/>
  <c r="AA37" i="37"/>
  <c r="S37" i="37"/>
  <c r="U35" i="34"/>
  <c r="AB35" i="34"/>
  <c r="S25" i="21"/>
  <c r="AA25" i="21"/>
  <c r="W13" i="39"/>
  <c r="AC13" i="39"/>
  <c r="W13" i="34"/>
  <c r="AC13" i="34"/>
  <c r="AC44" i="33"/>
  <c r="W44" i="33"/>
  <c r="S29" i="37"/>
  <c r="AA29" i="37"/>
  <c r="U11" i="36"/>
  <c r="AB11" i="36"/>
  <c r="W32" i="36"/>
  <c r="AC32" i="36"/>
  <c r="S30" i="34"/>
  <c r="AA30" i="34"/>
  <c r="AA45" i="33"/>
  <c r="S45" i="33"/>
  <c r="W31" i="33"/>
  <c r="AC31" i="33"/>
  <c r="S33" i="35"/>
  <c r="AA33" i="35"/>
  <c r="AA28" i="33"/>
  <c r="S28" i="33"/>
  <c r="U26" i="33"/>
  <c r="AB26" i="33"/>
  <c r="U42" i="21"/>
  <c r="AB42" i="21"/>
  <c r="AA28" i="40"/>
  <c r="S28" i="40"/>
  <c r="AC19" i="34"/>
  <c r="W19" i="34"/>
  <c r="AB15" i="34"/>
  <c r="U15" i="34"/>
  <c r="U23" i="34"/>
  <c r="AB23" i="34"/>
  <c r="U40" i="34"/>
  <c r="AB40" i="34"/>
  <c r="AA37" i="39"/>
  <c r="S37" i="39"/>
  <c r="W11" i="40"/>
  <c r="AC11" i="40"/>
  <c r="AA35" i="40"/>
  <c r="S35" i="40"/>
  <c r="AC10" i="21"/>
  <c r="W10" i="21"/>
  <c r="U8" i="21"/>
  <c r="AB8" i="21"/>
  <c r="S38" i="21"/>
  <c r="AA38" i="21"/>
  <c r="S12" i="21"/>
  <c r="AA12" i="21"/>
  <c r="J14" i="21"/>
  <c r="F14" i="21"/>
  <c r="H14" i="21"/>
  <c r="AC29" i="21"/>
  <c r="W29" i="21"/>
  <c r="H30" i="21"/>
  <c r="F30" i="21"/>
  <c r="J30" i="21"/>
  <c r="J45" i="21"/>
  <c r="F45" i="21"/>
  <c r="H45" i="21"/>
  <c r="AA40" i="21"/>
  <c r="S40" i="21"/>
  <c r="B71" i="43"/>
  <c r="B49" i="43"/>
  <c r="B74" i="43"/>
  <c r="C27" i="39"/>
  <c r="B54" i="43"/>
  <c r="F9" i="21"/>
  <c r="H9" i="21"/>
  <c r="AA8" i="35"/>
  <c r="S8" i="35"/>
  <c r="AB28" i="35"/>
  <c r="U28" i="35"/>
  <c r="AA8" i="36"/>
  <c r="S8" i="36"/>
  <c r="U12" i="36"/>
  <c r="AB12" i="36"/>
  <c r="AC22" i="36"/>
  <c r="W22" i="36"/>
  <c r="AA23" i="36"/>
  <c r="S23" i="36"/>
  <c r="AB24" i="36"/>
  <c r="U24" i="36"/>
  <c r="AC28" i="36"/>
  <c r="W28" i="36"/>
  <c r="AC24" i="36"/>
  <c r="W24" i="36"/>
  <c r="J25" i="36"/>
  <c r="F25" i="36"/>
  <c r="H25" i="36"/>
  <c r="AB8" i="37"/>
  <c r="U8" i="37"/>
  <c r="H25" i="37"/>
  <c r="F25" i="37"/>
  <c r="AA9" i="39"/>
  <c r="S9" i="39"/>
  <c r="AA44" i="39"/>
  <c r="S44" i="39"/>
  <c r="J7" i="34"/>
  <c r="F7" i="21"/>
  <c r="B20" i="31"/>
  <c r="H7" i="35"/>
  <c r="J7" i="37"/>
  <c r="D12" i="52"/>
  <c r="D127" i="9"/>
  <c r="D13" i="52" s="1"/>
  <c r="L67" i="9"/>
  <c r="M67" i="9" s="1"/>
  <c r="L63" i="9"/>
  <c r="M63" i="9" s="1"/>
  <c r="M69" i="9" s="1"/>
  <c r="N69" i="9" s="1"/>
  <c r="L64" i="9"/>
  <c r="M64" i="9" s="1"/>
  <c r="L66" i="9"/>
  <c r="M66" i="9" s="1"/>
  <c r="L65" i="9"/>
  <c r="M65" i="9" s="1"/>
  <c r="W23" i="21"/>
  <c r="U19" i="33"/>
  <c r="U11" i="37"/>
  <c r="AB32" i="39"/>
  <c r="U32" i="21"/>
  <c r="AA33" i="21"/>
  <c r="AA23" i="21"/>
  <c r="W32" i="33"/>
  <c r="AC35" i="33"/>
  <c r="S19" i="37"/>
  <c r="W21" i="39"/>
  <c r="B60" i="43"/>
  <c r="B65" i="43"/>
  <c r="C23" i="40"/>
  <c r="S19" i="21"/>
  <c r="J9" i="21"/>
  <c r="AC17" i="21"/>
  <c r="W17" i="21"/>
  <c r="W37" i="21"/>
  <c r="AC37" i="21"/>
  <c r="AB13" i="21"/>
  <c r="AA37" i="21"/>
  <c r="S37" i="21"/>
  <c r="AC13" i="33"/>
  <c r="W30" i="33"/>
  <c r="W46" i="33"/>
  <c r="W43" i="34"/>
  <c r="AB32" i="34"/>
  <c r="S36" i="34"/>
  <c r="AB30" i="34"/>
  <c r="AC46" i="34"/>
  <c r="W23" i="36"/>
  <c r="AA14" i="39"/>
  <c r="U11" i="40"/>
  <c r="W28" i="40"/>
  <c r="H84" i="43"/>
  <c r="E14" i="6"/>
  <c r="F62" i="15"/>
  <c r="D120" i="9"/>
  <c r="AB39" i="21"/>
  <c r="AB14" i="33"/>
  <c r="W43" i="33"/>
  <c r="S11" i="34"/>
  <c r="AA11" i="34"/>
  <c r="AA17" i="37"/>
  <c r="S17" i="37"/>
  <c r="AB40" i="37"/>
  <c r="AC9" i="35"/>
  <c r="W24" i="35"/>
  <c r="AA26" i="36"/>
  <c r="U13" i="36"/>
  <c r="U35" i="39"/>
  <c r="U37" i="39"/>
  <c r="F31" i="12"/>
  <c r="C31" i="12" s="1"/>
  <c r="F53" i="9"/>
  <c r="F30" i="68"/>
  <c r="F52" i="9"/>
  <c r="F32" i="67"/>
  <c r="F60" i="67" s="1"/>
  <c r="F30" i="69"/>
  <c r="F32" i="15"/>
  <c r="F60" i="15" s="1"/>
  <c r="M18" i="15"/>
  <c r="D68" i="9"/>
  <c r="AA32" i="36"/>
  <c r="H82" i="43"/>
  <c r="AC39" i="39"/>
  <c r="W39" i="39"/>
  <c r="S31" i="39"/>
  <c r="U35" i="37"/>
  <c r="AB35" i="37"/>
  <c r="AC17" i="34"/>
  <c r="U35" i="21"/>
  <c r="H50" i="43"/>
  <c r="H56" i="43"/>
  <c r="E56" i="39"/>
  <c r="E29" i="6"/>
  <c r="K15" i="1" s="1"/>
  <c r="W9" i="39"/>
  <c r="W27" i="39"/>
  <c r="AC37" i="39"/>
  <c r="U44" i="39"/>
  <c r="U37" i="21"/>
  <c r="AB37" i="21"/>
  <c r="AB38" i="21"/>
  <c r="W36" i="40"/>
  <c r="AC36" i="40"/>
  <c r="S32" i="40"/>
  <c r="AA32" i="40"/>
  <c r="AA31" i="40"/>
  <c r="S31" i="40"/>
  <c r="F24" i="35"/>
  <c r="AC41" i="34"/>
  <c r="W41" i="34"/>
  <c r="AB27" i="34"/>
  <c r="U27" i="34"/>
  <c r="U25" i="21"/>
  <c r="AB25" i="21"/>
  <c r="W36" i="39"/>
  <c r="AB45" i="33"/>
  <c r="AB46" i="34"/>
  <c r="AB11" i="35"/>
  <c r="AC36" i="37"/>
  <c r="W36" i="37"/>
  <c r="H13" i="39"/>
  <c r="AA13" i="34"/>
  <c r="S13" i="34"/>
  <c r="AA46" i="33"/>
  <c r="S46" i="33"/>
  <c r="S44" i="33"/>
  <c r="AA44" i="33"/>
  <c r="S14" i="33"/>
  <c r="AA14" i="33"/>
  <c r="AC12" i="40"/>
  <c r="W29" i="37"/>
  <c r="AC29" i="37"/>
  <c r="AA11" i="36"/>
  <c r="S11" i="36"/>
  <c r="H32" i="36"/>
  <c r="W26" i="36"/>
  <c r="AC26" i="36"/>
  <c r="F46" i="34"/>
  <c r="J32" i="34"/>
  <c r="J30" i="34"/>
  <c r="H14" i="34"/>
  <c r="H31" i="33"/>
  <c r="F29" i="33"/>
  <c r="H13" i="33"/>
  <c r="J28" i="33"/>
  <c r="AC42" i="21"/>
  <c r="W42" i="21"/>
  <c r="AA29" i="35"/>
  <c r="AB37" i="33"/>
  <c r="U37" i="33"/>
  <c r="AA17" i="34"/>
  <c r="S17" i="34"/>
  <c r="AA33" i="37"/>
  <c r="S33" i="37"/>
  <c r="S12" i="36"/>
  <c r="AC15" i="33"/>
  <c r="W15" i="33"/>
  <c r="AA41" i="33"/>
  <c r="S41" i="33"/>
  <c r="S9" i="34"/>
  <c r="S25" i="34"/>
  <c r="AA25" i="34"/>
  <c r="AA28" i="34"/>
  <c r="S28" i="34"/>
  <c r="AB33" i="35"/>
  <c r="U33" i="35"/>
  <c r="AC29" i="36"/>
  <c r="W29" i="36"/>
  <c r="W34" i="36"/>
  <c r="AC34" i="36"/>
  <c r="W32" i="40"/>
  <c r="AC12" i="34"/>
  <c r="AB8" i="39"/>
  <c r="W15" i="40"/>
  <c r="AC15" i="40"/>
  <c r="W11" i="21"/>
  <c r="AC11" i="21"/>
  <c r="AB32" i="33"/>
  <c r="U32" i="33"/>
  <c r="U40" i="40"/>
  <c r="U34" i="40"/>
  <c r="W8" i="40"/>
  <c r="AA11" i="40"/>
  <c r="S11" i="40"/>
  <c r="U9" i="36"/>
  <c r="J44" i="39"/>
  <c r="AB26" i="21"/>
  <c r="U26" i="21"/>
  <c r="AC8" i="21"/>
  <c r="W8" i="21"/>
  <c r="W40" i="21"/>
  <c r="AC40" i="21"/>
  <c r="AB43" i="21"/>
  <c r="U43" i="21"/>
  <c r="S43" i="21"/>
  <c r="AA43" i="21"/>
  <c r="AA34" i="21"/>
  <c r="S34" i="21"/>
  <c r="E12" i="6"/>
  <c r="E11" i="6"/>
  <c r="H28" i="21"/>
  <c r="F28" i="21"/>
  <c r="J28" i="21"/>
  <c r="H31" i="21"/>
  <c r="J31" i="21"/>
  <c r="F31" i="21"/>
  <c r="B70" i="43"/>
  <c r="C15" i="39"/>
  <c r="B59" i="43"/>
  <c r="C19" i="39"/>
  <c r="B77" i="43"/>
  <c r="B56" i="43"/>
  <c r="B73" i="43"/>
  <c r="B63" i="43"/>
  <c r="B82" i="43"/>
  <c r="C17" i="40"/>
  <c r="B88" i="43"/>
  <c r="C21" i="40"/>
  <c r="AB40" i="33"/>
  <c r="U40" i="33"/>
  <c r="AC42" i="33"/>
  <c r="W42" i="33"/>
  <c r="AC8" i="34"/>
  <c r="W8" i="34"/>
  <c r="H12" i="34"/>
  <c r="J9" i="34"/>
  <c r="H9" i="34"/>
  <c r="AC23" i="35"/>
  <c r="W23" i="35"/>
  <c r="U23" i="35"/>
  <c r="AB23" i="35"/>
  <c r="H36" i="35"/>
  <c r="J36" i="35"/>
  <c r="F36" i="35"/>
  <c r="AA27" i="35"/>
  <c r="S27" i="35"/>
  <c r="W27" i="35"/>
  <c r="AC27" i="35"/>
  <c r="AA9" i="36"/>
  <c r="S9" i="36"/>
  <c r="AA10" i="36"/>
  <c r="S10" i="36"/>
  <c r="J25" i="37"/>
  <c r="AA26" i="37"/>
  <c r="S26" i="37"/>
  <c r="AC30" i="37"/>
  <c r="W30" i="37"/>
  <c r="F28" i="37"/>
  <c r="J28" i="37"/>
  <c r="H28" i="37"/>
  <c r="H38" i="37"/>
  <c r="J38" i="37"/>
  <c r="F38" i="37"/>
  <c r="G87" i="35"/>
  <c r="H87" i="35" s="1"/>
  <c r="I87" i="35" s="1"/>
  <c r="J87" i="35" s="1"/>
  <c r="K87" i="35" s="1"/>
  <c r="L87" i="35" s="1"/>
  <c r="M87" i="35" s="1"/>
  <c r="J29" i="35"/>
  <c r="M19" i="43"/>
  <c r="D28" i="71"/>
  <c r="T28" i="71"/>
  <c r="D24" i="71"/>
  <c r="T24" i="71"/>
  <c r="C44" i="71"/>
  <c r="D43" i="71"/>
  <c r="C51" i="71"/>
  <c r="D50" i="71"/>
  <c r="G5" i="3"/>
  <c r="B3" i="3" s="1"/>
  <c r="D32" i="71"/>
  <c r="T32" i="71"/>
  <c r="C40" i="71"/>
  <c r="D39" i="71"/>
  <c r="C48" i="71"/>
  <c r="D47" i="71"/>
  <c r="Q54" i="71"/>
  <c r="Q53" i="71"/>
  <c r="F19" i="6"/>
  <c r="E19" i="6" s="1"/>
  <c r="B8" i="1"/>
  <c r="E8" i="1" s="1"/>
  <c r="D23" i="67"/>
  <c r="S18" i="36"/>
  <c r="D15" i="71"/>
  <c r="S16" i="71"/>
  <c r="C71" i="71"/>
  <c r="C67" i="71"/>
  <c r="C59" i="71"/>
  <c r="Q55" i="71"/>
  <c r="N56" i="71"/>
  <c r="B55" i="71"/>
  <c r="P74" i="67"/>
  <c r="BL504" i="3"/>
  <c r="AZ504" i="3" s="1"/>
  <c r="BA503" i="3"/>
  <c r="AZ503" i="3" s="1"/>
  <c r="BL500" i="3"/>
  <c r="AZ500" i="3" s="1"/>
  <c r="BA499" i="3"/>
  <c r="AZ499" i="3" s="1"/>
  <c r="BL496" i="3"/>
  <c r="AZ496" i="3" s="1"/>
  <c r="BA495" i="3"/>
  <c r="AZ495" i="3" s="1"/>
  <c r="BL492" i="3"/>
  <c r="AZ492" i="3" s="1"/>
  <c r="AZ320" i="3"/>
  <c r="AZ262" i="3"/>
  <c r="BA505" i="3"/>
  <c r="AZ505" i="3" s="1"/>
  <c r="BL502" i="3"/>
  <c r="AZ502" i="3" s="1"/>
  <c r="BA501" i="3"/>
  <c r="AZ501" i="3" s="1"/>
  <c r="BL498" i="3"/>
  <c r="AZ498" i="3" s="1"/>
  <c r="BA497" i="3"/>
  <c r="AZ497" i="3" s="1"/>
  <c r="BL494" i="3"/>
  <c r="AZ494" i="3" s="1"/>
  <c r="BA493" i="3"/>
  <c r="AZ493" i="3" s="1"/>
  <c r="BA265" i="3"/>
  <c r="AZ265" i="3" s="1"/>
  <c r="BL262" i="3"/>
  <c r="BL264" i="3"/>
  <c r="AZ264" i="3" s="1"/>
  <c r="BA263" i="3"/>
  <c r="AZ263" i="3" s="1"/>
  <c r="BL213" i="3"/>
  <c r="AZ213" i="3" s="1"/>
  <c r="BA212" i="3"/>
  <c r="AZ212" i="3" s="1"/>
  <c r="BL209" i="3"/>
  <c r="AZ209" i="3" s="1"/>
  <c r="BA208" i="3"/>
  <c r="AZ208" i="3" s="1"/>
  <c r="BL205" i="3"/>
  <c r="AZ205" i="3" s="1"/>
  <c r="BA204" i="3"/>
  <c r="AZ204" i="3" s="1"/>
  <c r="BL201" i="3"/>
  <c r="AZ201" i="3" s="1"/>
  <c r="BA200" i="3"/>
  <c r="AZ200" i="3" s="1"/>
  <c r="BL197" i="3"/>
  <c r="AZ197" i="3" s="1"/>
  <c r="BA196" i="3"/>
  <c r="AZ196" i="3" s="1"/>
  <c r="BL193" i="3"/>
  <c r="AZ193" i="3" s="1"/>
  <c r="BA192" i="3"/>
  <c r="AZ192" i="3" s="1"/>
  <c r="BL189" i="3"/>
  <c r="AZ189" i="3" s="1"/>
  <c r="BA188" i="3"/>
  <c r="AZ188" i="3" s="1"/>
  <c r="BL185" i="3"/>
  <c r="AZ185" i="3" s="1"/>
  <c r="BA184" i="3"/>
  <c r="AZ184" i="3" s="1"/>
  <c r="BL181" i="3"/>
  <c r="AZ181" i="3" s="1"/>
  <c r="BA180" i="3"/>
  <c r="AZ180" i="3" s="1"/>
  <c r="BL177" i="3"/>
  <c r="AZ177" i="3" s="1"/>
  <c r="BA176" i="3"/>
  <c r="AZ176" i="3" s="1"/>
  <c r="BL173" i="3"/>
  <c r="AZ173" i="3" s="1"/>
  <c r="BA172" i="3"/>
  <c r="AZ172" i="3" s="1"/>
  <c r="BL169" i="3"/>
  <c r="AZ169" i="3" s="1"/>
  <c r="BA168" i="3"/>
  <c r="AZ168" i="3" s="1"/>
  <c r="BL165" i="3"/>
  <c r="AZ165" i="3" s="1"/>
  <c r="BA164" i="3"/>
  <c r="AZ164" i="3" s="1"/>
  <c r="BL161" i="3"/>
  <c r="AZ161" i="3" s="1"/>
  <c r="BA160" i="3"/>
  <c r="AZ160" i="3" s="1"/>
  <c r="BL157" i="3"/>
  <c r="AZ157" i="3" s="1"/>
  <c r="BA156" i="3"/>
  <c r="AZ156" i="3" s="1"/>
  <c r="BL153" i="3"/>
  <c r="AZ153" i="3" s="1"/>
  <c r="BA152" i="3"/>
  <c r="AZ152" i="3" s="1"/>
  <c r="BL149" i="3"/>
  <c r="AZ149" i="3" s="1"/>
  <c r="BA148" i="3"/>
  <c r="AZ148" i="3"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113" i="3"/>
  <c r="AZ113" i="3" s="1"/>
  <c r="BA112" i="3"/>
  <c r="AZ112" i="3" s="1"/>
  <c r="BL109" i="3"/>
  <c r="AZ109" i="3" s="1"/>
  <c r="BA108" i="3"/>
  <c r="AZ108" i="3" s="1"/>
  <c r="BL105" i="3"/>
  <c r="AZ105" i="3" s="1"/>
  <c r="BA104" i="3"/>
  <c r="AZ104" i="3" s="1"/>
  <c r="BL101" i="3"/>
  <c r="AZ101" i="3" s="1"/>
  <c r="BA100" i="3"/>
  <c r="AZ100" i="3" s="1"/>
  <c r="BL97" i="3"/>
  <c r="AZ97" i="3" s="1"/>
  <c r="BA96" i="3"/>
  <c r="AZ96" i="3" s="1"/>
  <c r="BL93" i="3"/>
  <c r="AZ93" i="3" s="1"/>
  <c r="BA92" i="3"/>
  <c r="AZ92" i="3" s="1"/>
  <c r="BL89" i="3"/>
  <c r="AZ89" i="3" s="1"/>
  <c r="BA88" i="3"/>
  <c r="AZ88" i="3" s="1"/>
  <c r="AZ69" i="3"/>
  <c r="AZ61" i="3"/>
  <c r="AZ53" i="3"/>
  <c r="AZ45" i="3"/>
  <c r="AZ37" i="3"/>
  <c r="AZ29" i="3"/>
  <c r="AZ21" i="3"/>
  <c r="AZ13" i="3"/>
  <c r="F3" i="35"/>
  <c r="F34" i="68"/>
  <c r="BA214" i="3"/>
  <c r="AZ214" i="3" s="1"/>
  <c r="BL211" i="3"/>
  <c r="AZ211" i="3" s="1"/>
  <c r="BA210" i="3"/>
  <c r="AZ210" i="3" s="1"/>
  <c r="BL207" i="3"/>
  <c r="AZ207" i="3" s="1"/>
  <c r="BA206" i="3"/>
  <c r="AZ206" i="3" s="1"/>
  <c r="BL203" i="3"/>
  <c r="AZ203" i="3" s="1"/>
  <c r="BA202" i="3"/>
  <c r="AZ202" i="3" s="1"/>
  <c r="BL199" i="3"/>
  <c r="AZ199" i="3" s="1"/>
  <c r="BA198" i="3"/>
  <c r="AZ198" i="3" s="1"/>
  <c r="BL195" i="3"/>
  <c r="AZ195" i="3" s="1"/>
  <c r="BA194" i="3"/>
  <c r="AZ194" i="3" s="1"/>
  <c r="BL191" i="3"/>
  <c r="AZ191" i="3" s="1"/>
  <c r="BA190" i="3"/>
  <c r="AZ190" i="3" s="1"/>
  <c r="BL187" i="3"/>
  <c r="AZ187" i="3" s="1"/>
  <c r="BA186" i="3"/>
  <c r="AZ186" i="3" s="1"/>
  <c r="BL183" i="3"/>
  <c r="AZ183" i="3" s="1"/>
  <c r="BA182" i="3"/>
  <c r="AZ182" i="3" s="1"/>
  <c r="BL179" i="3"/>
  <c r="AZ179" i="3" s="1"/>
  <c r="BA178" i="3"/>
  <c r="AZ178" i="3" s="1"/>
  <c r="BL175" i="3"/>
  <c r="AZ175" i="3" s="1"/>
  <c r="BA174" i="3"/>
  <c r="AZ174" i="3" s="1"/>
  <c r="BL171" i="3"/>
  <c r="AZ171" i="3" s="1"/>
  <c r="BA170" i="3"/>
  <c r="AZ170" i="3" s="1"/>
  <c r="BL167" i="3"/>
  <c r="AZ167" i="3" s="1"/>
  <c r="BA166" i="3"/>
  <c r="AZ166" i="3" s="1"/>
  <c r="BL163" i="3"/>
  <c r="AZ163" i="3" s="1"/>
  <c r="BA162" i="3"/>
  <c r="AZ162" i="3" s="1"/>
  <c r="BL159" i="3"/>
  <c r="AZ159" i="3" s="1"/>
  <c r="BA158" i="3"/>
  <c r="AZ158" i="3" s="1"/>
  <c r="BL155" i="3"/>
  <c r="AZ155" i="3" s="1"/>
  <c r="BA154" i="3"/>
  <c r="AZ154" i="3" s="1"/>
  <c r="BL151" i="3"/>
  <c r="AZ151" i="3" s="1"/>
  <c r="BA150" i="3"/>
  <c r="AZ150" i="3" s="1"/>
  <c r="BL147" i="3"/>
  <c r="AZ147" i="3" s="1"/>
  <c r="BA146" i="3"/>
  <c r="AZ146" i="3" s="1"/>
  <c r="BL143" i="3"/>
  <c r="AZ143" i="3" s="1"/>
  <c r="BA142" i="3"/>
  <c r="AZ142" i="3" s="1"/>
  <c r="BL139" i="3"/>
  <c r="AZ139" i="3" s="1"/>
  <c r="BA138" i="3"/>
  <c r="AZ138"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A114" i="3"/>
  <c r="AZ114" i="3" s="1"/>
  <c r="BL111" i="3"/>
  <c r="AZ111" i="3" s="1"/>
  <c r="BA110" i="3"/>
  <c r="AZ110" i="3" s="1"/>
  <c r="BL107" i="3"/>
  <c r="AZ107" i="3" s="1"/>
  <c r="BA106" i="3"/>
  <c r="AZ106" i="3" s="1"/>
  <c r="BL103" i="3"/>
  <c r="AZ103" i="3" s="1"/>
  <c r="BA102" i="3"/>
  <c r="AZ102" i="3" s="1"/>
  <c r="BL99" i="3"/>
  <c r="AZ99" i="3" s="1"/>
  <c r="BA98" i="3"/>
  <c r="AZ98" i="3" s="1"/>
  <c r="BL95" i="3"/>
  <c r="AZ95" i="3" s="1"/>
  <c r="BA94" i="3"/>
  <c r="AZ94" i="3" s="1"/>
  <c r="BL91" i="3"/>
  <c r="AZ91" i="3" s="1"/>
  <c r="BA90" i="3"/>
  <c r="AZ90" i="3" s="1"/>
  <c r="BL71" i="3"/>
  <c r="AZ71" i="3" s="1"/>
  <c r="BA70" i="3"/>
  <c r="AZ70" i="3" s="1"/>
  <c r="BL67" i="3"/>
  <c r="AZ67" i="3" s="1"/>
  <c r="BA66" i="3"/>
  <c r="AZ66" i="3" s="1"/>
  <c r="BL63" i="3"/>
  <c r="AZ63" i="3" s="1"/>
  <c r="BA62" i="3"/>
  <c r="AZ62" i="3" s="1"/>
  <c r="BL59" i="3"/>
  <c r="AZ59" i="3" s="1"/>
  <c r="BA58" i="3"/>
  <c r="AZ58" i="3" s="1"/>
  <c r="BL55" i="3"/>
  <c r="AZ55" i="3" s="1"/>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AZ15" i="3" s="1"/>
  <c r="BA14" i="3"/>
  <c r="Y9" i="71"/>
  <c r="Z9" i="71" s="1"/>
  <c r="Y6" i="71"/>
  <c r="Z6" i="71" s="1"/>
  <c r="Y5" i="71"/>
  <c r="Z5" i="71" s="1"/>
  <c r="AB9" i="71"/>
  <c r="AB6" i="71"/>
  <c r="AB5" i="71"/>
  <c r="BA72" i="3"/>
  <c r="AZ72" i="3" s="1"/>
  <c r="BL69" i="3"/>
  <c r="BA68" i="3"/>
  <c r="AZ68" i="3" s="1"/>
  <c r="BL65" i="3"/>
  <c r="AZ65" i="3" s="1"/>
  <c r="BA64" i="3"/>
  <c r="AZ64" i="3" s="1"/>
  <c r="BL61" i="3"/>
  <c r="BA60" i="3"/>
  <c r="AZ60" i="3" s="1"/>
  <c r="BL57" i="3"/>
  <c r="AZ57" i="3" s="1"/>
  <c r="BA56" i="3"/>
  <c r="AZ56" i="3" s="1"/>
  <c r="BL53" i="3"/>
  <c r="BA52" i="3"/>
  <c r="AZ52" i="3" s="1"/>
  <c r="BL49" i="3"/>
  <c r="AZ49" i="3" s="1"/>
  <c r="BA48" i="3"/>
  <c r="AZ48" i="3" s="1"/>
  <c r="BL45" i="3"/>
  <c r="BA44" i="3"/>
  <c r="AZ44" i="3" s="1"/>
  <c r="BL41" i="3"/>
  <c r="AZ41" i="3" s="1"/>
  <c r="BA40" i="3"/>
  <c r="AZ40" i="3" s="1"/>
  <c r="BL37" i="3"/>
  <c r="BA36" i="3"/>
  <c r="AZ36" i="3" s="1"/>
  <c r="BL33" i="3"/>
  <c r="AZ33" i="3" s="1"/>
  <c r="BA32" i="3"/>
  <c r="AZ32" i="3" s="1"/>
  <c r="BL29" i="3"/>
  <c r="BA28" i="3"/>
  <c r="AZ28" i="3" s="1"/>
  <c r="BL25" i="3"/>
  <c r="AZ25" i="3" s="1"/>
  <c r="BA24" i="3"/>
  <c r="AZ24" i="3" s="1"/>
  <c r="BL21" i="3"/>
  <c r="BA20" i="3"/>
  <c r="AZ20" i="3" s="1"/>
  <c r="BL17" i="3"/>
  <c r="AZ17" i="3" s="1"/>
  <c r="BA16" i="3"/>
  <c r="AZ16" i="3" s="1"/>
  <c r="BL13" i="3"/>
  <c r="J51" i="15"/>
  <c r="N59" i="15" s="1"/>
  <c r="K6" i="1"/>
  <c r="G1" i="67"/>
  <c r="X9" i="71"/>
  <c r="AA5" i="71"/>
  <c r="U25" i="1"/>
  <c r="F42" i="15"/>
  <c r="M8" i="15"/>
  <c r="M6" i="15"/>
  <c r="F8" i="15"/>
  <c r="F26" i="15"/>
  <c r="F37" i="15"/>
  <c r="F40" i="15"/>
  <c r="F43" i="15"/>
  <c r="M29" i="15"/>
  <c r="D4" i="73"/>
  <c r="F9" i="15"/>
  <c r="F13" i="15"/>
  <c r="D5" i="73"/>
  <c r="D3" i="73"/>
  <c r="F16" i="15"/>
  <c r="F38" i="15"/>
  <c r="D7" i="73"/>
  <c r="F36" i="15"/>
  <c r="F7" i="15"/>
  <c r="L48" i="15"/>
  <c r="M9" i="15"/>
  <c r="H7" i="34" l="1"/>
  <c r="F7" i="35"/>
  <c r="E4" i="4"/>
  <c r="B5" i="62" s="1"/>
  <c r="B73" i="72" s="1"/>
  <c r="M7" i="15"/>
  <c r="F50" i="15"/>
  <c r="F65" i="15"/>
  <c r="F68" i="15"/>
  <c r="J6" i="15"/>
  <c r="L57" i="15"/>
  <c r="L60" i="15"/>
  <c r="L56" i="15"/>
  <c r="L58" i="15"/>
  <c r="F66" i="15"/>
  <c r="F71" i="15"/>
  <c r="F51" i="15"/>
  <c r="C49" i="15" s="1"/>
  <c r="C27" i="15"/>
  <c r="F64" i="15"/>
  <c r="E20"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E567" i="3"/>
  <c r="X6" i="3"/>
  <c r="E510" i="3"/>
  <c r="E399" i="3"/>
  <c r="E461" i="3"/>
  <c r="E336" i="3"/>
  <c r="E352" i="3"/>
  <c r="E280" i="3"/>
  <c r="E227" i="3"/>
  <c r="E246" i="3"/>
  <c r="E205" i="3"/>
  <c r="E124" i="3"/>
  <c r="E165" i="3"/>
  <c r="E293" i="3"/>
  <c r="E128" i="3"/>
  <c r="E397" i="3"/>
  <c r="E353" i="3"/>
  <c r="E314" i="3"/>
  <c r="E385" i="3"/>
  <c r="E568" i="3"/>
  <c r="E495" i="3"/>
  <c r="E511" i="3"/>
  <c r="E518" i="3"/>
  <c r="I6" i="3"/>
  <c r="E16" i="3"/>
  <c r="E536" i="3"/>
  <c r="E58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E35" i="3"/>
  <c r="E52" i="3"/>
  <c r="E86" i="3"/>
  <c r="E36" i="3"/>
  <c r="E34" i="3"/>
  <c r="E112" i="3"/>
  <c r="E49" i="3"/>
  <c r="E123" i="3"/>
  <c r="E206" i="3"/>
  <c r="E147" i="3"/>
  <c r="E232" i="3"/>
  <c r="E289" i="3"/>
  <c r="E251" i="3"/>
  <c r="E340" i="3"/>
  <c r="E370" i="3"/>
  <c r="E364" i="3"/>
  <c r="E50" i="3"/>
  <c r="E102" i="3"/>
  <c r="E20" i="3"/>
  <c r="E80" i="3"/>
  <c r="E62" i="3"/>
  <c r="E113" i="3"/>
  <c r="E176" i="3"/>
  <c r="E158" i="3"/>
  <c r="E218" i="3"/>
  <c r="E287" i="3"/>
  <c r="E265" i="3"/>
  <c r="E308" i="3"/>
  <c r="E365" i="3"/>
  <c r="E326" i="3"/>
  <c r="E524" i="3"/>
  <c r="E22" i="3"/>
  <c r="E101" i="3"/>
  <c r="E83"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20" i="3"/>
  <c r="E335" i="3"/>
  <c r="E294" i="3"/>
  <c r="E230" i="3"/>
  <c r="E130" i="3"/>
  <c r="E254" i="3"/>
  <c r="E221" i="3"/>
  <c r="E77" i="3"/>
  <c r="E253" i="3"/>
  <c r="E167" i="3"/>
  <c r="E141" i="3"/>
  <c r="E312" i="3"/>
  <c r="AD6" i="3"/>
  <c r="E542" i="3"/>
  <c r="R6" i="3"/>
  <c r="E502" i="3"/>
  <c r="E442" i="3"/>
  <c r="E466" i="3"/>
  <c r="E541" i="3"/>
  <c r="E430" i="3"/>
  <c r="E449" i="3"/>
  <c r="E255" i="3"/>
  <c r="E374" i="3"/>
  <c r="AP6" i="3"/>
  <c r="E554" i="3"/>
  <c r="E517" i="3"/>
  <c r="E413" i="3"/>
  <c r="E460" i="3"/>
  <c r="E520" i="3"/>
  <c r="E436" i="3"/>
  <c r="E39" i="3"/>
  <c r="E90" i="3"/>
  <c r="E57" i="3"/>
  <c r="E131" i="3"/>
  <c r="E187" i="3"/>
  <c r="E155" i="3"/>
  <c r="E240" i="3"/>
  <c r="E297" i="3"/>
  <c r="E259" i="3"/>
  <c r="E348" i="3"/>
  <c r="E349" i="3"/>
  <c r="E389" i="3"/>
  <c r="E544" i="3"/>
  <c r="E76" i="3"/>
  <c r="E59" i="3"/>
  <c r="E462" i="3"/>
  <c r="E446" i="3"/>
  <c r="E98" i="3"/>
  <c r="E138" i="3"/>
  <c r="E163" i="3"/>
  <c r="E209" i="3"/>
  <c r="E307" i="3"/>
  <c r="E354" i="3"/>
  <c r="E66" i="3"/>
  <c r="E48" i="3"/>
  <c r="E127" i="3"/>
  <c r="E284" i="3"/>
  <c r="E51" i="3"/>
  <c r="E154" i="3"/>
  <c r="E222" i="3"/>
  <c r="E373" i="3"/>
  <c r="E387" i="3"/>
  <c r="E215" i="3"/>
  <c r="E189" i="3"/>
  <c r="E134" i="3"/>
  <c r="E91" i="3"/>
  <c r="E180" i="3"/>
  <c r="E149" i="3"/>
  <c r="E212" i="3"/>
  <c r="E199" i="3"/>
  <c r="E286" i="3"/>
  <c r="E575" i="3"/>
  <c r="E499" i="3"/>
  <c r="E552" i="3"/>
  <c r="E421" i="3"/>
  <c r="E464" i="3"/>
  <c r="E487" i="3"/>
  <c r="E398" i="3"/>
  <c r="E416" i="3"/>
  <c r="E459" i="3"/>
  <c r="I3" i="6"/>
  <c r="E566" i="3"/>
  <c r="E500" i="3"/>
  <c r="E582" i="3"/>
  <c r="E435" i="3"/>
  <c r="E491" i="3"/>
  <c r="E417" i="3"/>
  <c r="E479" i="3"/>
  <c r="E56" i="3"/>
  <c r="E37" i="3"/>
  <c r="E95" i="3"/>
  <c r="E152" i="3"/>
  <c r="E132" i="3"/>
  <c r="E192" i="3"/>
  <c r="E258" i="3"/>
  <c r="E241" i="3"/>
  <c r="E292" i="3"/>
  <c r="E363" i="3"/>
  <c r="E378" i="3"/>
  <c r="E375" i="3"/>
  <c r="E504" i="3"/>
  <c r="E58" i="3"/>
  <c r="E110" i="3"/>
  <c r="E540" i="3"/>
  <c r="E521" i="3"/>
  <c r="E47" i="3"/>
  <c r="E65" i="3"/>
  <c r="E195" i="3"/>
  <c r="E248" i="3"/>
  <c r="E266" i="3"/>
  <c r="E386" i="3"/>
  <c r="E584" i="3"/>
  <c r="E24" i="3"/>
  <c r="E87" i="3"/>
  <c r="E250" i="3"/>
  <c r="E341" i="3"/>
  <c r="Y6" i="3"/>
  <c r="E19" i="3"/>
  <c r="E179" i="3"/>
  <c r="E323" i="3"/>
  <c r="E82" i="3"/>
  <c r="D44" i="71"/>
  <c r="T44" i="71"/>
  <c r="U38" i="37"/>
  <c r="AB38" i="37"/>
  <c r="J60" i="15"/>
  <c r="Q48" i="15" s="1"/>
  <c r="BL5" i="3"/>
  <c r="C31" i="35"/>
  <c r="C58" i="71"/>
  <c r="D58" i="71" s="1"/>
  <c r="D59" i="71"/>
  <c r="C70" i="71"/>
  <c r="D70" i="71" s="1"/>
  <c r="D71" i="71"/>
  <c r="M20" i="43"/>
  <c r="C19" i="43" s="1"/>
  <c r="D48" i="71"/>
  <c r="T48" i="71"/>
  <c r="D40" i="71"/>
  <c r="T40" i="71"/>
  <c r="W38" i="37"/>
  <c r="AC38" i="37"/>
  <c r="AB28" i="37"/>
  <c r="U28" i="37"/>
  <c r="S28" i="37"/>
  <c r="AA28" i="37"/>
  <c r="S36" i="35"/>
  <c r="AA36" i="35"/>
  <c r="U36" i="35"/>
  <c r="AB36" i="35"/>
  <c r="AC9" i="34"/>
  <c r="W9" i="34"/>
  <c r="AA31" i="21"/>
  <c r="S31" i="21"/>
  <c r="U31" i="21"/>
  <c r="AB31" i="21"/>
  <c r="S28" i="21"/>
  <c r="AA28" i="21"/>
  <c r="E56" i="40"/>
  <c r="E61" i="39"/>
  <c r="E16" i="6"/>
  <c r="AF6" i="3"/>
  <c r="AK6" i="3"/>
  <c r="AQ6" i="3"/>
  <c r="W6" i="3"/>
  <c r="AC44" i="39"/>
  <c r="W44" i="39"/>
  <c r="AB13" i="33"/>
  <c r="U13" i="33"/>
  <c r="AB31" i="33"/>
  <c r="U31" i="33"/>
  <c r="W30" i="34"/>
  <c r="AC30" i="34"/>
  <c r="S46" i="34"/>
  <c r="AA46" i="34"/>
  <c r="AA24" i="35"/>
  <c r="S24" i="35"/>
  <c r="F27" i="6"/>
  <c r="C30" i="68"/>
  <c r="C48" i="68"/>
  <c r="E64" i="39"/>
  <c r="E59" i="40"/>
  <c r="U7" i="35"/>
  <c r="AB7" i="35"/>
  <c r="S7" i="21"/>
  <c r="AA7" i="21"/>
  <c r="R48" i="21" s="1"/>
  <c r="U25" i="37"/>
  <c r="AB25" i="37"/>
  <c r="AA25" i="36"/>
  <c r="S25" i="36"/>
  <c r="AB9" i="21"/>
  <c r="U9" i="21"/>
  <c r="S45" i="21"/>
  <c r="AA45" i="21"/>
  <c r="W30" i="21"/>
  <c r="AC30" i="21"/>
  <c r="U30" i="21"/>
  <c r="AB30" i="21"/>
  <c r="S14" i="21"/>
  <c r="AA14" i="21"/>
  <c r="W27" i="40"/>
  <c r="AC27" i="40"/>
  <c r="S13" i="40"/>
  <c r="AA13" i="40"/>
  <c r="U13" i="40"/>
  <c r="AB13" i="40"/>
  <c r="U34" i="35"/>
  <c r="AB34" i="35"/>
  <c r="E28" i="6"/>
  <c r="F30" i="6"/>
  <c r="S7" i="36"/>
  <c r="AA7" i="36"/>
  <c r="R36" i="36" s="1"/>
  <c r="J7" i="33"/>
  <c r="F7" i="33"/>
  <c r="J7" i="36"/>
  <c r="H7" i="36"/>
  <c r="H7" i="37"/>
  <c r="G63" i="40"/>
  <c r="F65" i="40"/>
  <c r="AB7" i="21"/>
  <c r="T48" i="21" s="1"/>
  <c r="G48" i="21" s="1"/>
  <c r="U7" i="21"/>
  <c r="F11" i="15"/>
  <c r="C53" i="15" s="1"/>
  <c r="M11" i="15"/>
  <c r="F11" i="67"/>
  <c r="M11" i="67"/>
  <c r="J10" i="67" s="1"/>
  <c r="L59" i="15"/>
  <c r="M6" i="1"/>
  <c r="Q16" i="1"/>
  <c r="H16" i="1"/>
  <c r="G16" i="1"/>
  <c r="J53" i="15"/>
  <c r="J59" i="15"/>
  <c r="I54" i="15"/>
  <c r="J57" i="15"/>
  <c r="J55" i="15" s="1"/>
  <c r="J58" i="15" s="1"/>
  <c r="Q50" i="15" s="1"/>
  <c r="AZ14" i="3"/>
  <c r="BA5" i="3"/>
  <c r="E27" i="6" s="1"/>
  <c r="C36" i="68"/>
  <c r="AZ5" i="3"/>
  <c r="N55" i="71"/>
  <c r="B54" i="71"/>
  <c r="D67" i="71"/>
  <c r="C66" i="71"/>
  <c r="D66" i="71" s="1"/>
  <c r="D51" i="71"/>
  <c r="C52" i="71"/>
  <c r="W29" i="35"/>
  <c r="AC29" i="35"/>
  <c r="AA38" i="37"/>
  <c r="S38" i="37"/>
  <c r="W28" i="37"/>
  <c r="AC28" i="37"/>
  <c r="AC25" i="37"/>
  <c r="W25" i="37"/>
  <c r="AC36" i="35"/>
  <c r="W36" i="35"/>
  <c r="AB9" i="34"/>
  <c r="U9" i="34"/>
  <c r="AB12" i="34"/>
  <c r="U12" i="34"/>
  <c r="AC31" i="21"/>
  <c r="W31" i="21"/>
  <c r="AC28" i="21"/>
  <c r="W28" i="21"/>
  <c r="AB28" i="21"/>
  <c r="U28" i="21"/>
  <c r="E57" i="40"/>
  <c r="E62" i="39"/>
  <c r="AI6" i="3"/>
  <c r="AN6" i="3"/>
  <c r="Q6" i="3"/>
  <c r="AA6" i="3"/>
  <c r="W28" i="33"/>
  <c r="AC28" i="33"/>
  <c r="S29" i="33"/>
  <c r="AA29" i="33"/>
  <c r="U14" i="34"/>
  <c r="AB14" i="34"/>
  <c r="W32" i="34"/>
  <c r="AC32" i="34"/>
  <c r="AB32" i="36"/>
  <c r="U32" i="36"/>
  <c r="U13" i="39"/>
  <c r="AB13" i="39"/>
  <c r="C48" i="69"/>
  <c r="C30" i="69"/>
  <c r="D6" i="52"/>
  <c r="K120" i="9"/>
  <c r="A18" i="62" s="1"/>
  <c r="B64" i="72" s="1"/>
  <c r="D121" i="9"/>
  <c r="D7" i="52" s="1"/>
  <c r="W9" i="21"/>
  <c r="AC9" i="21"/>
  <c r="AC7" i="37"/>
  <c r="V42" i="37" s="1"/>
  <c r="I42" i="37" s="1"/>
  <c r="W7" i="37"/>
  <c r="W7" i="34"/>
  <c r="AC7" i="34"/>
  <c r="V49" i="34" s="1"/>
  <c r="I49" i="34" s="1"/>
  <c r="AA25" i="37"/>
  <c r="S25" i="37"/>
  <c r="U25" i="36"/>
  <c r="AB25" i="36"/>
  <c r="W25" i="36"/>
  <c r="AC25" i="36"/>
  <c r="S9" i="21"/>
  <c r="AA9" i="21"/>
  <c r="U45" i="21"/>
  <c r="AB45" i="21"/>
  <c r="W45" i="21"/>
  <c r="AC45" i="21"/>
  <c r="AA30" i="21"/>
  <c r="S30" i="21"/>
  <c r="AB14" i="21"/>
  <c r="U14" i="21"/>
  <c r="W14" i="21"/>
  <c r="AC14" i="21"/>
  <c r="C9" i="69"/>
  <c r="C9" i="68"/>
  <c r="S27" i="40"/>
  <c r="AA27" i="40"/>
  <c r="U27" i="40"/>
  <c r="AB27" i="40"/>
  <c r="W13" i="40"/>
  <c r="AC13" i="40"/>
  <c r="S34" i="35"/>
  <c r="AA34" i="35"/>
  <c r="W34" i="35"/>
  <c r="AC34" i="35"/>
  <c r="S7" i="37"/>
  <c r="AA7" i="37"/>
  <c r="R42" i="37" s="1"/>
  <c r="AB7" i="33"/>
  <c r="T48" i="33" s="1"/>
  <c r="G48" i="33" s="1"/>
  <c r="U7" i="33"/>
  <c r="S7" i="34"/>
  <c r="AA7" i="34"/>
  <c r="R49" i="34" s="1"/>
  <c r="U7" i="34"/>
  <c r="AB7" i="34"/>
  <c r="T49" i="34" s="1"/>
  <c r="G49" i="34" s="1"/>
  <c r="AC7" i="35"/>
  <c r="W7" i="35"/>
  <c r="AA7" i="35"/>
  <c r="S7" i="35"/>
  <c r="W7" i="21"/>
  <c r="AC7" i="21"/>
  <c r="V48" i="21" s="1"/>
  <c r="I48" i="21" s="1"/>
  <c r="I70" i="39"/>
  <c r="J68" i="39"/>
  <c r="M59" i="15"/>
  <c r="M9" i="67"/>
  <c r="M21" i="67"/>
  <c r="M24" i="67"/>
  <c r="M28" i="67"/>
  <c r="F7" i="67"/>
  <c r="G1" i="73"/>
  <c r="F42" i="67"/>
  <c r="M8" i="67"/>
  <c r="F9" i="67"/>
  <c r="F43" i="67"/>
  <c r="M22" i="67"/>
  <c r="F26" i="67"/>
  <c r="F37" i="67"/>
  <c r="L48" i="67"/>
  <c r="F35" i="67"/>
  <c r="L47" i="67"/>
  <c r="C76" i="67"/>
  <c r="F38" i="67"/>
  <c r="C16" i="15"/>
  <c r="F8" i="67"/>
  <c r="F6" i="67"/>
  <c r="M6" i="67"/>
  <c r="M23" i="67"/>
  <c r="F13" i="67"/>
  <c r="M27" i="67"/>
  <c r="J15" i="67"/>
  <c r="F36" i="67"/>
  <c r="F40" i="67"/>
  <c r="M26" i="67"/>
  <c r="F16" i="67"/>
  <c r="M29" i="67"/>
  <c r="K4" i="4" l="1"/>
  <c r="B46" i="48" s="1"/>
  <c r="B4" i="72" s="1"/>
  <c r="E66" i="39"/>
  <c r="B40" i="1"/>
  <c r="F24" i="15" s="1"/>
  <c r="C24" i="15" s="1"/>
  <c r="J20" i="67"/>
  <c r="C27" i="67"/>
  <c r="F66" i="67"/>
  <c r="M59" i="67"/>
  <c r="L58" i="67"/>
  <c r="L59" i="67"/>
  <c r="N59" i="67"/>
  <c r="C34" i="67"/>
  <c r="F63" i="67"/>
  <c r="C62" i="67" s="1"/>
  <c r="C6" i="67"/>
  <c r="F64" i="67"/>
  <c r="F71" i="67"/>
  <c r="F65" i="67"/>
  <c r="F70" i="67"/>
  <c r="M7" i="67"/>
  <c r="F50" i="67"/>
  <c r="Q71" i="67"/>
  <c r="F68" i="67"/>
  <c r="J6" i="67"/>
  <c r="F51" i="67"/>
  <c r="C49" i="67" s="1"/>
  <c r="J53" i="67"/>
  <c r="J57" i="67"/>
  <c r="J55" i="67" s="1"/>
  <c r="J58" i="67" s="1"/>
  <c r="Q50" i="67" s="1"/>
  <c r="L56" i="67"/>
  <c r="I54" i="67"/>
  <c r="G53" i="34"/>
  <c r="H53" i="34" s="1"/>
  <c r="G54" i="34"/>
  <c r="H54" i="34" s="1"/>
  <c r="R50" i="34"/>
  <c r="E49" i="34"/>
  <c r="R43" i="37"/>
  <c r="E42" i="37"/>
  <c r="I53" i="34"/>
  <c r="J53" i="34" s="1"/>
  <c r="I54" i="34"/>
  <c r="J54" i="34" s="1"/>
  <c r="D52" i="71"/>
  <c r="T52" i="71"/>
  <c r="N54" i="71"/>
  <c r="N53" i="71"/>
  <c r="E3" i="6"/>
  <c r="AY6" i="3"/>
  <c r="F1" i="15"/>
  <c r="Q52" i="15"/>
  <c r="F10" i="39"/>
  <c r="F10" i="40"/>
  <c r="H10" i="40"/>
  <c r="J10" i="40"/>
  <c r="J10" i="39"/>
  <c r="H10" i="39"/>
  <c r="Q61" i="15"/>
  <c r="Q74" i="15"/>
  <c r="C53" i="67"/>
  <c r="C10" i="67"/>
  <c r="G52" i="21"/>
  <c r="H52" i="21" s="1"/>
  <c r="G53" i="21"/>
  <c r="H53" i="21" s="1"/>
  <c r="G65" i="40"/>
  <c r="H63" i="40"/>
  <c r="U7" i="36"/>
  <c r="AB7" i="36"/>
  <c r="T36" i="36" s="1"/>
  <c r="G36" i="36" s="1"/>
  <c r="S7" i="33"/>
  <c r="AA7" i="33"/>
  <c r="R48" i="33" s="1"/>
  <c r="R37" i="36"/>
  <c r="E36" i="36"/>
  <c r="F31" i="6"/>
  <c r="H6" i="3"/>
  <c r="M28" i="43"/>
  <c r="G20" i="43" s="1"/>
  <c r="P28" i="43"/>
  <c r="O28" i="43"/>
  <c r="N28" i="43"/>
  <c r="C48" i="15"/>
  <c r="Q73" i="15"/>
  <c r="Q60" i="15"/>
  <c r="J10" i="15"/>
  <c r="J5" i="15" s="1"/>
  <c r="J18" i="15"/>
  <c r="K68" i="39"/>
  <c r="J70" i="39"/>
  <c r="I52" i="21"/>
  <c r="J52" i="21" s="1"/>
  <c r="G52" i="33"/>
  <c r="H52" i="33" s="1"/>
  <c r="I47" i="37"/>
  <c r="J47" i="37" s="1"/>
  <c r="I46" i="37"/>
  <c r="J46" i="37" s="1"/>
  <c r="F27" i="68"/>
  <c r="F28" i="12"/>
  <c r="C29" i="12" s="1"/>
  <c r="D28" i="12" s="1"/>
  <c r="F27" i="69"/>
  <c r="F27" i="11"/>
  <c r="U7" i="37"/>
  <c r="AB7" i="37"/>
  <c r="T42" i="37" s="1"/>
  <c r="G42" i="37" s="1"/>
  <c r="AC7" i="36"/>
  <c r="V36" i="36" s="1"/>
  <c r="I36" i="36" s="1"/>
  <c r="W7" i="36"/>
  <c r="W7" i="33"/>
  <c r="AC7" i="33"/>
  <c r="V48" i="33" s="1"/>
  <c r="I48" i="33" s="1"/>
  <c r="K14" i="1"/>
  <c r="E30" i="6"/>
  <c r="E31" i="6" s="1"/>
  <c r="K24" i="6"/>
  <c r="M24" i="6" s="1"/>
  <c r="I24" i="6" s="1"/>
  <c r="S24" i="6" s="1"/>
  <c r="K21" i="6"/>
  <c r="M21" i="6" s="1"/>
  <c r="I21" i="6" s="1"/>
  <c r="S21" i="6" s="1"/>
  <c r="K22" i="6"/>
  <c r="M22" i="6" s="1"/>
  <c r="I22" i="6" s="1"/>
  <c r="S22" i="6" s="1"/>
  <c r="K25" i="6"/>
  <c r="M25" i="6" s="1"/>
  <c r="I25" i="6" s="1"/>
  <c r="S25" i="6" s="1"/>
  <c r="K23" i="6"/>
  <c r="M23" i="6" s="1"/>
  <c r="I23" i="6" s="1"/>
  <c r="S23" i="6" s="1"/>
  <c r="K20" i="6"/>
  <c r="M20" i="6" s="1"/>
  <c r="I20" i="6" s="1"/>
  <c r="S20" i="6" s="1"/>
  <c r="K19" i="6"/>
  <c r="K26" i="6"/>
  <c r="M26" i="6" s="1"/>
  <c r="I26" i="6" s="1"/>
  <c r="S26" i="6" s="1"/>
  <c r="E48" i="21"/>
  <c r="I53" i="21" s="1"/>
  <c r="J53" i="21" s="1"/>
  <c r="R49" i="21"/>
  <c r="F31" i="35"/>
  <c r="H31" i="35"/>
  <c r="J31" i="35"/>
  <c r="AC6" i="3"/>
  <c r="F22" i="68"/>
  <c r="Q66" i="15"/>
  <c r="Q57" i="15"/>
  <c r="L46" i="15"/>
  <c r="C17" i="67"/>
  <c r="C14" i="67"/>
  <c r="C16" i="67"/>
  <c r="AE6" i="1"/>
  <c r="F25" i="12" l="1"/>
  <c r="C26" i="12" s="1"/>
  <c r="D25" i="12" s="1"/>
  <c r="F22" i="11"/>
  <c r="C26" i="11" s="1"/>
  <c r="D22" i="11" s="1"/>
  <c r="F22" i="69"/>
  <c r="C44" i="69" s="1"/>
  <c r="D41" i="69" s="1"/>
  <c r="F24" i="67"/>
  <c r="C24" i="67" s="1"/>
  <c r="C18" i="67"/>
  <c r="C15" i="67"/>
  <c r="J26" i="15"/>
  <c r="J24" i="15"/>
  <c r="U31" i="35"/>
  <c r="AB31" i="35"/>
  <c r="T38" i="35" s="1"/>
  <c r="G38" i="35" s="1"/>
  <c r="C48" i="21"/>
  <c r="C49" i="21"/>
  <c r="I52" i="33"/>
  <c r="J52" i="33" s="1"/>
  <c r="G46" i="37"/>
  <c r="H46" i="37" s="1"/>
  <c r="G47" i="37"/>
  <c r="H47" i="37" s="1"/>
  <c r="C47" i="11"/>
  <c r="D45" i="11" s="1"/>
  <c r="C29" i="11"/>
  <c r="D27" i="11" s="1"/>
  <c r="G53" i="33"/>
  <c r="H53" i="33" s="1"/>
  <c r="E6" i="3"/>
  <c r="E40" i="36"/>
  <c r="F40" i="36" s="1"/>
  <c r="E41" i="36"/>
  <c r="F41" i="36" s="1"/>
  <c r="E48" i="33"/>
  <c r="R49" i="33"/>
  <c r="G40" i="36"/>
  <c r="H40" i="36" s="1"/>
  <c r="G41" i="36"/>
  <c r="H41" i="36" s="1"/>
  <c r="H65" i="40"/>
  <c r="I63" i="40"/>
  <c r="U10" i="39"/>
  <c r="AB10" i="39"/>
  <c r="W10" i="40"/>
  <c r="AC10" i="40"/>
  <c r="S10" i="40"/>
  <c r="AA10" i="40"/>
  <c r="D3" i="6"/>
  <c r="AY87" i="3"/>
  <c r="AY83" i="3"/>
  <c r="AY51" i="3"/>
  <c r="AY66" i="3"/>
  <c r="AY34" i="3"/>
  <c r="AY103" i="3"/>
  <c r="AY67" i="3"/>
  <c r="AY50"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81" i="3"/>
  <c r="AY562" i="3"/>
  <c r="AY540" i="3"/>
  <c r="AY539" i="3"/>
  <c r="AY89" i="3"/>
  <c r="AY84" i="3"/>
  <c r="AY52" i="3"/>
  <c r="AY20" i="3"/>
  <c r="AY198" i="3"/>
  <c r="AY193" i="3"/>
  <c r="AY162" i="3"/>
  <c r="AY173" i="3"/>
  <c r="AY141" i="3"/>
  <c r="AY126" i="3"/>
  <c r="AY117" i="3"/>
  <c r="AY286" i="3"/>
  <c r="AY255" i="3"/>
  <c r="AY270" i="3"/>
  <c r="AY238" i="3"/>
  <c r="AY227" i="3"/>
  <c r="AY389" i="3"/>
  <c r="AY365" i="3"/>
  <c r="AY368" i="3"/>
  <c r="BS6" i="3"/>
  <c r="AY507" i="3"/>
  <c r="BB6" i="3"/>
  <c r="AY57" i="3"/>
  <c r="AY40" i="3"/>
  <c r="AY186" i="3"/>
  <c r="AY150" i="3"/>
  <c r="AY130" i="3"/>
  <c r="AY275" i="3"/>
  <c r="AY258" i="3"/>
  <c r="AY215" i="3"/>
  <c r="AY393" i="3"/>
  <c r="AY356" i="3"/>
  <c r="AY325" i="3"/>
  <c r="AY340" i="3"/>
  <c r="AY483" i="3"/>
  <c r="AY467" i="3"/>
  <c r="AY464" i="3"/>
  <c r="AY454" i="3"/>
  <c r="AY406" i="3"/>
  <c r="AY419" i="3"/>
  <c r="AY503" i="3"/>
  <c r="AY580" i="3"/>
  <c r="AY572" i="3"/>
  <c r="AY527" i="3"/>
  <c r="AY518" i="3"/>
  <c r="AY552" i="3"/>
  <c r="AY543" i="3"/>
  <c r="AY532" i="3"/>
  <c r="AY523" i="3"/>
  <c r="AY81" i="3"/>
  <c r="AY64" i="3"/>
  <c r="AY21" i="3"/>
  <c r="AY174" i="3"/>
  <c r="AY153" i="3"/>
  <c r="AY113" i="3"/>
  <c r="AY267" i="3"/>
  <c r="AY250" i="3"/>
  <c r="AY396" i="3"/>
  <c r="AY361" i="3"/>
  <c r="AY337" i="3"/>
  <c r="AY305" i="3"/>
  <c r="AY320" i="3"/>
  <c r="AY479" i="3"/>
  <c r="AY461" i="3"/>
  <c r="AY450" i="3"/>
  <c r="AY418" i="3"/>
  <c r="AY431" i="3"/>
  <c r="AY399" i="3"/>
  <c r="AY17" i="3"/>
  <c r="AY564" i="3"/>
  <c r="AY502" i="3"/>
  <c r="AY509" i="3"/>
  <c r="BR6" i="3"/>
  <c r="AY531" i="3"/>
  <c r="BA6" i="3"/>
  <c r="AY94" i="3"/>
  <c r="AY78" i="3"/>
  <c r="AY35" i="3"/>
  <c r="AY187" i="3"/>
  <c r="AY167" i="3"/>
  <c r="AY127" i="3"/>
  <c r="AY285" i="3"/>
  <c r="AY249" i="3"/>
  <c r="AY232" i="3"/>
  <c r="AY378" i="3"/>
  <c r="AY362" i="3"/>
  <c r="AY346" i="3"/>
  <c r="AY469" i="3"/>
  <c r="AY456" i="3"/>
  <c r="AY437" i="3"/>
  <c r="AY558" i="3"/>
  <c r="AY560" i="3"/>
  <c r="AY512" i="3"/>
  <c r="AY587" i="3"/>
  <c r="AY55" i="3"/>
  <c r="AY38" i="3"/>
  <c r="AY224" i="3"/>
  <c r="AY367" i="3"/>
  <c r="AY323" i="3"/>
  <c r="AY306" i="3"/>
  <c r="AY459" i="3"/>
  <c r="AY416" i="3"/>
  <c r="AY550" i="3"/>
  <c r="BC6" i="3"/>
  <c r="AY504" i="3"/>
  <c r="AY498" i="3"/>
  <c r="AY98" i="3"/>
  <c r="AY82"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78" i="3"/>
  <c r="AY447" i="3"/>
  <c r="AY436" i="3"/>
  <c r="AY404" i="3"/>
  <c r="AY417" i="3"/>
  <c r="AY535" i="3"/>
  <c r="AY557" i="3"/>
  <c r="AY573" i="3"/>
  <c r="AY574" i="3"/>
  <c r="BO6" i="3"/>
  <c r="AY555" i="3"/>
  <c r="AY105" i="3"/>
  <c r="AY100" i="3"/>
  <c r="AY85" i="3"/>
  <c r="AY69" i="3"/>
  <c r="AY53" i="3"/>
  <c r="AY68" i="3"/>
  <c r="AY36" i="3"/>
  <c r="AY25" i="3"/>
  <c r="AY182" i="3"/>
  <c r="AY178" i="3"/>
  <c r="AY146" i="3"/>
  <c r="AY157" i="3"/>
  <c r="AY134" i="3"/>
  <c r="AY291" i="3"/>
  <c r="AY302" i="3"/>
  <c r="AY271" i="3"/>
  <c r="AY239" i="3"/>
  <c r="AY254" i="3"/>
  <c r="AY222" i="3"/>
  <c r="AY211" i="3"/>
  <c r="AY384" i="3"/>
  <c r="AY373" i="3"/>
  <c r="BI6" i="3"/>
  <c r="AY93" i="3"/>
  <c r="AY88" i="3"/>
  <c r="AY72" i="3"/>
  <c r="AY29" i="3"/>
  <c r="AY181" i="3"/>
  <c r="AY161" i="3"/>
  <c r="AY121" i="3"/>
  <c r="AY279" i="3"/>
  <c r="AY243" i="3"/>
  <c r="AY226" i="3"/>
  <c r="AY370" i="3"/>
  <c r="AY341" i="3"/>
  <c r="AY309" i="3"/>
  <c r="AY324" i="3"/>
  <c r="AY308" i="3"/>
  <c r="AY480" i="3"/>
  <c r="AY449" i="3"/>
  <c r="AY438" i="3"/>
  <c r="AY422" i="3"/>
  <c r="AY435" i="3"/>
  <c r="AY403" i="3"/>
  <c r="AY525" i="3"/>
  <c r="AY516" i="3"/>
  <c r="BN6" i="3"/>
  <c r="AY536" i="3"/>
  <c r="AY520" i="3"/>
  <c r="AY559" i="3"/>
  <c r="AY508" i="3"/>
  <c r="AY556" i="3"/>
  <c r="AY496" i="3"/>
  <c r="AY577" i="3"/>
  <c r="AY112" i="3"/>
  <c r="AY49" i="3"/>
  <c r="AY32" i="3"/>
  <c r="AY205" i="3"/>
  <c r="AY142" i="3"/>
  <c r="AY122" i="3"/>
  <c r="AY298" i="3"/>
  <c r="AY235" i="3"/>
  <c r="AY218" i="3"/>
  <c r="AY385" i="3"/>
  <c r="AY352" i="3"/>
  <c r="AY321" i="3"/>
  <c r="AY336" i="3"/>
  <c r="AY304" i="3"/>
  <c r="AY492" i="3"/>
  <c r="AY476" i="3"/>
  <c r="AY445" i="3"/>
  <c r="AY434" i="3"/>
  <c r="AY402" i="3"/>
  <c r="AY415" i="3"/>
  <c r="AY505" i="3"/>
  <c r="AY538" i="3"/>
  <c r="AY524" i="3"/>
  <c r="AY565" i="3"/>
  <c r="AY542" i="3"/>
  <c r="AY570" i="3"/>
  <c r="AY578" i="3"/>
  <c r="AY99" i="3"/>
  <c r="AY63" i="3"/>
  <c r="AY46" i="3"/>
  <c r="AY192" i="3"/>
  <c r="AY156" i="3"/>
  <c r="AY135" i="3"/>
  <c r="AY280" i="3"/>
  <c r="AY264" i="3"/>
  <c r="AY221" i="3"/>
  <c r="AY376" i="3"/>
  <c r="AY331" i="3"/>
  <c r="AY314" i="3"/>
  <c r="AY466" i="3"/>
  <c r="AY424" i="3"/>
  <c r="AY405" i="3"/>
  <c r="AY517" i="3"/>
  <c r="BL6" i="3"/>
  <c r="AY91" i="3"/>
  <c r="AY86" i="3"/>
  <c r="AY70" i="3"/>
  <c r="AY27" i="3"/>
  <c r="AY184" i="3"/>
  <c r="AY179" i="3"/>
  <c r="AY148" i="3"/>
  <c r="AY159" i="3"/>
  <c r="AY128" i="3"/>
  <c r="AY119" i="3"/>
  <c r="AY277" i="3"/>
  <c r="AY273" i="3"/>
  <c r="AY241" i="3"/>
  <c r="AY256" i="3"/>
  <c r="AY213" i="3"/>
  <c r="AY391" i="3"/>
  <c r="AY354" i="3"/>
  <c r="AY338" i="3"/>
  <c r="AY490" i="3"/>
  <c r="AY448" i="3"/>
  <c r="AY429" i="3"/>
  <c r="BD6" i="3"/>
  <c r="AY511" i="3"/>
  <c r="AY586" i="3"/>
  <c r="E47" i="37"/>
  <c r="F47" i="37" s="1"/>
  <c r="E46" i="37"/>
  <c r="F46" i="37" s="1"/>
  <c r="E54" i="34"/>
  <c r="F54" i="34" s="1"/>
  <c r="E53" i="34"/>
  <c r="F53" i="34" s="1"/>
  <c r="F1" i="67"/>
  <c r="Q52" i="67"/>
  <c r="J18" i="67"/>
  <c r="J5" i="67"/>
  <c r="C32" i="67"/>
  <c r="C5" i="67"/>
  <c r="Q74" i="67"/>
  <c r="Q61" i="67"/>
  <c r="C44" i="11"/>
  <c r="D41" i="11" s="1"/>
  <c r="C24" i="68"/>
  <c r="C44" i="68"/>
  <c r="D41" i="68" s="1"/>
  <c r="C26" i="68"/>
  <c r="D22" i="68" s="1"/>
  <c r="W31" i="35"/>
  <c r="AC31" i="35"/>
  <c r="V38" i="35" s="1"/>
  <c r="I38" i="35" s="1"/>
  <c r="AA31" i="35"/>
  <c r="R38" i="35" s="1"/>
  <c r="S31" i="35"/>
  <c r="E52" i="21"/>
  <c r="F52" i="21" s="1"/>
  <c r="E53" i="21"/>
  <c r="F53" i="21" s="1"/>
  <c r="S6" i="1"/>
  <c r="M19" i="6"/>
  <c r="K27" i="6"/>
  <c r="M14" i="1"/>
  <c r="C34" i="69"/>
  <c r="K16" i="1"/>
  <c r="B29" i="1" s="1"/>
  <c r="I40" i="36"/>
  <c r="J40" i="36" s="1"/>
  <c r="I41" i="36"/>
  <c r="J41" i="36" s="1"/>
  <c r="C47" i="69"/>
  <c r="D45" i="69" s="1"/>
  <c r="C29" i="69"/>
  <c r="D27" i="69" s="1"/>
  <c r="C29" i="68"/>
  <c r="D27" i="68" s="1"/>
  <c r="C47" i="68"/>
  <c r="D45" i="68" s="1"/>
  <c r="L68" i="39"/>
  <c r="K70" i="39"/>
  <c r="C60" i="15"/>
  <c r="C66" i="15"/>
  <c r="C20" i="43"/>
  <c r="E41" i="43"/>
  <c r="C41" i="43" s="1"/>
  <c r="C37" i="36"/>
  <c r="B2" i="36" s="1"/>
  <c r="B3" i="36" s="1"/>
  <c r="C36" i="36"/>
  <c r="W10" i="39"/>
  <c r="AC10" i="39"/>
  <c r="AB10" i="40"/>
  <c r="U10" i="40"/>
  <c r="AA10" i="39"/>
  <c r="S10" i="39"/>
  <c r="M18" i="9"/>
  <c r="B118" i="9" s="1"/>
  <c r="B14" i="74" s="1"/>
  <c r="B1" i="74" s="1"/>
  <c r="D3" i="21"/>
  <c r="D19" i="11"/>
  <c r="C19" i="11" s="1"/>
  <c r="C17" i="4"/>
  <c r="B4" i="52" s="1"/>
  <c r="B43" i="72" s="1"/>
  <c r="L18" i="9"/>
  <c r="D3" i="37"/>
  <c r="D3" i="34"/>
  <c r="E6" i="6"/>
  <c r="D14" i="12"/>
  <c r="D3" i="33"/>
  <c r="D37" i="11"/>
  <c r="C37" i="11" s="1"/>
  <c r="C43" i="37"/>
  <c r="C42" i="37"/>
  <c r="C50" i="34"/>
  <c r="C49" i="34"/>
  <c r="C48" i="67"/>
  <c r="Q73" i="67"/>
  <c r="Q60" i="67"/>
  <c r="C17" i="15"/>
  <c r="F41" i="15"/>
  <c r="B2" i="34" l="1"/>
  <c r="B3" i="34" s="1"/>
  <c r="C23" i="11"/>
  <c r="C26" i="69"/>
  <c r="D22" i="69" s="1"/>
  <c r="C19" i="67"/>
  <c r="C20" i="67" s="1"/>
  <c r="C26" i="67" s="1"/>
  <c r="F69" i="15"/>
  <c r="J29" i="15"/>
  <c r="C39" i="43"/>
  <c r="C38" i="43"/>
  <c r="L70" i="39"/>
  <c r="M68" i="39"/>
  <c r="C38" i="69"/>
  <c r="C35" i="69"/>
  <c r="R39" i="35"/>
  <c r="E38" i="35"/>
  <c r="C66" i="67"/>
  <c r="C60" i="67"/>
  <c r="B2" i="37"/>
  <c r="B3" i="37" s="1"/>
  <c r="D17" i="12"/>
  <c r="C17" i="12" s="1"/>
  <c r="C14" i="12"/>
  <c r="C16" i="12" s="1"/>
  <c r="C24" i="11"/>
  <c r="C20" i="11"/>
  <c r="C25" i="11" s="1"/>
  <c r="C8" i="74"/>
  <c r="C7" i="74"/>
  <c r="T15" i="43"/>
  <c r="V15" i="43" s="1"/>
  <c r="T10" i="43"/>
  <c r="V10" i="43" s="1"/>
  <c r="C37" i="43"/>
  <c r="T8" i="43"/>
  <c r="V8" i="43" s="1"/>
  <c r="T9" i="43"/>
  <c r="V9" i="43" s="1"/>
  <c r="T11" i="43"/>
  <c r="V11" i="43" s="1"/>
  <c r="C33" i="43"/>
  <c r="C35" i="43"/>
  <c r="T13" i="43"/>
  <c r="V13" i="43" s="1"/>
  <c r="T14" i="43"/>
  <c r="V14" i="43" s="1"/>
  <c r="C36" i="43"/>
  <c r="T16" i="43"/>
  <c r="V16" i="43" s="1"/>
  <c r="T12" i="43"/>
  <c r="V12" i="43" s="1"/>
  <c r="C34" i="43"/>
  <c r="M16" i="1"/>
  <c r="M27" i="6"/>
  <c r="I19" i="6"/>
  <c r="I42" i="35"/>
  <c r="J42" i="35" s="1"/>
  <c r="C38" i="67"/>
  <c r="J24" i="67"/>
  <c r="J26" i="67"/>
  <c r="J63" i="40"/>
  <c r="I65" i="40"/>
  <c r="C48" i="33"/>
  <c r="C49" i="33"/>
  <c r="B2" i="33" s="1"/>
  <c r="B3" i="33" s="1"/>
  <c r="D10" i="68"/>
  <c r="D10" i="11"/>
  <c r="C10" i="11" s="1"/>
  <c r="D20" i="12"/>
  <c r="C20" i="12" s="1"/>
  <c r="C18" i="12" s="1"/>
  <c r="D10" i="69"/>
  <c r="T6" i="1"/>
  <c r="AQ6" i="1"/>
  <c r="AR6" i="1"/>
  <c r="S16" i="1"/>
  <c r="E6" i="70"/>
  <c r="E2" i="70" s="1"/>
  <c r="D19" i="6"/>
  <c r="D20" i="6"/>
  <c r="M19" i="9"/>
  <c r="C118" i="9" s="1"/>
  <c r="C14" i="74" s="1"/>
  <c r="B2" i="74" s="1"/>
  <c r="H20" i="6"/>
  <c r="D25" i="6"/>
  <c r="D15" i="6"/>
  <c r="D22" i="6"/>
  <c r="D21" i="6"/>
  <c r="D24" i="6"/>
  <c r="D5" i="6"/>
  <c r="D12" i="6"/>
  <c r="D11" i="6"/>
  <c r="D13" i="6"/>
  <c r="D28" i="6"/>
  <c r="E61" i="40"/>
  <c r="H23" i="6"/>
  <c r="H26" i="6"/>
  <c r="C18" i="4"/>
  <c r="D26" i="6"/>
  <c r="R26" i="6" s="1"/>
  <c r="D8" i="6"/>
  <c r="D23" i="6"/>
  <c r="D14" i="6"/>
  <c r="D6" i="6"/>
  <c r="D9" i="6"/>
  <c r="D10" i="6"/>
  <c r="L19" i="9"/>
  <c r="D29" i="6"/>
  <c r="H25" i="6"/>
  <c r="H22" i="6"/>
  <c r="H21" i="6"/>
  <c r="H24" i="6"/>
  <c r="E53" i="33"/>
  <c r="F53" i="33" s="1"/>
  <c r="E52" i="33"/>
  <c r="F52" i="33" s="1"/>
  <c r="I53" i="33"/>
  <c r="J53" i="33" s="1"/>
  <c r="B2" i="21"/>
  <c r="B3" i="21" s="1"/>
  <c r="G42" i="35"/>
  <c r="H42" i="35" s="1"/>
  <c r="G43" i="35"/>
  <c r="H43" i="35" s="1"/>
  <c r="C14" i="15"/>
  <c r="R23" i="6" l="1"/>
  <c r="R25" i="6"/>
  <c r="C23" i="67"/>
  <c r="C29" i="67" s="1"/>
  <c r="C13" i="67" s="1"/>
  <c r="C22" i="11"/>
  <c r="C18" i="15"/>
  <c r="C15" i="15"/>
  <c r="R22" i="6"/>
  <c r="I27" i="6"/>
  <c r="S19" i="6"/>
  <c r="S27" i="6" s="1"/>
  <c r="E34" i="43"/>
  <c r="G34" i="43"/>
  <c r="I34" i="43" s="1"/>
  <c r="E35" i="43"/>
  <c r="G35" i="43"/>
  <c r="I35" i="43" s="1"/>
  <c r="E37" i="43"/>
  <c r="G37" i="43"/>
  <c r="I37" i="43" s="1"/>
  <c r="C28" i="11"/>
  <c r="C27" i="11" s="1"/>
  <c r="E42" i="35"/>
  <c r="E43" i="35"/>
  <c r="F43" i="35" s="1"/>
  <c r="D16" i="6"/>
  <c r="A7" i="51"/>
  <c r="B7" i="72" s="1"/>
  <c r="C4" i="52"/>
  <c r="B45" i="72" s="1"/>
  <c r="A10" i="51"/>
  <c r="B9" i="72" s="1"/>
  <c r="H19" i="6"/>
  <c r="H27" i="6" s="1"/>
  <c r="D30" i="6"/>
  <c r="R21" i="6"/>
  <c r="R20" i="6"/>
  <c r="C10" i="68"/>
  <c r="D19" i="68"/>
  <c r="D37" i="68" s="1"/>
  <c r="C37" i="68" s="1"/>
  <c r="K63" i="40"/>
  <c r="J65" i="40"/>
  <c r="I43" i="35"/>
  <c r="J43" i="35" s="1"/>
  <c r="T16" i="1"/>
  <c r="E36" i="43"/>
  <c r="G36" i="43"/>
  <c r="I36" i="43" s="1"/>
  <c r="E33" i="43"/>
  <c r="G33" i="43"/>
  <c r="I33" i="43" s="1"/>
  <c r="C21" i="12"/>
  <c r="C38" i="35"/>
  <c r="C39" i="35"/>
  <c r="B2" i="35" s="1"/>
  <c r="M70" i="39"/>
  <c r="N68" i="39"/>
  <c r="E39" i="43"/>
  <c r="G39" i="43"/>
  <c r="I39" i="43" s="1"/>
  <c r="R24" i="6"/>
  <c r="D8" i="74"/>
  <c r="D7" i="74"/>
  <c r="D27" i="6"/>
  <c r="C10" i="69"/>
  <c r="C8" i="69" s="1"/>
  <c r="C5" i="69" s="1"/>
  <c r="D19" i="69"/>
  <c r="L16" i="1"/>
  <c r="C34" i="11"/>
  <c r="C34" i="68"/>
  <c r="N16" i="1"/>
  <c r="E38" i="43"/>
  <c r="G38" i="43"/>
  <c r="I38" i="43" s="1"/>
  <c r="AE7" i="1"/>
  <c r="AO7" i="1"/>
  <c r="R19" i="6" l="1"/>
  <c r="D31" i="6"/>
  <c r="I5" i="6" s="1"/>
  <c r="C31" i="11"/>
  <c r="J14" i="67"/>
  <c r="J13" i="67" s="1"/>
  <c r="J23" i="67" s="1"/>
  <c r="Q49" i="67"/>
  <c r="C19" i="15"/>
  <c r="C20" i="15" s="1"/>
  <c r="C26" i="15" s="1"/>
  <c r="C36" i="67"/>
  <c r="C33" i="67"/>
  <c r="C31" i="67" s="1"/>
  <c r="J59" i="67"/>
  <c r="J60" i="67" s="1"/>
  <c r="Q48" i="67" s="1"/>
  <c r="C57" i="67"/>
  <c r="C64" i="67" s="1"/>
  <c r="J19" i="67"/>
  <c r="J17" i="67" s="1"/>
  <c r="B7" i="70"/>
  <c r="F50" i="11"/>
  <c r="F50" i="69"/>
  <c r="F50" i="68"/>
  <c r="C38" i="11"/>
  <c r="C35" i="11"/>
  <c r="C23" i="69"/>
  <c r="O68" i="39"/>
  <c r="O70" i="39" s="1"/>
  <c r="N70" i="39"/>
  <c r="B3" i="35"/>
  <c r="C22" i="12"/>
  <c r="C27" i="12" s="1"/>
  <c r="C25" i="12" s="1"/>
  <c r="C75" i="67"/>
  <c r="C37" i="67"/>
  <c r="Q70" i="67"/>
  <c r="C56" i="67"/>
  <c r="C65" i="67" s="1"/>
  <c r="C35" i="68"/>
  <c r="C38" i="68"/>
  <c r="C19" i="69"/>
  <c r="C24" i="69" s="1"/>
  <c r="D37" i="69"/>
  <c r="C37" i="69" s="1"/>
  <c r="C33" i="69" s="1"/>
  <c r="R6" i="1"/>
  <c r="R27" i="6"/>
  <c r="J7" i="39"/>
  <c r="L63" i="40"/>
  <c r="K65" i="40"/>
  <c r="F42" i="35"/>
  <c r="F41" i="67"/>
  <c r="F35" i="15"/>
  <c r="M21" i="15"/>
  <c r="I6" i="6" l="1"/>
  <c r="G3" i="43" s="1"/>
  <c r="C33" i="11"/>
  <c r="J22" i="67"/>
  <c r="L46" i="67"/>
  <c r="C23" i="15"/>
  <c r="C29" i="15" s="1"/>
  <c r="C30" i="67"/>
  <c r="C39" i="67" s="1"/>
  <c r="C80" i="67" s="1"/>
  <c r="C79" i="67" s="1"/>
  <c r="C61" i="67"/>
  <c r="C59" i="67" s="1"/>
  <c r="C58" i="67" s="1"/>
  <c r="C67" i="67" s="1"/>
  <c r="C33" i="68"/>
  <c r="C39" i="68" s="1"/>
  <c r="C43" i="68" s="1"/>
  <c r="F69" i="67"/>
  <c r="J29" i="67"/>
  <c r="J16" i="67"/>
  <c r="J25" i="67" s="1"/>
  <c r="C30" i="12"/>
  <c r="C28" i="12" s="1"/>
  <c r="C32" i="12" s="1"/>
  <c r="B2" i="12" s="1"/>
  <c r="B3" i="12" s="1"/>
  <c r="F63" i="15"/>
  <c r="C62" i="15" s="1"/>
  <c r="C34" i="15"/>
  <c r="J20" i="15"/>
  <c r="AC7" i="39"/>
  <c r="V47" i="39" s="1"/>
  <c r="I47" i="39" s="1"/>
  <c r="W7" i="39"/>
  <c r="R16" i="1"/>
  <c r="L65" i="40"/>
  <c r="M63" i="40"/>
  <c r="C39" i="69"/>
  <c r="C43" i="69" s="1"/>
  <c r="C42" i="69"/>
  <c r="H7" i="39"/>
  <c r="F7" i="39"/>
  <c r="C20" i="69"/>
  <c r="C25" i="69" s="1"/>
  <c r="C22" i="69" s="1"/>
  <c r="S2" i="43"/>
  <c r="T2" i="43" s="1"/>
  <c r="V2" i="43" s="1"/>
  <c r="S4" i="43"/>
  <c r="S3" i="43"/>
  <c r="B113" i="43"/>
  <c r="G101" i="43"/>
  <c r="C101" i="43"/>
  <c r="J101" i="43"/>
  <c r="N104" i="46"/>
  <c r="H22" i="43"/>
  <c r="D101" i="43"/>
  <c r="M101" i="43"/>
  <c r="I101" i="43"/>
  <c r="E101" i="43"/>
  <c r="S5" i="43"/>
  <c r="T5" i="43" s="1"/>
  <c r="V5" i="43" s="1"/>
  <c r="S6" i="43"/>
  <c r="T6" i="43" s="1"/>
  <c r="V6" i="43" s="1"/>
  <c r="J22" i="43"/>
  <c r="F22" i="43"/>
  <c r="K101" i="43"/>
  <c r="N101" i="43"/>
  <c r="H101" i="43"/>
  <c r="G22" i="43"/>
  <c r="AJ11" i="43"/>
  <c r="AJ13" i="43" s="1"/>
  <c r="AF11" i="43"/>
  <c r="AF13" i="43" s="1"/>
  <c r="AB11" i="43"/>
  <c r="AB13" i="43" s="1"/>
  <c r="Z7" i="43"/>
  <c r="AG11" i="43"/>
  <c r="AG13" i="43" s="1"/>
  <c r="AC11" i="43"/>
  <c r="AC13" i="43" s="1"/>
  <c r="Y11" i="43"/>
  <c r="Y13" i="43" s="1"/>
  <c r="S7" i="43"/>
  <c r="T7" i="43" s="1"/>
  <c r="V7" i="43" s="1"/>
  <c r="L101" i="43"/>
  <c r="AH11" i="43"/>
  <c r="AH13" i="43" s="1"/>
  <c r="AD11" i="43"/>
  <c r="AD13" i="43" s="1"/>
  <c r="Z11" i="43"/>
  <c r="Z13" i="43" s="1"/>
  <c r="AI11" i="43"/>
  <c r="AI13" i="43" s="1"/>
  <c r="AE11" i="43"/>
  <c r="AE13" i="43" s="1"/>
  <c r="AA11" i="43"/>
  <c r="AA13" i="43" s="1"/>
  <c r="C23" i="43"/>
  <c r="C21" i="43" s="1"/>
  <c r="F101" i="43"/>
  <c r="E22" i="43"/>
  <c r="C39" i="11"/>
  <c r="C43" i="11" s="1"/>
  <c r="C42" i="11"/>
  <c r="C46" i="11"/>
  <c r="C45" i="11" s="1"/>
  <c r="L51" i="67"/>
  <c r="D22" i="43" l="1"/>
  <c r="C40" i="67"/>
  <c r="C43" i="67" s="1"/>
  <c r="C42" i="68"/>
  <c r="Q69" i="67"/>
  <c r="Q68" i="67" s="1"/>
  <c r="C13" i="15"/>
  <c r="Q70" i="15" s="1"/>
  <c r="C36" i="15"/>
  <c r="J14" i="15"/>
  <c r="J22" i="15" s="1"/>
  <c r="C57" i="15"/>
  <c r="C61" i="15" s="1"/>
  <c r="C59" i="15" s="1"/>
  <c r="C41" i="69"/>
  <c r="C41" i="11"/>
  <c r="C49" i="11" s="1"/>
  <c r="C51" i="11" s="1"/>
  <c r="C52" i="11" s="1"/>
  <c r="B2" i="11" s="1"/>
  <c r="B3" i="11" s="1"/>
  <c r="C46" i="69"/>
  <c r="C45" i="69" s="1"/>
  <c r="C49" i="69" s="1"/>
  <c r="C51" i="69" s="1"/>
  <c r="C68" i="67"/>
  <c r="C45" i="67" s="1"/>
  <c r="C46" i="67" s="1"/>
  <c r="C41" i="68"/>
  <c r="C46" i="68"/>
  <c r="C45" i="68" s="1"/>
  <c r="Q49" i="15"/>
  <c r="J19" i="15"/>
  <c r="J17" i="15" s="1"/>
  <c r="Q67" i="67"/>
  <c r="L57" i="67"/>
  <c r="L60" i="67" s="1"/>
  <c r="C29" i="43"/>
  <c r="N102" i="43"/>
  <c r="N103" i="43"/>
  <c r="N106" i="43"/>
  <c r="N104" i="43"/>
  <c r="N109" i="43"/>
  <c r="N107" i="43"/>
  <c r="N105" i="43"/>
  <c r="E102" i="43"/>
  <c r="E103" i="43"/>
  <c r="E105" i="43"/>
  <c r="E107" i="43"/>
  <c r="E109" i="43"/>
  <c r="E106" i="43"/>
  <c r="E104" i="43"/>
  <c r="M102" i="43"/>
  <c r="M106" i="43"/>
  <c r="M107" i="43"/>
  <c r="M109" i="43"/>
  <c r="M103" i="43"/>
  <c r="M104" i="43"/>
  <c r="M105" i="43"/>
  <c r="J105" i="43"/>
  <c r="J103" i="43"/>
  <c r="J106" i="43"/>
  <c r="J109" i="43"/>
  <c r="J104" i="43"/>
  <c r="J107" i="43"/>
  <c r="J102" i="43"/>
  <c r="G102" i="43"/>
  <c r="G103" i="43"/>
  <c r="G105" i="43"/>
  <c r="G107" i="43"/>
  <c r="G106" i="43"/>
  <c r="G104" i="43"/>
  <c r="G109" i="43"/>
  <c r="T3" i="43"/>
  <c r="V3" i="43" s="1"/>
  <c r="Q56" i="67"/>
  <c r="S7" i="39"/>
  <c r="AA7" i="39"/>
  <c r="R47" i="39" s="1"/>
  <c r="M65" i="40"/>
  <c r="N63" i="40"/>
  <c r="I51" i="39"/>
  <c r="J51" i="39" s="1"/>
  <c r="C28" i="69"/>
  <c r="C27" i="69" s="1"/>
  <c r="C31" i="69" s="1"/>
  <c r="F104" i="43"/>
  <c r="F107" i="43"/>
  <c r="F106" i="43"/>
  <c r="F109" i="43"/>
  <c r="F102" i="43"/>
  <c r="F103" i="43"/>
  <c r="F105" i="43"/>
  <c r="L109" i="43"/>
  <c r="L103" i="43"/>
  <c r="L104" i="43"/>
  <c r="L105" i="43"/>
  <c r="L102" i="43"/>
  <c r="L106" i="43"/>
  <c r="L107" i="43"/>
  <c r="H103" i="43"/>
  <c r="H104" i="43"/>
  <c r="H105" i="43"/>
  <c r="H106" i="43"/>
  <c r="H107" i="43"/>
  <c r="H109" i="43"/>
  <c r="H102" i="43"/>
  <c r="K103" i="43"/>
  <c r="K107" i="43"/>
  <c r="K104" i="43"/>
  <c r="K106" i="43"/>
  <c r="K109" i="43"/>
  <c r="K102" i="43"/>
  <c r="K105" i="43"/>
  <c r="I102" i="43"/>
  <c r="I107" i="43"/>
  <c r="I104" i="43"/>
  <c r="I105" i="43"/>
  <c r="I109" i="43"/>
  <c r="I103" i="43"/>
  <c r="I106" i="43"/>
  <c r="D104" i="43"/>
  <c r="D106" i="43"/>
  <c r="D102" i="43"/>
  <c r="D105" i="43"/>
  <c r="D109" i="43"/>
  <c r="D103" i="43"/>
  <c r="D107" i="43"/>
  <c r="C106" i="43"/>
  <c r="C105" i="43"/>
  <c r="C102" i="43"/>
  <c r="C103" i="43"/>
  <c r="C107" i="43"/>
  <c r="C109" i="43"/>
  <c r="C104" i="43"/>
  <c r="I118" i="43"/>
  <c r="J118" i="43" s="1"/>
  <c r="K118" i="43" s="1"/>
  <c r="L118" i="43" s="1"/>
  <c r="M118" i="43" s="1"/>
  <c r="D118" i="43"/>
  <c r="E118" i="43" s="1"/>
  <c r="F118" i="43" s="1"/>
  <c r="D115" i="43"/>
  <c r="E115" i="43" s="1"/>
  <c r="F115" i="43" s="1"/>
  <c r="G115" i="43" s="1"/>
  <c r="H115" i="43" s="1"/>
  <c r="D117" i="43"/>
  <c r="E117" i="43" s="1"/>
  <c r="F117" i="43" s="1"/>
  <c r="G117" i="43" s="1"/>
  <c r="H117" i="43" s="1"/>
  <c r="D116" i="43"/>
  <c r="E116" i="43" s="1"/>
  <c r="F116" i="43" s="1"/>
  <c r="G116" i="43" s="1"/>
  <c r="H116" i="43" s="1"/>
  <c r="G118" i="43"/>
  <c r="H118" i="43" s="1"/>
  <c r="B118" i="43"/>
  <c r="C118" i="43" s="1"/>
  <c r="B117" i="43"/>
  <c r="C117" i="43" s="1"/>
  <c r="I115" i="43"/>
  <c r="J115" i="43" s="1"/>
  <c r="K115" i="43" s="1"/>
  <c r="L115" i="43" s="1"/>
  <c r="M115" i="43" s="1"/>
  <c r="B116" i="43"/>
  <c r="C116" i="43" s="1"/>
  <c r="I117" i="43"/>
  <c r="J117" i="43" s="1"/>
  <c r="K117" i="43" s="1"/>
  <c r="L117" i="43" s="1"/>
  <c r="M117" i="43" s="1"/>
  <c r="I116" i="43"/>
  <c r="J116" i="43" s="1"/>
  <c r="K116" i="43" s="1"/>
  <c r="L116" i="43" s="1"/>
  <c r="M116" i="43" s="1"/>
  <c r="B115" i="43"/>
  <c r="W22" i="1"/>
  <c r="T4" i="43"/>
  <c r="V4" i="43" s="1"/>
  <c r="AB7" i="39"/>
  <c r="T47" i="39" s="1"/>
  <c r="G47" i="39" s="1"/>
  <c r="U7" i="39"/>
  <c r="D2" i="67" l="1"/>
  <c r="B2" i="67" s="1"/>
  <c r="Q65" i="67"/>
  <c r="C71" i="67"/>
  <c r="C64" i="15"/>
  <c r="C83" i="67"/>
  <c r="C82" i="67" s="1"/>
  <c r="Q47" i="67"/>
  <c r="Q53" i="67" s="1"/>
  <c r="C37" i="15"/>
  <c r="J13" i="15"/>
  <c r="J23" i="15" s="1"/>
  <c r="C75" i="15"/>
  <c r="C56" i="15"/>
  <c r="C65" i="15" s="1"/>
  <c r="C49" i="68"/>
  <c r="C51" i="68" s="1"/>
  <c r="C52" i="69"/>
  <c r="B2" i="69" s="1"/>
  <c r="B3" i="69" s="1"/>
  <c r="P33" i="43"/>
  <c r="C6" i="68" s="1"/>
  <c r="J16" i="15"/>
  <c r="J25" i="15" s="1"/>
  <c r="C7" i="68"/>
  <c r="C5" i="68" s="1"/>
  <c r="G51" i="39"/>
  <c r="H51" i="39" s="1"/>
  <c r="G52" i="39"/>
  <c r="H52" i="39" s="1"/>
  <c r="C115" i="43"/>
  <c r="D113" i="43" s="1"/>
  <c r="B3" i="67"/>
  <c r="Q66" i="67"/>
  <c r="Q57" i="67"/>
  <c r="Q62" i="67" s="1"/>
  <c r="O63" i="40"/>
  <c r="O65" i="40" s="1"/>
  <c r="N65" i="40"/>
  <c r="R48" i="39"/>
  <c r="E47" i="39"/>
  <c r="W21" i="1"/>
  <c r="V25" i="1"/>
  <c r="W25" i="1" s="1"/>
  <c r="U6" i="1" s="1"/>
  <c r="C30" i="43"/>
  <c r="E30" i="43" s="1"/>
  <c r="C27" i="43" s="1"/>
  <c r="E29" i="43"/>
  <c r="C26" i="43" s="1"/>
  <c r="C56" i="11"/>
  <c r="C57" i="11" s="1"/>
  <c r="E6" i="76"/>
  <c r="F6" i="15"/>
  <c r="C58" i="15" l="1"/>
  <c r="C67" i="15" s="1"/>
  <c r="C68" i="15" s="1"/>
  <c r="Q75" i="67"/>
  <c r="C57" i="69"/>
  <c r="C56" i="69" s="1"/>
  <c r="E2" i="76"/>
  <c r="C6" i="15"/>
  <c r="C20" i="68"/>
  <c r="C25" i="68" s="1"/>
  <c r="C23" i="68"/>
  <c r="B2" i="43"/>
  <c r="E52" i="39"/>
  <c r="F52" i="39" s="1"/>
  <c r="E51" i="39"/>
  <c r="F51" i="39" s="1"/>
  <c r="I52" i="39"/>
  <c r="J52" i="39" s="1"/>
  <c r="C48" i="39"/>
  <c r="C47" i="39"/>
  <c r="J7" i="40"/>
  <c r="F7" i="40"/>
  <c r="H7" i="40"/>
  <c r="C71" i="15"/>
  <c r="B6" i="76"/>
  <c r="C22" i="68" l="1"/>
  <c r="B2" i="76"/>
  <c r="B3" i="76" s="1"/>
  <c r="AA7" i="40"/>
  <c r="R42" i="40" s="1"/>
  <c r="S7" i="40"/>
  <c r="C10" i="15"/>
  <c r="C5" i="15" s="1"/>
  <c r="C32" i="15"/>
  <c r="C33" i="15"/>
  <c r="U7" i="40"/>
  <c r="AB7" i="40"/>
  <c r="T42" i="40" s="1"/>
  <c r="G42" i="40" s="1"/>
  <c r="AC7" i="40"/>
  <c r="V42" i="40" s="1"/>
  <c r="I42" i="40" s="1"/>
  <c r="W7" i="40"/>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B3" i="43"/>
  <c r="C28" i="68"/>
  <c r="C27" i="68" s="1"/>
  <c r="C31" i="68" s="1"/>
  <c r="C52" i="68" s="1"/>
  <c r="B2" i="68" l="1"/>
  <c r="C57" i="68"/>
  <c r="C56" i="68" s="1"/>
  <c r="C38" i="15"/>
  <c r="I46" i="40"/>
  <c r="J46" i="40" s="1"/>
  <c r="E42" i="40"/>
  <c r="I47" i="40" s="1"/>
  <c r="J47" i="40" s="1"/>
  <c r="R43" i="40"/>
  <c r="G47" i="40"/>
  <c r="H47" i="40" s="1"/>
  <c r="G46" i="40"/>
  <c r="H46" i="40" s="1"/>
  <c r="C31" i="15"/>
  <c r="C19" i="9"/>
  <c r="C30" i="15" l="1"/>
  <c r="C39" i="15" s="1"/>
  <c r="C40" i="15" s="1"/>
  <c r="C21" i="9"/>
  <c r="C102" i="9"/>
  <c r="C42" i="40"/>
  <c r="C43" i="40"/>
  <c r="E47" i="40"/>
  <c r="F47" i="40" s="1"/>
  <c r="E46" i="40"/>
  <c r="F46" i="40" s="1"/>
  <c r="B3" i="68"/>
  <c r="D34" i="9"/>
  <c r="D35" i="9"/>
  <c r="C20" i="9"/>
  <c r="L51" i="15"/>
  <c r="Q69" i="15" l="1"/>
  <c r="Q68" i="15" s="1"/>
  <c r="C80" i="15"/>
  <c r="C79" i="15" s="1"/>
  <c r="C103" i="9"/>
  <c r="Q67" i="15"/>
  <c r="B52" i="40"/>
  <c r="F52" i="40" s="1"/>
  <c r="B55" i="40"/>
  <c r="F55" i="40" s="1"/>
  <c r="B57" i="40"/>
  <c r="F57" i="40" s="1"/>
  <c r="B56" i="40"/>
  <c r="F56" i="40" s="1"/>
  <c r="B53" i="40"/>
  <c r="F53" i="40" s="1"/>
  <c r="B58" i="40"/>
  <c r="F58" i="40" s="1"/>
  <c r="B51" i="40"/>
  <c r="F51" i="40" s="1"/>
  <c r="B60" i="40"/>
  <c r="F60" i="40" s="1"/>
  <c r="B59" i="40"/>
  <c r="F59" i="40" s="1"/>
  <c r="B54" i="40"/>
  <c r="F54" i="40" s="1"/>
  <c r="F61" i="40"/>
  <c r="B2" i="40" s="1"/>
  <c r="B3" i="40" s="1"/>
  <c r="B2" i="15"/>
  <c r="Q65" i="15"/>
  <c r="Q75" i="15" s="1"/>
  <c r="Q47" i="15"/>
  <c r="Q53" i="15" s="1"/>
  <c r="Q56" i="15"/>
  <c r="Q62" i="15" s="1"/>
  <c r="C43" i="15"/>
  <c r="C83" i="15"/>
  <c r="C82" i="15" s="1"/>
  <c r="C46" i="15"/>
  <c r="D19" i="9"/>
  <c r="AO6" i="1"/>
  <c r="D21" i="9" l="1"/>
  <c r="D102" i="9"/>
  <c r="G19" i="9"/>
  <c r="K23" i="9" s="1"/>
  <c r="D22" i="9"/>
  <c r="B6" i="70"/>
  <c r="B2" i="70" s="1"/>
  <c r="B3" i="70" s="1"/>
  <c r="B3" i="15"/>
  <c r="D20" i="9"/>
  <c r="D103" i="9" l="1"/>
  <c r="G20" i="9"/>
  <c r="Y20" i="1"/>
  <c r="C32" i="9"/>
  <c r="G21" i="9"/>
  <c r="C35" i="9" l="1"/>
  <c r="F118" i="9" s="1"/>
  <c r="H118" i="9"/>
  <c r="Y27" i="1"/>
  <c r="Y23" i="1"/>
  <c r="Y21" i="1"/>
  <c r="Y24" i="1"/>
  <c r="Y22" i="1"/>
  <c r="G118" i="9" l="1"/>
  <c r="G4" i="52" s="1"/>
  <c r="B52" i="72" s="1"/>
  <c r="F4" i="52"/>
  <c r="B51" i="72" s="1"/>
  <c r="F119" i="9"/>
  <c r="F5" i="52" s="1"/>
  <c r="B53" i="72" s="1"/>
  <c r="D14" i="74"/>
  <c r="H119" i="9"/>
  <c r="H5" i="52" s="1"/>
  <c r="H4" i="52"/>
  <c r="I118" i="9"/>
  <c r="H101" i="9"/>
  <c r="C104" i="9"/>
  <c r="C34" i="9"/>
  <c r="D118" i="9" s="1"/>
  <c r="I4" i="52" l="1"/>
  <c r="E118" i="9"/>
  <c r="E4" i="52" s="1"/>
  <c r="B48" i="72" s="1"/>
  <c r="C105" i="9"/>
  <c r="H102" i="9"/>
  <c r="D7" i="53" s="1"/>
  <c r="B21" i="72" s="1"/>
  <c r="D119" i="9"/>
  <c r="D5" i="52" s="1"/>
  <c r="B49" i="72" s="1"/>
  <c r="D4" i="52"/>
  <c r="B47" i="72" s="1"/>
  <c r="D45" i="9"/>
  <c r="M48" i="9"/>
  <c r="H107" i="9"/>
  <c r="D5" i="53"/>
  <c r="E14" i="74"/>
  <c r="F14" i="74"/>
  <c r="B5" i="74"/>
  <c r="C5" i="74" l="1"/>
  <c r="D5" i="74"/>
  <c r="D6" i="53"/>
  <c r="B22" i="72" s="1"/>
  <c r="B20" i="72"/>
  <c r="H108" i="9"/>
  <c r="D15" i="53" s="1"/>
  <c r="B31" i="72" s="1"/>
  <c r="D122" i="9"/>
  <c r="D13" i="53"/>
  <c r="D55" i="9"/>
  <c r="M53" i="9" s="1"/>
  <c r="C64" i="9"/>
  <c r="C63" i="9" s="1"/>
  <c r="C67" i="9" s="1"/>
  <c r="C68" i="9" s="1"/>
  <c r="D54" i="9" s="1"/>
  <c r="C78" i="9"/>
  <c r="C73" i="9" s="1"/>
  <c r="C85" i="9"/>
  <c r="C72" i="9"/>
  <c r="C93" i="9"/>
  <c r="C86" i="9" s="1"/>
  <c r="D52" i="9"/>
  <c r="D53" i="9"/>
  <c r="C79" i="9" l="1"/>
  <c r="C95" i="9"/>
  <c r="C80" i="9"/>
  <c r="E80" i="9" s="1"/>
  <c r="E81" i="9" s="1"/>
  <c r="G14" i="74"/>
  <c r="B6" i="74" s="1"/>
  <c r="D123" i="9"/>
  <c r="D9" i="52" s="1"/>
  <c r="D8" i="52"/>
  <c r="D14" i="53"/>
  <c r="B32" i="72" s="1"/>
  <c r="B30" i="72"/>
  <c r="C81" i="9" l="1"/>
  <c r="D6" i="74"/>
  <c r="C6" i="74"/>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<sst xmlns="http://schemas.openxmlformats.org/spreadsheetml/2006/main" count="7433" uniqueCount="3135">
  <si>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</si>
  <si>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</si>
  <si>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</si>
  <si>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</si>
  <si>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</si>
  <si>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</si>
  <si>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</si>
  <si>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</si>
  <si>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</si>
  <si>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</si>
  <si>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</si>
  <si>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</si>
  <si>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</si>
  <si>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</si>
  <si>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</si>
  <si>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</si>
  <si>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</si>
  <si>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</si>
  <si>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</si>
  <si>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</si>
  <si>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</si>
  <si>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</si>
  <si>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</si>
  <si>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</si>
  <si>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</si>
  <si>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</si>
  <si>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</si>
  <si>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</si>
  <si>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</si>
  <si>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</si>
  <si>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</si>
  <si>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</si>
  <si>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</si>
  <si>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</si>
  <si>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</si>
  <si>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</si>
  <si>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</si>
  <si>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</si>
  <si>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</si>
  <si>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</si>
  <si>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</si>
  <si>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</si>
  <si>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</si>
  <si>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</si>
  <si>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</si>
  <si>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</si>
  <si>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</si>
  <si>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</si>
  <si>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</si>
  <si>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</si>
  <si>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</si>
  <si>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</si>
  <si>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</si>
  <si>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</si>
  <si>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</si>
  <si>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</si>
  <si>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</si>
  <si>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</si>
  <si>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</si>
  <si>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</si>
  <si>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</si>
  <si>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</si>
  <si>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</si>
  <si>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</si>
  <si>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</si>
  <si>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</si>
  <si>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</si>
  <si>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</si>
  <si>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</si>
  <si>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</si>
  <si>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</si>
  <si>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</si>
  <si>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</si>
  <si>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</si>
  <si>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</si>
  <si>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</si>
  <si>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</si>
  <si>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</si>
  <si>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</si>
  <si>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</si>
  <si>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</si>
  <si>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</si>
  <si>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</si>
  <si>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</si>
  <si>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</si>
  <si>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</si>
  <si>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</si>
  <si>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</si>
  <si>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</si>
  <si>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</si>
  <si>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</si>
  <si>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</si>
  <si>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</si>
  <si>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</si>
  <si>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</si>
  <si>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</si>
  <si>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</si>
  <si>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</si>
  <si>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</si>
  <si>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</si>
  <si>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</si>
  <si>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</si>
  <si>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</si>
  <si>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</si>
  <si>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</si>
  <si>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</si>
  <si>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</si>
  <si>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</si>
  <si>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</si>
  <si>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</si>
  <si>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</si>
  <si>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</si>
  <si>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</si>
  <si>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</si>
  <si>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</si>
  <si>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</si>
  <si>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</si>
  <si>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</si>
  <si>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</si>
  <si>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</si>
  <si>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</si>
  <si>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</si>
  <si>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</si>
  <si>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</si>
  <si>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</si>
  <si>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</si>
  <si>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</si>
  <si>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</si>
  <si>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</si>
  <si>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</si>
  <si>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</si>
  <si>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</si>
  <si>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</si>
  <si>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</si>
  <si>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</si>
  <si>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</si>
  <si>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</si>
  <si>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</si>
  <si>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</si>
  <si>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</si>
  <si>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</si>
  <si>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</si>
  <si>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</si>
  <si>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</si>
  <si>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</si>
  <si>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</si>
  <si>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</si>
  <si>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</si>
  <si>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</si>
  <si>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</si>
  <si>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</si>
  <si>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</si>
  <si>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</si>
  <si>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</si>
  <si>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</si>
  <si>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</si>
  <si>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</si>
  <si>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</si>
  <si>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</si>
  <si>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</si>
  <si>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</si>
  <si>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</si>
  <si>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</si>
  <si>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</si>
  <si>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</si>
  <si>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</si>
  <si>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</si>
  <si>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</si>
  <si>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</si>
  <si>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</si>
  <si>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</si>
  <si>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</si>
  <si>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</si>
  <si>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</si>
  <si>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</si>
  <si>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</si>
  <si>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</si>
  <si>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</si>
  <si>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</si>
  <si>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</si>
  <si>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</si>
  <si>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</si>
  <si>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</si>
  <si>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</si>
  <si>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</si>
  <si>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</si>
  <si>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</si>
  <si>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</si>
  <si>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</si>
  <si>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</si>
  <si>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</si>
  <si>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</si>
  <si>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</si>
  <si>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</si>
  <si>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</si>
  <si>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</si>
  <si>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</si>
  <si>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</si>
  <si>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</si>
  <si>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</si>
  <si>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</si>
  <si>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</si>
  <si>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</si>
  <si>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</si>
  <si>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</si>
  <si>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</si>
  <si>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</si>
  <si>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</si>
  <si>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</si>
  <si>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</si>
  <si>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</si>
  <si>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</si>
  <si>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</si>
  <si>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</si>
  <si>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</si>
  <si>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</si>
  <si>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</si>
  <si>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</si>
  <si>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</si>
  <si>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</si>
  <si>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</si>
  <si>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</si>
  <si>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</si>
  <si>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</si>
  <si>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</si>
  <si>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</si>
  <si>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</si>
  <si>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</si>
  <si>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</si>
  <si>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</si>
  <si>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</si>
  <si>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</si>
  <si>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</si>
  <si>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</si>
  <si>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</si>
  <si>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</si>
  <si>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</si>
  <si>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</si>
  <si>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</si>
  <si>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</si>
  <si>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</si>
  <si>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</si>
  <si>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</si>
  <si>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</si>
  <si>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</si>
  <si>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</si>
  <si>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</si>
  <si>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</si>
  <si>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</si>
  <si>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</si>
  <si>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</si>
  <si>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</si>
  <si>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</si>
  <si>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</si>
  <si>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</si>
  <si>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</si>
  <si>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</si>
  <si>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</si>
  <si>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</si>
  <si>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</si>
  <si>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</si>
  <si>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</si>
  <si>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</si>
  <si>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</si>
  <si>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</si>
  <si>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</si>
  <si>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</si>
  <si>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</si>
  <si>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</si>
  <si>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</si>
  <si>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</si>
  <si>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</si>
  <si>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</si>
  <si>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</si>
  <si>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</si>
  <si>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</si>
  <si>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</si>
  <si>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</si>
  <si>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</si>
  <si>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</si>
  <si>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</si>
  <si>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</si>
  <si>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</si>
  <si>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</si>
  <si>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</si>
  <si>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</si>
  <si>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</si>
  <si>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</si>
  <si>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</si>
  <si>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</si>
  <si>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</si>
  <si>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</si>
  <si>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</si>
  <si>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</si>
  <si>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</si>
  <si>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</si>
  <si>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</si>
  <si>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</si>
  <si>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</si>
  <si>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</si>
  <si>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</si>
  <si>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</si>
  <si>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</si>
  <si>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</si>
  <si>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</si>
  <si>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</si>
  <si>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</si>
  <si>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</si>
  <si>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</si>
  <si>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</si>
  <si>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</si>
  <si>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</si>
  <si>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</si>
  <si>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</si>
  <si>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</si>
  <si>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</si>
  <si>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</si>
  <si>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</si>
  <si>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</si>
  <si>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</si>
  <si>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</si>
  <si>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</si>
  <si>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</si>
  <si>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</si>
  <si>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</si>
  <si>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</si>
  <si>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</si>
  <si>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</si>
  <si>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</si>
  <si>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</si>
  <si>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</si>
  <si>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</si>
  <si>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</si>
  <si>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</si>
  <si>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</si>
  <si>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</si>
  <si>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</si>
  <si>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</si>
  <si>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</si>
  <si>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</si>
  <si>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</si>
  <si>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</si>
  <si>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</si>
  <si>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</si>
  <si>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</si>
  <si>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</si>
  <si>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</si>
  <si>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</si>
  <si>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</si>
  <si>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</si>
  <si>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</si>
  <si>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</si>
  <si>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</si>
  <si>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</si>
  <si>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</si>
  <si>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</si>
  <si>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</si>
  <si>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</si>
  <si>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</si>
  <si>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</si>
  <si>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</si>
  <si>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</si>
  <si>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</si>
  <si>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</si>
  <si>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</si>
  <si>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</si>
  <si>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</si>
  <si>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</si>
  <si>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</si>
  <si>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</si>
  <si>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</si>
  <si>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</si>
  <si>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</si>
  <si>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</si>
  <si>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</si>
  <si>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</si>
  <si>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</si>
  <si>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</si>
  <si>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</si>
  <si>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</si>
  <si>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</si>
  <si>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</si>
  <si>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</si>
  <si>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</si>
  <si>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</si>
  <si>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</si>
  <si>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</si>
  <si>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</si>
  <si>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</si>
  <si>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</si>
  <si>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</si>
  <si>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</si>
  <si>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</si>
  <si>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</si>
  <si>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</si>
  <si>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</si>
  <si>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</si>
  <si>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</si>
  <si>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</si>
  <si>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</si>
  <si>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</si>
  <si>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</si>
  <si>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</si>
  <si>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</si>
  <si>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</si>
  <si>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</si>
  <si>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</si>
  <si>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</si>
  <si>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</si>
  <si>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</si>
  <si>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</si>
  <si>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</si>
  <si>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</si>
  <si>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</si>
  <si>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</si>
  <si>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</si>
  <si>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</si>
  <si>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</si>
  <si>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</si>
  <si>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</si>
  <si>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</si>
  <si>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</si>
  <si>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</si>
  <si>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</si>
  <si>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</si>
  <si>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</si>
  <si>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</si>
  <si>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</si>
  <si>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</si>
  <si>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</si>
  <si>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</si>
  <si>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</si>
  <si>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</si>
  <si>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</si>
  <si>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</si>
  <si>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</si>
  <si>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</si>
  <si>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</si>
  <si>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</si>
  <si>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</si>
  <si>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</si>
  <si>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</si>
  <si>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</si>
  <si>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</si>
  <si>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</si>
  <si>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</si>
  <si>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</si>
  <si>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</si>
  <si>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</si>
  <si>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</si>
  <si>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</si>
  <si>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</si>
  <si>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</si>
  <si>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</si>
  <si>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</si>
  <si>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</si>
  <si>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</si>
  <si>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</si>
  <si>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</si>
  <si>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</si>
  <si>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</si>
  <si>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</si>
  <si>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</si>
  <si>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</si>
  <si>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</si>
  <si>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</si>
  <si>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</si>
  <si>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</si>
  <si>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</si>
  <si>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</si>
  <si>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</si>
  <si>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</si>
  <si>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</si>
  <si>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</si>
  <si>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</si>
  <si>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</si>
  <si>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</si>
  <si>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</si>
  <si>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</si>
  <si>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</si>
  <si>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</si>
  <si>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</si>
  <si>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</si>
  <si>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</si>
  <si>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</si>
  <si>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</si>
  <si>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</si>
  <si>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</si>
  <si>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</si>
  <si>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</si>
  <si>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</si>
  <si>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</si>
  <si>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</si>
  <si>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</si>
  <si>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</si>
  <si>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</si>
  <si>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</si>
  <si>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</si>
  <si>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</si>
  <si>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</si>
  <si>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</si>
  <si>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</si>
  <si>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</si>
  <si>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</si>
  <si>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</si>
  <si>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</si>
  <si>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</si>
  <si>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</si>
  <si>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</si>
  <si>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</si>
  <si>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</si>
  <si>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</si>
  <si>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</si>
  <si>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</si>
  <si>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</si>
  <si>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</si>
  <si>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</si>
  <si>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</si>
  <si>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</si>
  <si>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</si>
  <si>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</si>
  <si>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</si>
  <si>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</si>
  <si>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</si>
  <si>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</si>
  <si>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</si>
  <si>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</si>
  <si>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</si>
  <si>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</si>
  <si>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</si>
  <si>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</si>
  <si>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</si>
  <si>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</si>
  <si>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</si>
  <si>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</si>
  <si>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</si>
  <si>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</si>
  <si>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</si>
  <si>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</si>
  <si>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</si>
  <si>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</si>
  <si>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</si>
  <si>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</si>
  <si>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</si>
  <si>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</si>
  <si>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</si>
  <si>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</si>
  <si>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</si>
  <si>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</si>
  <si>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</si>
  <si>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</si>
  <si>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</si>
  <si>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</si>
  <si>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</si>
  <si>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</si>
  <si>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</si>
  <si>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</si>
  <si>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</si>
  <si>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</si>
  <si>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</si>
  <si>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</si>
  <si>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</si>
  <si>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</si>
  <si>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</si>
  <si>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</si>
  <si>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</si>
  <si>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</si>
  <si>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</si>
  <si>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</si>
  <si>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</si>
  <si>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</si>
  <si>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</si>
  <si>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</si>
  <si>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</si>
  <si>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</si>
  <si>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</si>
  <si>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</si>
  <si>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</si>
  <si>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</si>
  <si>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</si>
  <si>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</si>
  <si>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</si>
  <si>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</si>
  <si>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</si>
  <si>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</si>
  <si>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</si>
  <si>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</si>
  <si>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</si>
  <si>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</si>
  <si>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</si>
  <si>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</si>
  <si>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</si>
  <si>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</si>
  <si>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</si>
  <si>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</si>
  <si>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</si>
  <si>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</si>
  <si>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</si>
  <si>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</si>
  <si>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</si>
  <si>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</si>
  <si>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</si>
  <si>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</si>
  <si>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</si>
  <si>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</si>
  <si>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</si>
  <si>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</si>
  <si>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</si>
  <si>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</si>
  <si>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</si>
  <si>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</si>
  <si>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</si>
  <si>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</si>
  <si>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</si>
  <si>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</si>
  <si>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</si>
  <si>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</si>
  <si>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</si>
  <si>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</si>
  <si>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</si>
  <si>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</si>
  <si>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</si>
  <si>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</si>
  <si>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</si>
  <si>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</si>
  <si>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</si>
  <si>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</si>
  <si>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</si>
  <si>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</si>
  <si>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</si>
  <si>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</si>
  <si>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</si>
  <si>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</si>
  <si>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</si>
  <si>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</si>
  <si>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</si>
  <si>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</si>
  <si>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</si>
  <si>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</si>
  <si>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</si>
  <si>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</si>
  <si>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</si>
  <si>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</si>
  <si>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</si>
  <si>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</si>
  <si>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</si>
  <si>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</si>
  <si>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</si>
  <si>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</si>
  <si>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</si>
  <si>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</si>
  <si>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</si>
  <si>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</si>
  <si>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</si>
  <si>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</si>
  <si>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</si>
  <si>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</si>
  <si>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</si>
  <si>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</si>
  <si>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</si>
  <si>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</si>
  <si>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</si>
  <si>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</si>
  <si>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</si>
  <si>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</si>
  <si>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</si>
  <si>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</si>
  <si>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</si>
  <si>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</si>
  <si>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</si>
  <si>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</si>
  <si>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</si>
  <si>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</si>
  <si>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</si>
  <si>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</si>
  <si>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</si>
  <si>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</si>
  <si>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</si>
  <si>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</si>
  <si>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</si>
  <si>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</si>
  <si>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</si>
  <si>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</si>
  <si>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</si>
  <si>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</si>
  <si>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</si>
  <si>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</si>
  <si>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</si>
  <si>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</si>
  <si>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</si>
  <si>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</si>
  <si>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</si>
  <si>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</si>
  <si>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</si>
  <si>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</si>
  <si>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</si>
  <si>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</si>
  <si>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</si>
  <si>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</si>
  <si>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</si>
  <si>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</si>
  <si>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</si>
  <si>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</si>
  <si>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</si>
  <si>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</si>
  <si>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</si>
  <si>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</si>
  <si>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</si>
  <si>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</si>
  <si>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</si>
  <si>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</si>
  <si>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</si>
  <si>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</si>
  <si>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</si>
  <si>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</si>
  <si>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</si>
  <si>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</si>
  <si>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</si>
  <si>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</si>
  <si>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</si>
  <si>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</si>
  <si>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</si>
  <si>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</si>
  <si>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</si>
  <si>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</si>
  <si>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</si>
  <si>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</si>
  <si>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</si>
  <si>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</si>
  <si>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</si>
  <si>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</si>
  <si>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</si>
  <si>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</si>
  <si>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</si>
  <si>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</si>
  <si>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</si>
  <si>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</si>
  <si>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</si>
  <si>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</si>
  <si>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</si>
  <si>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</si>
  <si>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</si>
  <si>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</si>
  <si>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</si>
  <si>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</si>
  <si>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</si>
  <si>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</si>
  <si>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</si>
  <si>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</si>
  <si>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</si>
  <si>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</si>
  <si>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</si>
  <si>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</si>
  <si>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</si>
  <si>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</si>
  <si>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</si>
  <si>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</si>
  <si>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</si>
  <si>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</si>
  <si>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</si>
  <si>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</si>
  <si>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</si>
  <si>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</si>
  <si>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</si>
  <si>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</si>
  <si>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</si>
  <si>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</si>
  <si>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</si>
  <si>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</si>
  <si>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</si>
  <si>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</si>
  <si>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</si>
  <si>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</si>
  <si>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</si>
  <si>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</si>
  <si>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</si>
  <si>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</si>
  <si>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</si>
  <si>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</si>
  <si>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</si>
  <si>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</si>
  <si>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</si>
  <si>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</si>
  <si>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</si>
  <si>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</si>
  <si>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</si>
  <si>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</si>
  <si>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</si>
  <si>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</si>
  <si>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</si>
  <si>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</si>
  <si>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</si>
  <si>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</si>
  <si>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</si>
  <si>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</si>
  <si>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</si>
  <si>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</si>
  <si>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</si>
  <si>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</si>
  <si>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</si>
  <si>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</si>
  <si>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</si>
  <si>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</si>
  <si>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</si>
  <si>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</si>
  <si>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</si>
  <si>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</si>
  <si>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</si>
  <si>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</si>
  <si>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</si>
  <si>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</si>
  <si>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</si>
  <si>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</si>
  <si>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</si>
  <si>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</si>
  <si>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</si>
  <si>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</si>
  <si>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</si>
  <si>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</si>
  <si>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</si>
  <si>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</si>
  <si>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</si>
  <si>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</si>
  <si>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</si>
  <si>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</si>
  <si>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</si>
  <si>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</si>
  <si>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</si>
  <si>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</si>
  <si>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</si>
  <si>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</si>
  <si>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</si>
  <si>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</si>
  <si>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</si>
  <si>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</si>
  <si>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</si>
  <si>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</si>
  <si>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</si>
  <si>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</si>
  <si>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</si>
  <si>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</si>
  <si>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</si>
  <si>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</si>
  <si>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</si>
  <si>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</si>
  <si>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</si>
  <si>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</si>
  <si>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</si>
  <si>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</si>
  <si>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</si>
  <si>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</si>
  <si>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</si>
  <si>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</si>
  <si>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</si>
  <si>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</si>
  <si>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</si>
  <si>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</si>
  <si>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</si>
  <si>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</si>
  <si>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</si>
  <si>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</si>
  <si>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</si>
  <si>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</si>
  <si>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</si>
  <si>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</si>
  <si>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</si>
  <si>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</si>
  <si>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</si>
  <si>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</si>
  <si>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</si>
  <si>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</si>
  <si>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</si>
  <si>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</si>
  <si>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</si>
  <si>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</si>
  <si>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</si>
  <si>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</si>
  <si>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</si>
  <si>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</si>
  <si>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</si>
  <si>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</si>
  <si>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</si>
  <si>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</si>
  <si>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</si>
  <si>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</si>
  <si>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</si>
  <si>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</si>
  <si>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</si>
  <si>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</si>
  <si>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</si>
  <si>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</si>
  <si>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</si>
  <si>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</si>
  <si>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</si>
  <si>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</si>
  <si>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</si>
  <si>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</si>
  <si>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</si>
  <si>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</si>
  <si>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</si>
  <si>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</si>
  <si>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</si>
  <si>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</si>
  <si>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</si>
  <si>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</si>
  <si>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</si>
  <si>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</si>
  <si>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</si>
  <si>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</si>
  <si>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</si>
  <si>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</si>
  <si>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</si>
  <si>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</si>
  <si>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</si>
  <si>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</si>
  <si>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</si>
  <si>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</si>
  <si>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</si>
  <si>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</si>
  <si>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</si>
  <si>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</si>
  <si>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</si>
  <si>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</si>
  <si>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</si>
  <si>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</si>
  <si>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</si>
  <si>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</si>
  <si>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</si>
  <si>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</si>
  <si>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</si>
  <si>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</si>
  <si>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</si>
  <si>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</si>
  <si>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</si>
  <si>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</si>
  <si>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</si>
  <si>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</si>
  <si>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</si>
  <si>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</si>
  <si>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</si>
  <si>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</si>
  <si>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</si>
  <si>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</si>
  <si>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</si>
  <si>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</si>
  <si>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</si>
  <si>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</si>
  <si>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</si>
  <si>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</si>
  <si>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</si>
  <si>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</si>
  <si>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</si>
  <si>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</si>
  <si>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</si>
  <si>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</si>
  <si>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</si>
  <si>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</si>
  <si>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</si>
  <si>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</si>
  <si>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</si>
  <si>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</si>
  <si>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</si>
  <si>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</si>
  <si>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</si>
  <si>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</si>
  <si>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</si>
  <si>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</si>
  <si>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</si>
  <si>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</si>
  <si>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</si>
  <si>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</si>
  <si>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</si>
  <si>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</si>
  <si>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</si>
  <si>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</si>
  <si>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</si>
  <si>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</si>
  <si>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</si>
  <si>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</si>
  <si>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</si>
  <si>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</si>
  <si>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</si>
  <si>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</si>
  <si>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</si>
  <si>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</si>
  <si>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</si>
  <si>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</si>
  <si>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</si>
  <si>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</si>
  <si>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</si>
  <si>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</si>
  <si>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</si>
  <si>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</si>
  <si>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</si>
  <si>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</si>
  <si>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</si>
  <si>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</si>
  <si>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</si>
  <si>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</si>
  <si>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</si>
  <si>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</si>
  <si>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</si>
  <si>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</si>
  <si>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</si>
  <si>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</si>
  <si>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</si>
  <si>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</si>
  <si>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</si>
  <si>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</si>
  <si>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</si>
  <si>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</si>
  <si>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</si>
  <si>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</si>
  <si>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</si>
  <si>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</si>
  <si>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</si>
  <si>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</si>
  <si>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</si>
  <si>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</si>
  <si>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</si>
  <si>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</si>
  <si>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</si>
  <si>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</si>
  <si>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</si>
  <si>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</si>
  <si>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</si>
  <si>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</si>
  <si>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</si>
  <si>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</si>
  <si>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</si>
  <si>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</si>
  <si>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</si>
  <si>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</si>
  <si>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</si>
  <si>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</si>
  <si>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</si>
  <si>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</si>
  <si>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</si>
  <si>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</si>
  <si>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</si>
  <si>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</si>
  <si>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</si>
  <si>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</si>
  <si>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</si>
  <si>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</si>
  <si>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</si>
  <si>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</si>
  <si>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</si>
  <si>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</si>
  <si>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</si>
  <si>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</si>
  <si>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</si>
  <si>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</si>
  <si>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</si>
  <si>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</si>
  <si>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</si>
  <si>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</si>
  <si>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</si>
  <si>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</si>
  <si>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</si>
  <si>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</si>
  <si>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</si>
  <si>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</si>
  <si>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</si>
  <si>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</si>
  <si>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</si>
  <si>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</si>
  <si>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</si>
  <si>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</si>
  <si>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</si>
  <si>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</si>
  <si>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</si>
  <si>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</si>
  <si>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</si>
  <si>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</si>
  <si>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</si>
  <si>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</si>
  <si>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</si>
  <si>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</si>
  <si>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</si>
  <si>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</si>
  <si>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</si>
  <si>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</si>
  <si>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</si>
  <si>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</si>
  <si>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</si>
  <si>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</si>
  <si>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</si>
  <si>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</si>
  <si>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</si>
  <si>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</si>
  <si>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</si>
  <si>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</si>
  <si>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</si>
  <si>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</si>
  <si>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</si>
  <si>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</si>
  <si>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</si>
  <si>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</si>
  <si>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</si>
  <si>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</si>
  <si>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</si>
  <si>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</si>
  <si>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</si>
  <si>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</si>
  <si>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</si>
  <si>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</si>
  <si>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</si>
  <si>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</si>
  <si>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</si>
  <si>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</si>
  <si>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</si>
  <si>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</si>
  <si>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</si>
  <si>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</si>
  <si>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</si>
  <si>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</si>
  <si>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</si>
  <si>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</si>
  <si>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</si>
  <si>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</si>
  <si>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</si>
  <si>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</si>
  <si>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</si>
  <si>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</si>
  <si>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</si>
  <si>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</si>
  <si>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</si>
  <si>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</si>
  <si>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</si>
  <si>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</si>
  <si>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</si>
  <si>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</si>
  <si>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</si>
  <si>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</si>
  <si>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</si>
  <si>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</si>
  <si>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</si>
  <si>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</si>
  <si>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</si>
  <si>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</si>
  <si>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</si>
  <si>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</si>
  <si>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</si>
  <si>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</si>
  <si>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</si>
  <si>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</si>
  <si>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</si>
  <si>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</si>
  <si>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</si>
  <si>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</si>
  <si>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</si>
  <si>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</si>
  <si>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</si>
  <si>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</si>
  <si>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</si>
  <si>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</si>
  <si>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</si>
  <si>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</si>
  <si>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</si>
  <si>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</si>
  <si>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</si>
  <si>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</si>
  <si>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</si>
  <si>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</si>
  <si>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</si>
  <si>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</si>
  <si>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</si>
  <si>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</si>
  <si>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</si>
  <si>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</si>
  <si>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</si>
  <si>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</si>
  <si>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</si>
  <si>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</si>
  <si>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</si>
  <si>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</si>
  <si>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</si>
  <si>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</si>
  <si>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</si>
  <si>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</si>
  <si>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</si>
  <si>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</si>
  <si>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</si>
  <si>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</si>
  <si>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</si>
  <si>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</si>
  <si>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</si>
  <si>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</si>
  <si>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</si>
  <si>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</si>
  <si>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</si>
  <si>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</si>
  <si>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</si>
  <si>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</si>
  <si>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</si>
  <si>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</si>
  <si>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</si>
  <si>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</si>
  <si>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</si>
  <si>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</si>
  <si>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</si>
  <si>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</si>
  <si>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</si>
  <si>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</si>
  <si>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</si>
  <si>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</si>
  <si>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</si>
  <si>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</si>
  <si>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</si>
  <si>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</si>
  <si>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</si>
  <si>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</si>
  <si>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</si>
  <si>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</si>
  <si>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</si>
  <si>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</si>
  <si>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</si>
  <si>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</si>
  <si>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</si>
  <si>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</si>
  <si>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</si>
  <si>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</si>
  <si>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</si>
  <si>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</si>
  <si>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</si>
  <si>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</si>
  <si>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</si>
  <si>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</si>
  <si>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</si>
  <si>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</si>
  <si>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</si>
  <si>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</si>
  <si>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</si>
  <si>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</si>
  <si>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</si>
  <si>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</si>
  <si>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</si>
  <si>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</si>
  <si>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</si>
  <si>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</si>
  <si>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</si>
  <si>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</si>
  <si>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</si>
  <si>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</si>
  <si>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</si>
  <si>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</si>
  <si>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</si>
  <si>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</si>
  <si>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</si>
  <si>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</si>
  <si>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</si>
  <si>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</si>
  <si>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</si>
  <si>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</si>
  <si>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</si>
  <si>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</si>
  <si>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</si>
  <si>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</si>
  <si>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</si>
  <si>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</si>
  <si>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</si>
  <si>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</si>
  <si>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</si>
  <si>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</si>
  <si>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</si>
  <si>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</si>
  <si>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</si>
  <si>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</si>
  <si>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</si>
  <si>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</si>
  <si>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</si>
  <si>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</si>
  <si>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</si>
  <si>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</si>
  <si>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</si>
  <si>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</si>
  <si>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</si>
  <si>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</si>
  <si>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</si>
  <si>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</si>
  <si>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</si>
  <si>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</si>
  <si>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</si>
  <si>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</si>
  <si>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</si>
  <si>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</si>
  <si>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</si>
  <si>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</si>
  <si>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</si>
  <si>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</si>
  <si>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</si>
  <si>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</si>
  <si>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</si>
  <si>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</si>
  <si>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</si>
  <si>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</si>
  <si>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</si>
  <si>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</si>
  <si>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</si>
  <si>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</si>
  <si>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</si>
  <si>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</si>
  <si>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</si>
  <si>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</si>
  <si>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</si>
  <si>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</si>
  <si>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</si>
  <si>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</si>
  <si>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</si>
  <si>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</si>
  <si>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</si>
  <si>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</si>
  <si>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</si>
  <si>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</si>
  <si>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</si>
  <si>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</si>
  <si>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</si>
  <si>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</si>
  <si>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</si>
  <si>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</si>
  <si>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</si>
  <si>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</si>
  <si>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</si>
  <si>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</si>
  <si>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</si>
  <si>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</si>
  <si>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</si>
  <si>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</si>
  <si>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</si>
  <si>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</si>
  <si>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</si>
  <si>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</si>
  <si>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</si>
  <si>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</si>
  <si>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</si>
  <si>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</si>
  <si>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</si>
  <si>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</si>
  <si>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</si>
  <si>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</si>
  <si>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</si>
  <si>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</si>
  <si>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</si>
  <si>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</si>
  <si>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</si>
  <si>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</si>
  <si>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</si>
  <si>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</si>
  <si>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</si>
  <si>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</si>
  <si>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</si>
  <si>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</si>
  <si>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</si>
  <si>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</si>
  <si>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</si>
  <si>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</si>
  <si>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</si>
  <si>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</si>
  <si>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</si>
  <si>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</si>
  <si>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</si>
  <si>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</si>
  <si>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</si>
  <si>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</si>
  <si>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</si>
  <si>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</si>
  <si>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</si>
  <si>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</si>
  <si>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</si>
  <si>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</si>
  <si>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</si>
  <si>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</si>
  <si>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</si>
  <si>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</si>
  <si>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</si>
  <si>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</si>
  <si>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</si>
  <si>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</si>
  <si>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</si>
  <si>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</si>
  <si>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</si>
  <si>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</si>
  <si>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</si>
  <si>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</si>
  <si>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</si>
  <si>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</si>
  <si>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</si>
  <si>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</si>
  <si>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</si>
  <si>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</si>
  <si>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</si>
  <si>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</si>
  <si>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</si>
  <si>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</si>
  <si>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</si>
  <si>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</si>
  <si>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</si>
  <si>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</si>
  <si>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</si>
  <si>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</si>
  <si>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</si>
  <si>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</si>
  <si>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</si>
  <si>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</si>
  <si>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</si>
  <si>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</si>
  <si>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</si>
  <si>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</si>
  <si>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</si>
  <si>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</si>
  <si>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</si>
  <si>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</si>
  <si>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</si>
  <si>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</si>
  <si>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</si>
  <si>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</si>
  <si>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</si>
  <si>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</si>
  <si>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</si>
  <si>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</si>
  <si>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</si>
  <si>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</si>
  <si>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</si>
  <si>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</si>
  <si>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</si>
  <si>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</si>
  <si>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</si>
  <si>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</si>
  <si>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</si>
  <si>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</si>
  <si>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</si>
  <si>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</si>
  <si>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</si>
  <si>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</si>
  <si>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</si>
  <si>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</si>
  <si>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</si>
  <si>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</si>
  <si>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</si>
  <si>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</si>
  <si>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</si>
  <si>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</si>
  <si>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</si>
  <si>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</si>
  <si>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</si>
  <si>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</si>
  <si>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</si>
  <si>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</si>
  <si>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</si>
  <si>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</si>
  <si>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</si>
  <si>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</si>
  <si>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</si>
  <si>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</si>
  <si>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</si>
  <si>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</si>
  <si>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</si>
  <si>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</si>
  <si>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</si>
  <si>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</si>
  <si>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</si>
  <si>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</si>
  <si>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</si>
  <si>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</si>
  <si>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</si>
  <si>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</si>
  <si>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</si>
  <si>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</si>
  <si>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</si>
  <si>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</si>
  <si>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</si>
  <si>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</si>
  <si>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</si>
  <si>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</si>
  <si>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</si>
  <si>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</si>
  <si>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</si>
  <si>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</si>
  <si>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</si>
  <si>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</si>
  <si>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</si>
  <si>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</si>
  <si>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</si>
  <si>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</si>
  <si>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</si>
  <si>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</si>
  <si>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</si>
  <si>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</si>
  <si>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</si>
  <si>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</si>
  <si>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</si>
  <si>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</si>
  <si>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</si>
  <si>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</si>
  <si>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</si>
  <si>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</si>
  <si>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</si>
  <si>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</si>
  <si>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</si>
  <si>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</si>
  <si>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</si>
  <si>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</si>
  <si>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</si>
  <si>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</si>
  <si>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</si>
  <si>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</si>
  <si>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</si>
  <si>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</si>
  <si>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</si>
  <si>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</si>
  <si>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</si>
  <si>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</si>
  <si>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</si>
  <si>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</si>
  <si>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</si>
  <si>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</si>
  <si>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</si>
  <si>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</si>
  <si>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</si>
  <si>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</si>
  <si>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</si>
  <si>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</si>
  <si>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</si>
  <si>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</si>
  <si>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</si>
  <si>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</si>
  <si>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</si>
  <si>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</si>
  <si>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</si>
  <si>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</si>
  <si>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</si>
  <si>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</si>
  <si>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</si>
  <si>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</si>
  <si>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</si>
  <si>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</si>
  <si>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</si>
  <si>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</si>
  <si>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</si>
  <si>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</si>
  <si>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</si>
  <si>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</si>
  <si>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</si>
  <si>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</si>
  <si>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</si>
  <si>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</si>
  <si>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</si>
  <si>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</si>
  <si>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</si>
  <si>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</si>
  <si>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</si>
  <si>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</si>
  <si>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</si>
  <si>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</si>
  <si>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</si>
  <si>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</si>
  <si>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</si>
  <si>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</si>
  <si>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</si>
  <si>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</si>
  <si>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</si>
  <si>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</si>
  <si>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</si>
  <si>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</si>
  <si>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</si>
  <si>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</si>
  <si>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</si>
  <si>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</si>
  <si>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</si>
  <si>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</si>
  <si>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</si>
  <si>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</si>
  <si>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</si>
  <si>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</si>
  <si>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</si>
  <si>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</si>
  <si>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</si>
  <si>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</si>
  <si>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</si>
  <si>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</si>
  <si>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</si>
  <si>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</si>
  <si>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</si>
  <si>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</si>
  <si>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</si>
  <si>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</si>
  <si>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</si>
  <si>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</si>
  <si>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</si>
  <si>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</si>
  <si>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</si>
  <si>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</si>
  <si>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</si>
  <si>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</si>
  <si>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</si>
  <si>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</si>
  <si>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</si>
  <si>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</si>
  <si>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</si>
  <si>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</si>
  <si>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</si>
  <si>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</si>
  <si>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</si>
  <si>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</si>
  <si>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</si>
  <si>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</si>
  <si>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</si>
  <si>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</si>
  <si>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</si>
  <si>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</si>
  <si>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</si>
  <si>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</si>
  <si>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</si>
  <si>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</si>
  <si>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</si>
  <si>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</si>
  <si>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</si>
  <si>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</si>
  <si>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</si>
  <si>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</si>
  <si>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</si>
  <si>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</si>
  <si>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</si>
  <si>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</si>
  <si>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</si>
  <si>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</si>
  <si>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</si>
  <si>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</si>
  <si>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</si>
  <si>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</si>
  <si>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</si>
  <si>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</si>
  <si>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</si>
  <si>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</si>
  <si>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</si>
  <si>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</si>
  <si>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</si>
  <si>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</si>
  <si>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</si>
  <si>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</si>
  <si>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</si>
  <si>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</si>
  <si>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</si>
  <si>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</si>
  <si>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</si>
  <si>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</si>
  <si>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</si>
  <si>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</si>
  <si>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</si>
  <si>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</si>
  <si>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</si>
  <si>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</si>
  <si>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</si>
  <si>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</si>
  <si>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</si>
  <si>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</si>
  <si>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</si>
  <si>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</si>
  <si>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</si>
  <si>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</si>
  <si>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</si>
  <si>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</si>
  <si>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</si>
  <si>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</si>
  <si>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</si>
  <si>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</si>
  <si>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</si>
  <si>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</si>
  <si>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</si>
  <si>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</si>
  <si>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</si>
  <si>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</si>
  <si>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</si>
  <si>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</si>
  <si>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</si>
  <si>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</si>
  <si>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</si>
  <si>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</si>
  <si>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</si>
  <si>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</si>
  <si>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</si>
  <si>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</si>
  <si>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</si>
  <si>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</si>
  <si>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</si>
  <si>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</si>
  <si>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</si>
  <si>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</si>
  <si>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</si>
  <si>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</si>
  <si>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</si>
  <si>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</si>
  <si>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</si>
  <si>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</si>
  <si>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</si>
  <si>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</si>
  <si>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</si>
  <si>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</si>
  <si>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</si>
  <si>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</si>
  <si>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</si>
  <si>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</si>
  <si>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</si>
  <si>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</si>
  <si>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</si>
  <si>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</si>
  <si>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</si>
  <si>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</si>
  <si>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</si>
  <si>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</si>
  <si>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</si>
  <si>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</si>
  <si>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</si>
  <si>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</si>
  <si>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</si>
  <si>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</si>
  <si>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</si>
  <si>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</si>
  <si>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</si>
  <si>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</si>
  <si>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</si>
  <si>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</si>
  <si>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</si>
  <si>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</si>
  <si>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</si>
  <si>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</si>
  <si>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</si>
  <si>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</si>
  <si>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</si>
  <si>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</si>
  <si>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</si>
  <si>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</si>
  <si>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</si>
  <si>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</si>
  <si>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</si>
  <si>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</si>
  <si>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</si>
  <si>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</si>
  <si>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</si>
  <si>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</si>
  <si>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</si>
  <si>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</si>
  <si>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</si>
  <si>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</si>
  <si>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</si>
  <si>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</si>
  <si>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</si>
  <si>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</si>
  <si>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</si>
  <si>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</si>
  <si>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</si>
  <si>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</si>
  <si>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</si>
  <si>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</si>
  <si>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</si>
  <si>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</si>
  <si>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</si>
  <si>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</si>
  <si>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</si>
  <si>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</si>
  <si>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</si>
  <si>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</si>
  <si>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</si>
  <si>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</si>
  <si>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</si>
  <si>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</si>
  <si>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</si>
  <si>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</si>
  <si>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</si>
  <si>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</si>
  <si>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</si>
  <si>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</si>
  <si>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</si>
  <si>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</si>
  <si>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</si>
  <si>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</si>
  <si>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</si>
  <si>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</si>
  <si>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</si>
  <si>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</si>
  <si>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</si>
  <si>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</si>
  <si>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</si>
  <si>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</si>
  <si>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</si>
  <si>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</si>
  <si>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</si>
  <si>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</si>
  <si>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</si>
  <si>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</si>
  <si>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</si>
  <si>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</si>
  <si>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</si>
  <si>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</si>
  <si>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</si>
  <si>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</si>
  <si>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</si>
  <si>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</si>
  <si>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</si>
  <si>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</si>
  <si>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</si>
  <si>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</si>
  <si>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</si>
  <si>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</si>
  <si>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</si>
  <si>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</si>
  <si>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</si>
  <si>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</si>
  <si>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</si>
  <si>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</si>
  <si>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</si>
  <si>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</si>
  <si>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</si>
  <si>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</si>
  <si>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</si>
  <si>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</si>
  <si>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</si>
  <si>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</si>
  <si>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</si>
  <si>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</si>
  <si>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</si>
  <si>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</si>
  <si>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</si>
  <si>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</si>
  <si>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</si>
  <si>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</si>
  <si>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</si>
  <si>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</si>
  <si>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</si>
  <si>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</si>
  <si>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</si>
  <si>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</si>
  <si>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</si>
  <si>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</si>
  <si>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</si>
  <si>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</si>
  <si>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</si>
  <si>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</si>
  <si>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</si>
  <si>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</si>
  <si>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</si>
  <si>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</si>
  <si>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</si>
  <si>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</si>
  <si>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</si>
  <si>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</si>
  <si>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</si>
  <si>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</si>
  <si>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</si>
  <si>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</si>
  <si>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</si>
  <si>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</si>
  <si>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</si>
  <si>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</si>
  <si>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</si>
  <si>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</si>
  <si>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</si>
  <si>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</si>
  <si>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</si>
  <si>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</si>
  <si>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</si>
  <si>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</si>
  <si>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</si>
  <si>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</si>
  <si>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</si>
  <si>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</si>
  <si>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</si>
  <si>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</si>
  <si>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</si>
  <si>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</si>
  <si>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</si>
  <si>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</si>
  <si>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</si>
  <si>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</si>
  <si>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</si>
  <si>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</si>
  <si>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</si>
  <si>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</si>
  <si>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</si>
  <si>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</si>
  <si>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</si>
  <si>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</si>
  <si>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</si>
  <si>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</si>
  <si>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</si>
  <si>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</si>
  <si>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</si>
  <si>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</si>
  <si>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</si>
  <si>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</si>
  <si>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</si>
  <si>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</si>
  <si>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</si>
  <si>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</si>
  <si>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</si>
  <si>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</si>
  <si>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</si>
  <si>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</si>
  <si>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</si>
  <si>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</si>
  <si>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</si>
  <si>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</si>
  <si>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</si>
  <si>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</si>
  <si>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</si>
  <si>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</si>
  <si>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</si>
  <si>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</si>
  <si>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</si>
  <si>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</si>
  <si>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</si>
  <si>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</si>
  <si>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</si>
  <si>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</si>
  <si>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</si>
  <si>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</si>
  <si>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</si>
  <si>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</si>
  <si>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</si>
  <si>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</si>
  <si>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</si>
  <si>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</si>
  <si>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</si>
  <si>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</si>
  <si>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</si>
  <si>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</si>
  <si>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</si>
  <si>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</si>
  <si>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</si>
  <si>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</si>
  <si>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</si>
  <si>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</si>
  <si>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</si>
  <si>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</si>
  <si>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</si>
  <si>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</si>
  <si>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</si>
  <si>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</si>
  <si>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</si>
  <si>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</si>
  <si>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</si>
  <si>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</si>
  <si>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</si>
  <si>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</si>
  <si>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</si>
  <si>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</si>
  <si>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</si>
  <si>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</si>
  <si>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</si>
  <si>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</si>
  <si>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</si>
  <si>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</si>
  <si>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</si>
  <si>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</si>
  <si>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</si>
  <si>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</si>
  <si>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</si>
  <si>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</si>
  <si>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</si>
  <si>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</si>
  <si>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</si>
  <si>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</si>
  <si>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</si>
  <si>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</si>
  <si>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</si>
  <si>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</si>
  <si>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</si>
  <si>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</si>
  <si>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</si>
  <si>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</si>
  <si>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</si>
  <si>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</si>
  <si>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</si>
  <si>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</si>
  <si>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</si>
  <si>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</si>
  <si>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</si>
  <si>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</si>
  <si>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</si>
  <si>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</si>
  <si>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</si>
  <si>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</si>
  <si>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</si>
  <si>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</si>
  <si>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</si>
  <si>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</si>
  <si>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</si>
  <si>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</si>
  <si>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</si>
  <si>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</si>
  <si>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</si>
  <si>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</si>
  <si>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</si>
  <si>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</si>
  <si>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</si>
  <si>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</si>
  <si>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</si>
  <si>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</si>
  <si>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</si>
  <si>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</si>
  <si>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</si>
  <si>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</si>
  <si>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</si>
  <si>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</si>
  <si>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</si>
  <si>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</si>
  <si>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</si>
  <si>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</si>
  <si>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</si>
  <si>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</si>
  <si>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</si>
  <si>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</si>
  <si>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</si>
  <si>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</si>
  <si>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</si>
  <si>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</si>
  <si>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</si>
  <si>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</si>
  <si>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</si>
  <si>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</si>
  <si>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</si>
  <si>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</si>
  <si>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</si>
  <si>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</si>
  <si>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</si>
  <si>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</si>
  <si>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</si>
  <si>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</si>
  <si>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</si>
  <si>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</si>
  <si>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</si>
  <si>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</si>
  <si>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</si>
  <si>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</si>
  <si>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</si>
  <si>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</si>
  <si>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</si>
  <si>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</si>
  <si>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</si>
  <si>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</si>
  <si>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</si>
  <si>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</si>
  <si>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</si>
  <si>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</si>
  <si>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</si>
  <si>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</si>
  <si>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</si>
  <si>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</si>
  <si>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</si>
  <si>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</si>
  <si>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</si>
  <si>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</si>
  <si>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</si>
  <si>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</si>
  <si>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</si>
  <si>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</si>
  <si>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</si>
  <si>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</si>
  <si>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</si>
  <si>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</si>
  <si>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</si>
  <si>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</si>
  <si>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</si>
  <si>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</si>
  <si>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</si>
  <si>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</si>
  <si>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</si>
  <si>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</si>
  <si>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</si>
  <si>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</si>
  <si>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</si>
  <si>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</si>
  <si>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</si>
  <si>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</si>
  <si>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</si>
  <si>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</si>
  <si>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</si>
  <si>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</si>
  <si>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</si>
  <si>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</si>
  <si>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</si>
  <si>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</si>
  <si>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</si>
  <si>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</si>
  <si>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</si>
  <si>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</si>
  <si>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</si>
  <si>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</si>
  <si>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</si>
  <si>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</si>
  <si>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</si>
  <si>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</si>
  <si>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</si>
  <si>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</si>
  <si>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</si>
  <si>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</si>
  <si>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</si>
  <si>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</si>
  <si>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</si>
  <si>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</si>
  <si>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</si>
  <si>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</si>
  <si>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</si>
  <si>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</si>
  <si>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</si>
  <si>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</si>
  <si>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</si>
  <si>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</si>
  <si>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</si>
  <si>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</si>
  <si>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</si>
  <si>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</si>
  <si>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</si>
  <si>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</si>
  <si>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</si>
  <si>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</si>
  <si>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</si>
  <si>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</si>
  <si>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</si>
  <si>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</si>
  <si>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</si>
  <si>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</si>
  <si>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</si>
  <si>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</si>
  <si>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</si>
  <si>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</si>
  <si>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</si>
  <si>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</si>
  <si>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</si>
  <si>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</si>
  <si>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</si>
  <si>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</si>
  <si>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</si>
  <si>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</si>
  <si>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</si>
  <si>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</si>
  <si>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</si>
  <si>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</si>
  <si>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</si>
  <si>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</si>
  <si>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</si>
  <si>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</si>
  <si>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</si>
  <si>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</si>
  <si>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</si>
  <si>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</si>
  <si>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</si>
  <si>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</si>
  <si>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</si>
  <si>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</si>
  <si>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</si>
  <si>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</si>
  <si>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</si>
  <si>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</si>
  <si>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</si>
  <si>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</si>
  <si>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</si>
  <si>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</si>
  <si>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</si>
  <si>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</si>
  <si>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</si>
  <si>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</si>
  <si>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</si>
  <si>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</si>
  <si>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</si>
  <si>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</si>
  <si>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</si>
  <si>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</si>
  <si>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</si>
  <si>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</si>
  <si>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</si>
  <si>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</si>
  <si>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</si>
  <si>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</si>
  <si>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</si>
  <si>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</si>
  <si>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</si>
  <si>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</si>
  <si>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</si>
  <si>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</si>
  <si>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</si>
  <si>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</si>
  <si>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</si>
  <si>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</si>
  <si>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</si>
  <si>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</si>
  <si>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</si>
  <si>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</si>
  <si>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</si>
  <si>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</si>
  <si>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</si>
  <si>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</si>
  <si>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</si>
  <si>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</si>
  <si>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</si>
  <si>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</si>
  <si>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</si>
  <si>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</si>
  <si>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</si>
  <si>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</si>
  <si>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</si>
  <si>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</si>
  <si>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</si>
  <si>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</si>
  <si>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</si>
  <si>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</si>
  <si>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</si>
  <si>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</si>
  <si>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</si>
  <si>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</si>
  <si>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</si>
  <si>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</si>
  <si>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</si>
  <si>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</si>
  <si>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</si>
  <si>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</si>
  <si>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</si>
  <si>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</si>
  <si>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</si>
  <si>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</si>
  <si>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</si>
  <si>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</si>
  <si>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</si>
  <si>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</si>
  <si>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</si>
  <si>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</si>
  <si>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</si>
  <si>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</si>
  <si>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</si>
  <si>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</si>
  <si>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</si>
  <si>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</si>
  <si>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</si>
  <si>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</si>
  <si>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</si>
  <si>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</si>
  <si>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</si>
  <si>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</si>
  <si>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</si>
  <si>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</si>
  <si>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</si>
  <si>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</si>
  <si>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</si>
  <si>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</si>
  <si>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</si>
  <si>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</si>
  <si>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</si>
  <si>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</si>
  <si>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</si>
  <si>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</si>
  <si>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</si>
  <si>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</si>
  <si>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</si>
  <si>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</si>
  <si>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</si>
  <si>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</si>
  <si>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</si>
  <si>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</si>
  <si>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</si>
  <si>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</si>
  <si>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</si>
  <si>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</si>
  <si>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</si>
  <si>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</si>
  <si>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</si>
  <si>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</si>
  <si>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</si>
  <si>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</si>
  <si>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</si>
  <si>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</si>
  <si>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</si>
  <si>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</si>
  <si>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</si>
  <si>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</si>
  <si>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</si>
  <si>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</si>
  <si>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</si>
  <si>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</si>
  <si>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</si>
  <si>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</si>
  <si>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</si>
  <si>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</si>
  <si>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</si>
  <si>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</si>
  <si>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</si>
  <si>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</si>
  <si>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</si>
  <si>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</si>
  <si>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</si>
  <si>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</si>
  <si>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</si>
  <si>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</si>
  <si>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</si>
  <si>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</si>
  <si>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</si>
  <si>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</si>
  <si>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</si>
  <si>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</si>
  <si>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</si>
  <si>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</si>
  <si>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</si>
  <si>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</si>
  <si>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</si>
  <si>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</si>
  <si>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</si>
  <si>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</si>
  <si>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</si>
  <si>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</si>
  <si>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</si>
  <si>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</si>
  <si>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</si>
  <si>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</si>
  <si>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</si>
  <si>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</si>
  <si>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</si>
  <si>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</si>
  <si>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</si>
  <si>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</si>
  <si>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</si>
  <si>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</si>
  <si>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</si>
  <si>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</si>
  <si>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</si>
  <si>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</si>
  <si>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</si>
  <si>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</si>
  <si>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</si>
  <si>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</si>
  <si>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</si>
  <si>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</si>
  <si>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</si>
  <si>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</si>
  <si>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</si>
  <si>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</si>
  <si>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</si>
  <si>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</si>
  <si>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</si>
  <si>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</si>
  <si>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</si>
  <si>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</si>
  <si>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</si>
  <si>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</si>
  <si>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</si>
  <si>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</si>
  <si>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</si>
  <si>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</si>
  <si>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</si>
  <si>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</si>
  <si>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</si>
  <si>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</si>
  <si>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</si>
  <si>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</si>
  <si>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</si>
  <si>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</si>
  <si>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</si>
  <si>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</si>
  <si>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</si>
  <si>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</si>
  <si>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</si>
  <si>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</si>
  <si>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</si>
  <si>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</si>
  <si>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</si>
  <si>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</si>
  <si>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</si>
  <si>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</si>
  <si>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</si>
  <si>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</si>
  <si>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</si>
  <si>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</si>
  <si>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</si>
  <si>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</si>
  <si>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</si>
  <si>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</si>
  <si>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</si>
  <si>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</si>
  <si>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</si>
  <si>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</si>
  <si>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</si>
  <si>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</si>
  <si>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</si>
  <si>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</si>
  <si>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</si>
  <si>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</si>
  <si>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</si>
  <si>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</si>
  <si>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</si>
  <si>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</si>
  <si>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</si>
  <si>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</si>
  <si>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</si>
  <si>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</si>
  <si>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</si>
  <si>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</si>
  <si>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</si>
  <si>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</si>
  <si>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</si>
  <si>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</si>
  <si>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</si>
  <si>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</si>
  <si>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</si>
  <si>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</si>
  <si>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</si>
  <si>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</si>
  <si>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</si>
  <si>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</si>
  <si>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</si>
  <si>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</si>
  <si>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</si>
  <si>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</si>
  <si>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</si>
  <si>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</si>
  <si>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</si>
  <si>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</si>
  <si>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</si>
  <si>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</si>
  <si>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</si>
  <si>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</si>
  <si>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</si>
  <si>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</si>
  <si>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</si>
  <si>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</si>
  <si>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</si>
  <si>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</si>
  <si>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</si>
  <si>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</si>
  <si>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</si>
  <si>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</si>
  <si>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</si>
  <si>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</si>
  <si>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</si>
  <si>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</si>
  <si>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</si>
  <si>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</si>
  <si>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</si>
  <si>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</si>
  <si>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</si>
  <si>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</si>
  <si>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</si>
  <si>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</si>
  <si>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</si>
  <si>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</si>
  <si>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</si>
  <si>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</si>
  <si>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</si>
  <si>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</si>
  <si>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</si>
  <si>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</si>
  <si>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</si>
  <si>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</si>
  <si>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</si>
  <si>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</si>
  <si>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</si>
  <si>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</si>
  <si>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</si>
  <si>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</si>
  <si>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</si>
  <si>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</si>
  <si>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</si>
  <si>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</si>
  <si>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</si>
  <si>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</si>
  <si>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</si>
  <si>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</si>
  <si>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</si>
  <si>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</si>
  <si>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</si>
  <si>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</si>
  <si>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</si>
  <si>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</si>
  <si>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</si>
  <si>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</si>
  <si>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</si>
  <si>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</si>
  <si>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</si>
  <si>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</si>
  <si>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</si>
  <si>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</si>
  <si>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</si>
  <si>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</si>
  <si>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</si>
  <si>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</si>
  <si>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</si>
  <si>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</si>
  <si>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</si>
  <si>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</si>
  <si>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</si>
  <si>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</si>
  <si>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</si>
  <si>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</si>
  <si>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</si>
  <si>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</si>
  <si>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</si>
  <si>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</si>
  <si>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</si>
  <si>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</si>
  <si>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</si>
  <si>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</si>
  <si>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</si>
  <si>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</si>
  <si>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</si>
  <si>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</si>
  <si>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</si>
  <si>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</si>
  <si>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</si>
  <si>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</si>
  <si>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</si>
  <si>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</si>
  <si>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</si>
  <si>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</si>
  <si>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</si>
  <si>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</si>
  <si>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</si>
  <si>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</si>
  <si>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</si>
  <si>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</si>
  <si>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</si>
  <si>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</si>
  <si>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</si>
  <si>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</si>
  <si>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</si>
  <si>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</si>
  <si>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</si>
  <si>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</si>
  <si>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</si>
  <si>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</si>
  <si>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</si>
  <si>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</si>
  <si>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</si>
  <si>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</si>
  <si>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</si>
  <si>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</si>
  <si>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</si>
  <si>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</si>
  <si>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</si>
  <si>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</si>
  <si>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</si>
  <si>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</si>
  <si>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</si>
  <si>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</si>
  <si>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</si>
  <si>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</si>
  <si>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</si>
  <si>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</si>
  <si>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</si>
  <si>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</si>
  <si>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</si>
  <si>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</si>
  <si>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</si>
  <si>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</si>
  <si>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</si>
  <si>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</si>
  <si>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</si>
  <si>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</si>
  <si>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</si>
  <si>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</si>
  <si>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</si>
  <si>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</si>
  <si>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</si>
  <si>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</si>
  <si>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</si>
  <si>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</si>
  <si>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</si>
  <si>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</si>
  <si>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</si>
  <si>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</si>
  <si>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</si>
  <si>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</si>
  <si>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</si>
  <si>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</si>
  <si>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</si>
  <si>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</si>
  <si>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</si>
  <si>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</si>
  <si>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</si>
  <si>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</si>
  <si>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</si>
  <si>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</si>
  <si>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</si>
  <si>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</si>
  <si>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</si>
  <si>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</si>
  <si>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</si>
  <si>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</si>
  <si>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</si>
  <si>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</si>
  <si>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</si>
  <si>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</si>
  <si>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</si>
  <si>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</si>
  <si>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</si>
  <si>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</si>
  <si>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</si>
  <si>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</si>
  <si>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</si>
  <si>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</si>
  <si>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</si>
  <si>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</si>
  <si>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</si>
  <si>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</si>
  <si>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</si>
  <si>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</si>
  <si>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</si>
  <si>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</si>
  <si>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</si>
  <si>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</si>
  <si>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</si>
  <si>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</si>
  <si>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</si>
  <si>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</si>
  <si>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</si>
  <si>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</si>
  <si>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</si>
  <si>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</si>
  <si>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</si>
  <si>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</si>
  <si>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</si>
  <si>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</si>
  <si>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</si>
  <si>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</si>
  <si>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</si>
  <si>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</si>
  <si>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</si>
  <si>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</si>
  <si>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</si>
  <si>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</si>
  <si>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</si>
  <si>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</si>
  <si>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</si>
  <si>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</si>
  <si>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</si>
  <si>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</si>
  <si>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</si>
  <si>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</si>
  <si>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</si>
  <si>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</si>
  <si>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</si>
  <si>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</si>
  <si>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</si>
  <si>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</si>
  <si>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</si>
  <si>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</si>
  <si>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</si>
  <si>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</si>
  <si>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</si>
  <si>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</si>
  <si>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</si>
  <si>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</si>
  <si>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</si>
  <si>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</si>
  <si>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</si>
  <si>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</si>
  <si>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</si>
  <si>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</si>
  <si>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</si>
  <si>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</si>
  <si>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</si>
  <si>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</si>
  <si>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</si>
  <si>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</si>
  <si>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</si>
  <si>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</si>
  <si>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</si>
  <si>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</si>
  <si>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</si>
  <si>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</si>
  <si>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</si>
  <si>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</si>
  <si>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</si>
  <si>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</si>
  <si>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</si>
  <si>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</si>
  <si>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</si>
  <si>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</si>
  <si>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</si>
  <si>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</si>
  <si>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</si>
  <si>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</si>
  <si>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</si>
  <si>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</si>
  <si>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</si>
  <si>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</si>
  <si>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</si>
  <si>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</si>
  <si>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</si>
  <si>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</si>
  <si>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</si>
  <si>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</si>
  <si>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</si>
  <si>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</si>
  <si>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</si>
  <si>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</si>
  <si>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</si>
  <si>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</si>
  <si>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</si>
  <si>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</si>
  <si>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</si>
  <si>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</si>
  <si>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</si>
  <si>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</si>
  <si>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</si>
  <si>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</si>
  <si>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</si>
  <si>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</si>
  <si>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</si>
  <si>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</si>
  <si>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</si>
  <si>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</si>
  <si>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</si>
  <si>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</si>
  <si>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</si>
  <si>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</si>
  <si>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</si>
  <si>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</si>
  <si>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</si>
  <si>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</si>
  <si>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</si>
  <si>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</si>
  <si>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</si>
  <si>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</si>
  <si>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</si>
  <si>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</si>
  <si>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</si>
  <si>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</si>
  <si>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</si>
  <si>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</si>
  <si>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</si>
  <si>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</si>
  <si>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</si>
  <si>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</si>
  <si>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</si>
  <si>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</si>
  <si>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</si>
  <si>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</si>
  <si>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</si>
  <si>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</si>
  <si>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</si>
  <si>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</si>
  <si>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</si>
  <si>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</si>
  <si>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</si>
  <si>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</si>
  <si>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</si>
  <si>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</si>
  <si>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</si>
  <si>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</si>
  <si>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</si>
  <si>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</si>
  <si>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</si>
  <si>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</si>
  <si>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</si>
  <si>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</si>
  <si>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</si>
  <si>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</si>
  <si>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</si>
  <si>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</si>
  <si>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</si>
  <si>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</si>
  <si>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</si>
  <si>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</si>
  <si>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</si>
  <si>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</si>
  <si>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</si>
  <si>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</si>
  <si>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</si>
  <si>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</si>
  <si>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</si>
  <si>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</si>
  <si>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</si>
  <si>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</si>
  <si>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</si>
  <si>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</si>
  <si>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</si>
  <si>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</si>
  <si>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</si>
  <si>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</si>
  <si>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</si>
  <si>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</si>
  <si>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</si>
  <si>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</si>
  <si>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</si>
  <si>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</si>
  <si>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</si>
  <si>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</si>
  <si>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</si>
  <si>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</si>
  <si>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</si>
  <si>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</si>
  <si>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</si>
  <si>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</si>
  <si>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</si>
  <si>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</si>
  <si>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</si>
  <si>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</si>
  <si>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</si>
  <si>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</si>
  <si>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</si>
  <si>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</si>
  <si>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</si>
  <si>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</si>
  <si>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</si>
  <si>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</si>
  <si>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</si>
  <si>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</si>
  <si>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</si>
  <si>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</si>
  <si>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</si>
  <si>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</si>
  <si>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</si>
  <si>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</si>
  <si>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</si>
  <si>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</si>
  <si>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</si>
  <si>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</si>
  <si>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</si>
  <si>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</si>
  <si>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</si>
  <si>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</si>
  <si>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</si>
  <si>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</si>
  <si>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</si>
  <si>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</si>
  <si>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</si>
  <si>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</si>
  <si>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</si>
  <si>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</si>
  <si>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</si>
  <si>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</si>
  <si>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</si>
  <si>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</si>
  <si>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</si>
  <si>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</si>
  <si>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</si>
  <si>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</si>
  <si>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</si>
  <si>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</si>
  <si>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</si>
  <si>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</si>
  <si>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</si>
  <si>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</si>
  <si>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</si>
  <si>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</si>
  <si>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</si>
  <si>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</si>
  <si>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</si>
  <si>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</si>
  <si>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</si>
  <si>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</si>
  <si>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</si>
  <si>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</si>
  <si>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</si>
  <si>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</si>
  <si>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</si>
  <si>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</si>
  <si>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</si>
  <si>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</si>
  <si>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</si>
  <si>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</si>
  <si>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</si>
  <si>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</si>
  <si>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</si>
  <si>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</si>
  <si>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</si>
  <si>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</si>
  <si>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</si>
  <si>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</si>
  <si>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</si>
  <si>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</si>
  <si>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</si>
  <si>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</si>
  <si>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</si>
  <si>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</si>
  <si>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</si>
  <si>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</si>
  <si>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</si>
  <si>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</si>
  <si>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</si>
  <si>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</si>
  <si>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</si>
  <si>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</si>
  <si>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</si>
  <si>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</si>
  <si>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</si>
  <si>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</si>
  <si>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</si>
  <si>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</si>
  <si>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</si>
  <si>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</si>
  <si>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</si>
  <si>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</si>
  <si>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</si>
  <si>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</si>
  <si>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</si>
  <si>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</si>
  <si>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</si>
  <si>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</si>
  <si>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</si>
  <si>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</si>
  <si>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</si>
  <si>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</si>
  <si>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</si>
  <si>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</si>
  <si>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</si>
  <si>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</si>
  <si>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</si>
  <si>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</si>
  <si>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</si>
  <si>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</si>
  <si>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</si>
  <si>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</si>
  <si>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</si>
  <si>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</si>
  <si>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</si>
  <si>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</si>
  <si>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</si>
  <si>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</si>
  <si>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</si>
  <si>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</si>
  <si>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</si>
  <si>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</si>
  <si>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</si>
  <si>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</si>
  <si>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</si>
  <si>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</si>
  <si>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</si>
  <si>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</si>
  <si>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</si>
  <si>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</si>
  <si>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</si>
  <si>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</si>
  <si>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</si>
  <si>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</si>
  <si>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</si>
  <si>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</si>
  <si>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</si>
  <si>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</si>
  <si>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</si>
  <si>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</si>
  <si>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</si>
  <si>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</si>
  <si>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</si>
  <si>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</si>
  <si>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</si>
  <si>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</si>
  <si>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</si>
  <si>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</si>
  <si>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</si>
  <si>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</si>
  <si>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</si>
  <si>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</si>
  <si>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</si>
  <si>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</si>
  <si>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</si>
  <si>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</si>
  <si>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</si>
  <si>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</si>
  <si>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</si>
  <si>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</si>
  <si>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</si>
  <si>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</si>
  <si>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</si>
  <si>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</si>
  <si>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</si>
  <si>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</si>
  <si>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</si>
  <si>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</si>
  <si>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</si>
  <si>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</si>
  <si>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</si>
  <si>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</si>
  <si>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</si>
  <si>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</si>
  <si>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</si>
  <si>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</si>
  <si>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</si>
  <si>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</si>
  <si>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</si>
  <si>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</si>
  <si>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</si>
  <si>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</si>
  <si>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</si>
  <si>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</si>
  <si>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</si>
  <si>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</si>
  <si>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</si>
  <si>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</si>
  <si>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</si>
  <si>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</si>
  <si>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</si>
  <si>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</si>
  <si>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</si>
  <si>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</si>
  <si>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</si>
  <si>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</si>
  <si>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</si>
  <si>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</si>
  <si>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</si>
  <si>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</si>
  <si>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</si>
  <si>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</si>
  <si>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</si>
  <si>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</si>
  <si>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</si>
  <si>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</si>
  <si>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</si>
  <si>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</si>
  <si>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</si>
  <si>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</si>
  <si>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</si>
  <si>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</si>
  <si>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</si>
  <si>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</si>
  <si>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</si>
  <si>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</si>
  <si>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</si>
  <si>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</si>
  <si>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</si>
  <si>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</si>
  <si>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</si>
  <si>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</si>
  <si>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</si>
  <si>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</si>
  <si>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</si>
  <si>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</si>
  <si>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</si>
  <si>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</si>
  <si>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</si>
  <si>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</si>
  <si>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</si>
  <si>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</si>
  <si>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</si>
  <si>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</si>
  <si>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</si>
  <si>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</si>
  <si>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</si>
  <si>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</si>
  <si>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</si>
  <si>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</si>
  <si>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</si>
  <si>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</si>
  <si>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</si>
  <si>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</si>
  <si>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</si>
  <si>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</si>
  <si>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</si>
  <si>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</si>
  <si>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</si>
  <si>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</si>
  <si>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</si>
  <si>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</si>
  <si>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</si>
  <si>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</si>
  <si>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</si>
  <si>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</si>
  <si>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</si>
  <si>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</si>
  <si>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</si>
  <si>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吴薇</t>
  </si>
  <si>
    <t>抵押</t>
  </si>
  <si>
    <t>北京市</t>
  </si>
  <si>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</si>
  <si>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</si>
  <si>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2011</t>
    </r>
    <r>
      <rPr>
        <sz val="12"/>
        <color theme="9" tint="-0.249977111117893"/>
        <rFont val="宋体"/>
        <family val="3"/>
        <charset val="134"/>
      </rPr>
      <t>出）第</t>
    </r>
    <r>
      <rPr>
        <sz val="12"/>
        <color theme="9" tint="-0.249977111117893"/>
        <rFont val="Arial"/>
        <family val="2"/>
      </rPr>
      <t>00056</t>
    </r>
    <r>
      <rPr>
        <sz val="12"/>
        <color theme="9" tint="-0.249977111117893"/>
        <rFont val="宋体"/>
        <family val="3"/>
        <charset val="134"/>
      </rPr>
      <t>号</t>
    </r>
    <r>
      <rPr>
        <sz val="12"/>
        <color theme="9" tint="-0.249977111117893"/>
        <rFont val="Arial"/>
        <family val="2"/>
      </rPr>
      <t>]</t>
    </r>
    <phoneticPr fontId="6" type="noConversion"/>
  </si>
  <si>
    <t>商业项目</t>
  </si>
  <si>
    <t>现房</t>
  </si>
  <si>
    <t>是</t>
  </si>
  <si>
    <t>地上</t>
  </si>
  <si>
    <t>独立商业</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</si>
  <si>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</si>
  <si>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</si>
  <si>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</si>
  <si>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地下</t>
  </si>
  <si>
    <t>B1</t>
    <phoneticPr fontId="3" type="noConversion"/>
  </si>
  <si>
    <t>B2</t>
    <phoneticPr fontId="3" type="noConversion"/>
  </si>
  <si>
    <t>车库</t>
  </si>
  <si>
    <r>
      <t>B3</t>
    </r>
    <r>
      <rPr>
        <sz val="11"/>
        <color indexed="8"/>
        <rFont val="宋体"/>
        <family val="3"/>
        <charset val="134"/>
      </rPr>
      <t>、</t>
    </r>
    <r>
      <rPr>
        <sz val="11"/>
        <color indexed="8"/>
        <rFont val="Arial"/>
        <family val="2"/>
      </rPr>
      <t>B4</t>
    </r>
    <phoneticPr fontId="3" type="noConversion"/>
  </si>
  <si>
    <t>土地面积依据世联报告</t>
    <phoneticPr fontId="3" type="noConversion"/>
  </si>
  <si>
    <t>商业</t>
    <phoneticPr fontId="7" type="noConversion"/>
  </si>
  <si>
    <t>通路</t>
  </si>
  <si>
    <t>通电</t>
  </si>
  <si>
    <t>通讯</t>
  </si>
  <si>
    <t>通上水</t>
  </si>
  <si>
    <t>通下水</t>
  </si>
  <si>
    <t>通热</t>
  </si>
  <si>
    <t>燃气</t>
  </si>
  <si>
    <t>批发零售用地</t>
  </si>
  <si>
    <t>估价对象容积率</t>
  </si>
  <si>
    <t>崇外商业街</t>
  </si>
  <si>
    <t>与级别开发程度一致</t>
  </si>
  <si>
    <t>平整</t>
  </si>
  <si>
    <t>地价指数</t>
  </si>
  <si>
    <t>总额</t>
    <phoneticPr fontId="79" type="noConversion"/>
  </si>
  <si>
    <t>售价</t>
  </si>
  <si>
    <t>国瑞城</t>
    <phoneticPr fontId="3" type="noConversion"/>
  </si>
  <si>
    <t>东城区崇文门</t>
    <phoneticPr fontId="3" type="noConversion"/>
  </si>
  <si>
    <t>幸福家园</t>
    <phoneticPr fontId="3" type="noConversion"/>
  </si>
  <si>
    <t>使馆壹号院</t>
    <phoneticPr fontId="3" type="noConversion"/>
  </si>
  <si>
    <t>富贵园</t>
    <phoneticPr fontId="3" type="noConversion"/>
  </si>
  <si>
    <t>车库</t>
    <phoneticPr fontId="32" type="noConversion"/>
  </si>
  <si>
    <t>住宅</t>
  </si>
  <si>
    <t>住宅</t>
    <phoneticPr fontId="32" type="noConversion"/>
  </si>
  <si>
    <t>精装修</t>
  </si>
  <si>
    <t>精装修</t>
    <phoneticPr fontId="32" type="noConversion"/>
  </si>
  <si>
    <t>好</t>
  </si>
  <si>
    <t>好</t>
    <phoneticPr fontId="32" type="noConversion"/>
  </si>
  <si>
    <t>平面车位</t>
  </si>
  <si>
    <t>平面车位</t>
    <phoneticPr fontId="32" type="noConversion"/>
  </si>
  <si>
    <t>否</t>
  </si>
  <si>
    <t>否</t>
    <phoneticPr fontId="32" type="noConversion"/>
  </si>
  <si>
    <t>30-40（含）</t>
  </si>
  <si>
    <t>正常</t>
  </si>
  <si>
    <t>押一</t>
  </si>
  <si>
    <t>成新度</t>
  </si>
  <si>
    <t>全部缴纳</t>
  </si>
  <si>
    <t>已包含在土地取得成本中</t>
  </si>
  <si>
    <t>成本法</t>
  </si>
  <si>
    <t>收益法</t>
  </si>
  <si>
    <t>商业</t>
    <phoneticPr fontId="3" type="noConversion"/>
  </si>
  <si>
    <t>合计</t>
    <phoneticPr fontId="3" type="noConversion"/>
  </si>
  <si>
    <t>系数</t>
    <phoneticPr fontId="3" type="noConversion"/>
  </si>
  <si>
    <t>租金</t>
    <phoneticPr fontId="3" type="noConversion"/>
  </si>
  <si>
    <t>比较法-车位</t>
  </si>
  <si>
    <t>钢混</t>
  </si>
  <si>
    <t>非生产用房</t>
  </si>
  <si>
    <t>按租金收入计税</t>
  </si>
  <si>
    <t>车库</t>
    <phoneticPr fontId="3" type="noConversion"/>
  </si>
  <si>
    <t>王鹏</t>
  </si>
  <si>
    <t>房号或部位</t>
  </si>
  <si>
    <t>所在楼层</t>
  </si>
  <si>
    <t>地下车库小计</t>
  </si>
  <si>
    <t>商业小计</t>
  </si>
  <si>
    <t>分摊土地面积</t>
    <phoneticPr fontId="143" type="noConversion"/>
  </si>
  <si>
    <t>建筑面积</t>
    <phoneticPr fontId="143"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</si>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</sst>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4" fontId="19" fillId="7" borderId="0" xfId="0" applyNumberFormat="1" applyFont="1" applyFill="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176" fontId="50" fillId="6" borderId="0" xfId="0" applyNumberFormat="1" applyFont="1" applyFill="1" applyAlignment="1" applyProtection="1">
      <alignment vertical="center"/>
      <protection locked="0"/>
    </xf>
    <xf numFmtId="0" fontId="50" fillId="17" borderId="0" xfId="0"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13" fillId="0" borderId="1" xfId="0" applyFont="1" applyBorder="1">
      <alignment vertical="center"/>
    </xf>
    <xf numFmtId="0" fontId="113" fillId="0" borderId="1" xfId="0" applyFont="1" applyBorder="1" applyAlignment="1">
      <alignment horizontal="left" vertical="center"/>
    </xf>
    <xf numFmtId="2" fontId="113" fillId="0" borderId="1" xfId="0" applyNumberFormat="1" applyFont="1" applyBorder="1" applyAlignment="1">
      <alignment horizontal="left" vertical="center"/>
    </xf>
    <xf numFmtId="2" fontId="50" fillId="3" borderId="5"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北京市出让国有建设用地使用权及在建建筑物预评估</v>
      </c>
    </row>
    <row r="3" spans="1:2" s="1592" customFormat="1">
      <c r="A3" s="1590" t="s">
        <v>1217</v>
      </c>
      <c r="B3" s="1591">
        <f>'预评函-封皮'!B40</f>
        <v>0</v>
      </c>
    </row>
    <row r="4" spans="1:2" s="1592" customFormat="1">
      <c r="A4" s="1590" t="s">
        <v>1218</v>
      </c>
      <c r="B4" s="1591" t="str">
        <f ca="1">'预评函-封皮'!B46</f>
        <v>吴薇（注册号：1419970001)、王鹏（注册号：1120050019)</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受贵公司委托，我公司对北京市出让国有建设用地使用权及在建建筑物房地产抵押价值进行了预评估。</v>
      </c>
    </row>
    <row r="7" spans="1:2" s="1592" customFormat="1">
      <c r="A7" s="1590" t="s">
        <v>1260</v>
      </c>
      <c r="B7" s="1591" t="str">
        <f>'预评函-1'!A7</f>
        <v>估价对象为北京市出让国有建设用地使用权及在建建筑物房地产，为所有。根据《国有土地使用证》[京东国用（2011出）第00056号]，估价对象（分摊）出让国有建设用地使用权面积为14193.33平方米，建筑面积为102921.28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出让国有建设用地使用权及在建建筑物房地产,属开发建设的商业项目，该项目尚在开发建设中。根据《国有土地使用证》[京东国用（2011出）第00056号]，估价对象（分摊）出让国有建设用地使用权面积为14193.33平方米，规划建筑面积为102921.28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2019年12月3日（评估专业人员实地查勘之日）</v>
      </c>
    </row>
    <row r="13" spans="1:2" s="1592" customFormat="1">
      <c r="A13" s="1590" t="s">
        <v>1223</v>
      </c>
      <c r="B13" s="1591" t="str">
        <f>'预评函-1'!A18</f>
        <v>本次估价的“房地产价值”是指在正常市场情况下，在价值时点2019年12月3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6.2" thickBot="1">
      <c r="A18" s="1593" t="s">
        <v>1228</v>
      </c>
      <c r="B18" s="1594" t="str">
        <f>'预评函-1'!A24</f>
        <v>本次评估采用的主估价方法为成本法和收益法。</v>
      </c>
    </row>
    <row r="19" spans="1:2" s="1589" customFormat="1" ht="16.2"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563364</v>
      </c>
    </row>
    <row r="21" spans="1:2" s="1592" customFormat="1">
      <c r="A21" s="1590" t="s">
        <v>1231</v>
      </c>
      <c r="B21" s="1591">
        <f ca="1">'预评函-2'!D7</f>
        <v>54737</v>
      </c>
    </row>
    <row r="22" spans="1:2" s="1592" customFormat="1">
      <c r="A22" s="1590" t="s">
        <v>1232</v>
      </c>
      <c r="B22" s="1591" t="str">
        <f ca="1">'预评函-2'!D6</f>
        <v>伍拾陆亿叁仟叁佰陆拾肆万元整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563364</v>
      </c>
    </row>
    <row r="31" spans="1:2" s="1592" customFormat="1">
      <c r="A31" s="1590" t="s">
        <v>1270</v>
      </c>
      <c r="B31" s="1591">
        <f ca="1">'预评函-2'!D15</f>
        <v>54737</v>
      </c>
    </row>
    <row r="32" spans="1:2" s="1592" customFormat="1">
      <c r="A32" s="1590" t="s">
        <v>1237</v>
      </c>
      <c r="B32" s="1591" t="str">
        <f ca="1">'预评函-2'!D14</f>
        <v>伍拾陆亿叁仟叁佰陆拾肆万元整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北京市出让国有建设用地使用权及在建建筑物房地产</v>
      </c>
    </row>
    <row r="42" spans="1:2" s="1592" customFormat="1" ht="31.2">
      <c r="A42" s="1590" t="s">
        <v>1284</v>
      </c>
      <c r="B42" s="1591" t="str">
        <f>'预评函-3'!B2</f>
        <v>建筑面积</v>
      </c>
    </row>
    <row r="43" spans="1:2" s="1592" customFormat="1">
      <c r="A43" s="1590" t="s">
        <v>1285</v>
      </c>
      <c r="B43" s="1591">
        <f>'预评函-3'!B4</f>
        <v>102921.28</v>
      </c>
    </row>
    <row r="44" spans="1:2" s="1592" customFormat="1" ht="31.2">
      <c r="A44" s="1590" t="s">
        <v>1269</v>
      </c>
      <c r="B44" s="1591" t="str">
        <f>'预评函-3'!C2</f>
        <v>(分摊)土地面积</v>
      </c>
    </row>
    <row r="45" spans="1:2" s="1592" customFormat="1">
      <c r="A45" s="1590" t="s">
        <v>1241</v>
      </c>
      <c r="B45" s="1591">
        <f>'预评函-3'!C4</f>
        <v>14193.330000000002</v>
      </c>
    </row>
    <row r="46" spans="1:2" s="1592" customFormat="1">
      <c r="A46" s="1590" t="s">
        <v>1267</v>
      </c>
      <c r="B46" s="1591" t="str">
        <f>'预评函-3'!D2</f>
        <v>出让国有建设用地使用权价值</v>
      </c>
    </row>
    <row r="47" spans="1:2" s="1592" customFormat="1">
      <c r="A47" s="1590" t="s">
        <v>1242</v>
      </c>
      <c r="B47" s="1591">
        <f ca="1">'预评函-3'!D4</f>
        <v>479423</v>
      </c>
    </row>
    <row r="48" spans="1:2" s="1592" customFormat="1">
      <c r="A48" s="1590" t="s">
        <v>1243</v>
      </c>
      <c r="B48" s="1591">
        <f ca="1">'预评函-3'!E4</f>
        <v>46581</v>
      </c>
    </row>
    <row r="49" spans="1:2" s="1592" customFormat="1">
      <c r="A49" s="1590" t="s">
        <v>1244</v>
      </c>
      <c r="B49" s="1591" t="str">
        <f ca="1">'预评函-3'!D5</f>
        <v>肆拾柒亿玖仟肆佰贰拾叁万元整</v>
      </c>
    </row>
    <row r="50" spans="1:2" s="1592" customFormat="1">
      <c r="A50" s="1590" t="s">
        <v>1268</v>
      </c>
      <c r="B50" s="1591" t="str">
        <f>'预评函-3'!F2</f>
        <v>在建建筑物价值</v>
      </c>
    </row>
    <row r="51" spans="1:2" s="1592" customFormat="1">
      <c r="A51" s="1590" t="s">
        <v>1245</v>
      </c>
      <c r="B51" s="1591">
        <f ca="1">'预评函-3'!F4</f>
        <v>83941</v>
      </c>
    </row>
    <row r="52" spans="1:2" s="1592" customFormat="1">
      <c r="A52" s="1590" t="s">
        <v>1246</v>
      </c>
      <c r="B52" s="1591">
        <f ca="1">'预评函-3'!G4</f>
        <v>8156</v>
      </c>
    </row>
    <row r="53" spans="1:2" s="1592" customFormat="1">
      <c r="A53" s="1590" t="s">
        <v>1274</v>
      </c>
      <c r="B53" s="1591" t="str">
        <f ca="1">'预评函-3'!F5</f>
        <v>捌亿叁仟玖佰肆拾壹万元整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估价师知悉的法定优先受偿款</v>
      </c>
    </row>
    <row r="58" spans="1:2" s="1589" customFormat="1" ht="16.2"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吴薇</v>
      </c>
    </row>
    <row r="71" spans="1:2">
      <c r="A71" s="1590" t="s">
        <v>1257</v>
      </c>
      <c r="B71" s="1591">
        <f ca="1">'预评函-4'!B4</f>
        <v>1419970001</v>
      </c>
    </row>
    <row r="72" spans="1:2">
      <c r="A72" s="1590" t="s">
        <v>1258</v>
      </c>
      <c r="B72" s="1599" t="str">
        <f>'预评函-4'!A5</f>
        <v>王鹏</v>
      </c>
    </row>
    <row r="73" spans="1:2" s="1586" customFormat="1" ht="16.2" thickBot="1">
      <c r="A73" s="1593" t="s">
        <v>1259</v>
      </c>
      <c r="B73" s="1594">
        <f ca="1">'预评函-4'!B5</f>
        <v>1120050019</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62" t="str">
        <f>项目基本情况!B1</f>
        <v>北京市出让国有建设用地使用权及在建建筑物预评估</v>
      </c>
      <c r="C37" s="2962"/>
      <c r="D37" s="2962"/>
      <c r="E37" s="2962"/>
      <c r="F37" s="2962"/>
      <c r="G37" s="2962"/>
      <c r="H37" s="2962"/>
      <c r="I37" s="2962"/>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c r="B46" s="1940" t="str">
        <f ca="1">项目基本情况!K4</f>
        <v>吴薇（注册号：1419970001)、王鹏（注册号：1120050019)</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3" customWidth="1"/>
    <col min="2" max="16384" width="9" style="1943"/>
  </cols>
  <sheetData>
    <row r="1" spans="1:1" ht="22.8">
      <c r="A1" s="1942" t="s">
        <v>1606</v>
      </c>
    </row>
    <row r="2" spans="1:1">
      <c r="A2" s="1944"/>
    </row>
    <row r="3" spans="1:1" ht="17.399999999999999">
      <c r="A3" s="1945" t="str">
        <f>项目基本情况!B5&amp;"："</f>
        <v>：</v>
      </c>
    </row>
    <row r="4" spans="1:1" ht="34.799999999999997">
      <c r="A4" s="1946" t="str">
        <f>"受贵公司委托，我公司对"&amp;项目基本情况!S1&amp;"进行了预评估。"</f>
        <v>受贵公司委托，我公司对北京市出让国有建设用地使用权及在建建筑物房地产抵押价值进行了预评估。</v>
      </c>
    </row>
    <row r="5" spans="1:1" ht="17.399999999999999">
      <c r="A5" s="1947" t="s">
        <v>1607</v>
      </c>
    </row>
    <row r="6" spans="1:1" ht="17.399999999999999">
      <c r="A6" s="1948" t="s">
        <v>1608</v>
      </c>
    </row>
    <row r="7" spans="1:1" ht="69.59999999999999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京东国用（2011出）第00056号]，估价对象（分摊）出让国有建设用地使用权面积为14193.33平方米，建筑面积为102921.28平方米。</v>
      </c>
    </row>
    <row r="8" spans="1:1" ht="54.6">
      <c r="A8" s="1949" t="s">
        <v>1609</v>
      </c>
    </row>
    <row r="9" spans="1:1" ht="17.399999999999999">
      <c r="A9" s="1948" t="s">
        <v>1610</v>
      </c>
    </row>
    <row r="10" spans="1:1" ht="69.59999999999999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商业项目，该项目尚在开发建设中。根据《国有土地使用证》[京东国用（2011出）第00056号]，估价对象（分摊）出让国有建设用地使用权面积为14193.33平方米，规划建筑面积为102921.28平方米。</v>
      </c>
    </row>
    <row r="11" spans="1:1" ht="72">
      <c r="A11" s="1949" t="s">
        <v>1611</v>
      </c>
    </row>
    <row r="12" spans="1:1" ht="17.399999999999999">
      <c r="A12" s="1947" t="s">
        <v>1612</v>
      </c>
    </row>
    <row r="13" spans="1:1" ht="38.25" customHeight="1">
      <c r="A13" s="195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1" t="s">
        <v>1613</v>
      </c>
    </row>
    <row r="15" spans="1:1" ht="17.399999999999999">
      <c r="A15" s="1952" t="str">
        <f>TEXT(项目基本情况!D3,"yyyy年m月d日;;")&amp;IF(项目基本情况!D3=项目基本情况!B3,"（评估专业人员实地查勘之日）","")</f>
        <v>2019年12月3日（评估专业人员实地查勘之日）</v>
      </c>
    </row>
    <row r="16" spans="1:1" ht="17.399999999999999">
      <c r="A16" s="1951" t="s">
        <v>1614</v>
      </c>
    </row>
    <row r="17" spans="1:1" ht="69.599999999999994">
      <c r="A17" s="1946" t="s">
        <v>1615</v>
      </c>
    </row>
    <row r="18" spans="1:1" ht="69.59999999999999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3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1" t="s">
        <v>1604</v>
      </c>
    </row>
    <row r="24" spans="1:1" ht="17.399999999999999">
      <c r="A24" s="1953" t="str">
        <f>"本次评估采用的主估价方法为"&amp;结果表!K4&amp;"和"&amp;结果表!L4&amp;"。"</f>
        <v>本次评估采用的主估价方法为成本法和收益法。</v>
      </c>
    </row>
    <row r="25" spans="1:1" ht="17.399999999999999">
      <c r="A25" s="1953"/>
    </row>
    <row r="26" spans="1:1" ht="17.399999999999999">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8" customWidth="1"/>
    <col min="2" max="2" width="37.21875" style="1958" customWidth="1"/>
    <col min="3" max="3" width="11.33203125" style="1958" customWidth="1"/>
    <col min="4" max="4" width="31.77734375" style="1958" customWidth="1"/>
    <col min="5" max="5" width="0.44140625" style="1958" customWidth="1"/>
    <col min="6" max="7" width="13" style="1958" customWidth="1"/>
    <col min="8" max="16384" width="9" style="1958"/>
  </cols>
  <sheetData>
    <row r="1" spans="1:5" ht="17.399999999999999">
      <c r="A1" s="1956" t="s">
        <v>1616</v>
      </c>
      <c r="B1" s="1957"/>
      <c r="C1" s="1957"/>
      <c r="D1" s="1957"/>
      <c r="E1" s="1957"/>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7.399999999999999">
      <c r="A3" s="2968" t="str">
        <f>IF(项目基本情况!B9="房地产市场价值","估价结果一览表（市场价值不需“结果表-1”）","估价结果一览表")</f>
        <v>估价结果一览表</v>
      </c>
      <c r="B3" s="2968"/>
      <c r="C3" s="2968"/>
      <c r="D3" s="2968"/>
      <c r="E3" s="2968"/>
    </row>
    <row r="4" spans="1:5" ht="18" thickBot="1">
      <c r="A4" s="1959"/>
      <c r="B4" s="2966" t="s">
        <v>1625</v>
      </c>
      <c r="C4" s="2966"/>
      <c r="D4" s="2966"/>
      <c r="E4" s="1959"/>
    </row>
    <row r="5" spans="1:5" ht="16.2" thickTop="1">
      <c r="A5" s="1957"/>
      <c r="B5" s="2964" t="s">
        <v>1617</v>
      </c>
      <c r="C5" s="1960" t="s">
        <v>1618</v>
      </c>
      <c r="D5" s="1040">
        <f ca="1">结果表!H101</f>
        <v>563364</v>
      </c>
      <c r="E5" s="1957"/>
    </row>
    <row r="6" spans="1:5" ht="31.2">
      <c r="A6" s="1957"/>
      <c r="B6" s="2964"/>
      <c r="C6" s="1960" t="s">
        <v>1619</v>
      </c>
      <c r="D6" s="1040" t="str">
        <f ca="1">NUMBERSTRING(INT(D5*10000),2)&amp;"元整"</f>
        <v>伍拾陆亿叁仟叁佰陆拾肆万元整</v>
      </c>
      <c r="E6" s="1957"/>
    </row>
    <row r="7" spans="1:5" ht="15.6">
      <c r="A7" s="1957"/>
      <c r="B7" s="2969"/>
      <c r="C7" s="1961" t="s">
        <v>1620</v>
      </c>
      <c r="D7" s="1041">
        <f ca="1">结果表!H102</f>
        <v>54737</v>
      </c>
      <c r="E7" s="1957"/>
    </row>
    <row r="8" spans="1:5" ht="15.6">
      <c r="A8" s="1957"/>
      <c r="B8" s="2970" t="str">
        <f>结果表!E103</f>
        <v>2.估价师知悉的法定优先受偿款</v>
      </c>
      <c r="C8" s="1962" t="s">
        <v>1621</v>
      </c>
      <c r="D8" s="1041">
        <f>结果表!H103</f>
        <v>0</v>
      </c>
      <c r="E8" s="1957"/>
    </row>
    <row r="9" spans="1:5" ht="15.6">
      <c r="A9" s="1957"/>
      <c r="B9" s="2972"/>
      <c r="C9" s="1960" t="s">
        <v>1619</v>
      </c>
      <c r="D9" s="1040" t="str">
        <f>NUMBERSTRING(INT(D8*10000),2)&amp;"元整"</f>
        <v>零元整</v>
      </c>
      <c r="E9" s="1957"/>
    </row>
    <row r="10" spans="1:5" ht="15.6">
      <c r="A10" s="1957"/>
      <c r="B10" s="1963" t="s">
        <v>1624</v>
      </c>
      <c r="C10" s="1964" t="s">
        <v>1622</v>
      </c>
      <c r="D10" s="1042">
        <f>结果表!H104</f>
        <v>0</v>
      </c>
      <c r="E10" s="1957"/>
    </row>
    <row r="11" spans="1:5" ht="15.6">
      <c r="A11" s="1957"/>
      <c r="B11" s="1963" t="s">
        <v>1626</v>
      </c>
      <c r="C11" s="1964" t="s">
        <v>1627</v>
      </c>
      <c r="D11" s="1042">
        <f>结果表!H105</f>
        <v>0</v>
      </c>
      <c r="E11" s="1957"/>
    </row>
    <row r="12" spans="1:5" ht="15.6">
      <c r="A12" s="1957"/>
      <c r="B12" s="1963" t="s">
        <v>1628</v>
      </c>
      <c r="C12" s="1964" t="s">
        <v>1627</v>
      </c>
      <c r="D12" s="1042">
        <f>结果表!H106</f>
        <v>0</v>
      </c>
      <c r="E12" s="1957"/>
    </row>
    <row r="13" spans="1:5" ht="15.6">
      <c r="A13" s="1957"/>
      <c r="B13" s="2963" t="str">
        <f>结果表!E107</f>
        <v>3.房地产抵押价值</v>
      </c>
      <c r="C13" s="1965" t="s">
        <v>1618</v>
      </c>
      <c r="D13" s="1043">
        <f ca="1">结果表!H107</f>
        <v>563364</v>
      </c>
      <c r="E13" s="1957"/>
    </row>
    <row r="14" spans="1:5" ht="31.2">
      <c r="A14" s="1957"/>
      <c r="B14" s="2964"/>
      <c r="C14" s="1960" t="s">
        <v>1619</v>
      </c>
      <c r="D14" s="1040" t="str">
        <f ca="1">NUMBERSTRING(INT(D13*10000),2)&amp;"元整"</f>
        <v>伍拾陆亿叁仟叁佰陆拾肆万元整</v>
      </c>
      <c r="E14" s="1957"/>
    </row>
    <row r="15" spans="1:5" ht="15.6">
      <c r="A15" s="1957"/>
      <c r="B15" s="2969"/>
      <c r="C15" s="1961" t="s">
        <v>1629</v>
      </c>
      <c r="D15" s="1052">
        <f ca="1">结果表!H108</f>
        <v>54737</v>
      </c>
      <c r="E15" s="1957"/>
    </row>
    <row r="16" spans="1:5" ht="15.6">
      <c r="A16" s="1957"/>
      <c r="B16" s="2970" t="str">
        <f>结果表!E109</f>
        <v>——</v>
      </c>
      <c r="C16" s="1965" t="s">
        <v>1630</v>
      </c>
      <c r="D16" s="1966" t="str">
        <f>结果表!H109</f>
        <v>——</v>
      </c>
      <c r="E16" s="1957"/>
    </row>
    <row r="17" spans="1:5" ht="15.6">
      <c r="A17" s="1957"/>
      <c r="B17" s="2971"/>
      <c r="C17" s="1960" t="s">
        <v>1631</v>
      </c>
      <c r="D17" s="1040" t="e">
        <f>NUMBERSTRING(INT(D16*10000),2)&amp;"元整"</f>
        <v>#VALUE!</v>
      </c>
      <c r="E17" s="1957"/>
    </row>
    <row r="18" spans="1:5" ht="15.6">
      <c r="A18" s="1957"/>
      <c r="B18" s="2972"/>
      <c r="C18" s="1961" t="s">
        <v>1620</v>
      </c>
      <c r="D18" s="1052" t="str">
        <f>结果表!H110</f>
        <v>——</v>
      </c>
      <c r="E18" s="1957"/>
    </row>
    <row r="19" spans="1:5" ht="15.6">
      <c r="A19" s="1957"/>
      <c r="B19" s="2963" t="str">
        <f>结果表!E111</f>
        <v>——</v>
      </c>
      <c r="C19" s="1965" t="s">
        <v>1618</v>
      </c>
      <c r="D19" s="1041" t="str">
        <f>结果表!H111</f>
        <v>——</v>
      </c>
      <c r="E19" s="1957"/>
    </row>
    <row r="20" spans="1:5" ht="15.6">
      <c r="A20" s="1957"/>
      <c r="B20" s="2964"/>
      <c r="C20" s="1960" t="s">
        <v>1631</v>
      </c>
      <c r="D20" s="1040" t="e">
        <f>NUMBERSTRING(INT(D19*10000),2)&amp;"元整"</f>
        <v>#VALUE!</v>
      </c>
      <c r="E20" s="1957"/>
    </row>
    <row r="21" spans="1:5" ht="16.2" thickBot="1">
      <c r="A21" s="1957"/>
      <c r="B21" s="2965"/>
      <c r="C21" s="1967" t="s">
        <v>1629</v>
      </c>
      <c r="D21" s="1053" t="str">
        <f>结果表!H112</f>
        <v>——</v>
      </c>
      <c r="E21" s="1957"/>
    </row>
    <row r="22" spans="1:5" ht="14.4" thickTop="1">
      <c r="A22" s="1957"/>
      <c r="B22" s="1968" t="s">
        <v>1632</v>
      </c>
      <c r="C22" s="1957"/>
      <c r="D22" s="1957"/>
      <c r="E22" s="1957"/>
    </row>
    <row r="23" spans="1:5">
      <c r="A23" s="1957"/>
      <c r="B23" s="1957"/>
      <c r="C23" s="1957"/>
      <c r="D23" s="1957"/>
      <c r="E23" s="1957"/>
    </row>
    <row r="24" spans="1:5" ht="17.399999999999999">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3" customWidth="1"/>
    <col min="2" max="9" width="12.109375" style="1943" customWidth="1"/>
    <col min="10" max="16384" width="9" style="1943"/>
  </cols>
  <sheetData>
    <row r="1" spans="1:9" ht="18"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1636</v>
      </c>
      <c r="B2" s="2974" t="s">
        <v>1637</v>
      </c>
      <c r="C2" s="2974" t="s">
        <v>1638</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6">
      <c r="A3" s="2975"/>
      <c r="B3" s="2975"/>
      <c r="C3" s="2975"/>
      <c r="D3" s="1044" t="s">
        <v>1633</v>
      </c>
      <c r="E3" s="1044" t="s">
        <v>1639</v>
      </c>
      <c r="F3" s="1044" t="s">
        <v>1633</v>
      </c>
      <c r="G3" s="1044" t="s">
        <v>1634</v>
      </c>
      <c r="H3" s="1044" t="s">
        <v>1633</v>
      </c>
      <c r="I3" s="1044" t="s">
        <v>1634</v>
      </c>
    </row>
    <row r="4" spans="1:9" ht="30">
      <c r="A4" s="1971" t="str">
        <f>项目基本情况!S2</f>
        <v>北京市出让国有建设用地使用权及在建建筑物房地产</v>
      </c>
      <c r="B4" s="1044">
        <f>项目基本情况!C17</f>
        <v>102921.28</v>
      </c>
      <c r="C4" s="1044">
        <f>项目基本情况!C18</f>
        <v>14193.330000000002</v>
      </c>
      <c r="D4" s="1044">
        <f ca="1">结果表!D118</f>
        <v>479423</v>
      </c>
      <c r="E4" s="1044">
        <f ca="1">结果表!E118</f>
        <v>46581</v>
      </c>
      <c r="F4" s="1044">
        <f ca="1">结果表!F118</f>
        <v>83941</v>
      </c>
      <c r="G4" s="1044">
        <f ca="1">结果表!G118</f>
        <v>8156</v>
      </c>
      <c r="H4" s="1044">
        <f ca="1">结果表!H118</f>
        <v>563364</v>
      </c>
      <c r="I4" s="1044">
        <f ca="1">结果表!I118</f>
        <v>54737</v>
      </c>
    </row>
    <row r="5" spans="1:9" ht="30" customHeight="1">
      <c r="A5" s="2975" t="s">
        <v>1635</v>
      </c>
      <c r="B5" s="2975"/>
      <c r="C5" s="2975"/>
      <c r="D5" s="2976" t="str">
        <f ca="1">结果表!D119</f>
        <v>肆拾柒亿玖仟肆佰贰拾叁万元整</v>
      </c>
      <c r="E5" s="2976"/>
      <c r="F5" s="2976" t="str">
        <f ca="1">结果表!F119</f>
        <v>捌亿叁仟玖佰肆拾壹万元整</v>
      </c>
      <c r="G5" s="2976"/>
      <c r="H5" s="2976" t="str">
        <f ca="1">结果表!H119</f>
        <v>伍拾陆亿叁仟叁佰陆拾肆万元整</v>
      </c>
      <c r="I5" s="2976"/>
    </row>
    <row r="6" spans="1:9" ht="15.6">
      <c r="A6" s="2977" t="str">
        <f>结果表!A120</f>
        <v>估价师知悉的法定优先受偿款</v>
      </c>
      <c r="B6" s="2977"/>
      <c r="C6" s="2977"/>
      <c r="D6" s="2977">
        <f>结果表!D120</f>
        <v>0</v>
      </c>
      <c r="E6" s="2977"/>
      <c r="F6" s="2977"/>
      <c r="G6" s="2977"/>
      <c r="H6" s="2977"/>
      <c r="I6" s="2977"/>
    </row>
    <row r="7" spans="1:9" ht="15">
      <c r="A7" s="2975" t="s">
        <v>1635</v>
      </c>
      <c r="B7" s="2975"/>
      <c r="C7" s="2975"/>
      <c r="D7" s="2978" t="str">
        <f>结果表!D121</f>
        <v>零元整</v>
      </c>
      <c r="E7" s="2979"/>
      <c r="F7" s="2979"/>
      <c r="G7" s="2979"/>
      <c r="H7" s="2979"/>
      <c r="I7" s="2980"/>
    </row>
    <row r="8" spans="1:9" ht="15.6">
      <c r="A8" s="2977" t="str">
        <f>结果表!A122</f>
        <v>房地产抵押价值</v>
      </c>
      <c r="B8" s="2977"/>
      <c r="C8" s="2977"/>
      <c r="D8" s="2977">
        <f ca="1">结果表!D122</f>
        <v>563364</v>
      </c>
      <c r="E8" s="2977"/>
      <c r="F8" s="2977"/>
      <c r="G8" s="2977"/>
      <c r="H8" s="2977"/>
      <c r="I8" s="2977"/>
    </row>
    <row r="9" spans="1:9" ht="15">
      <c r="A9" s="2975" t="s">
        <v>1635</v>
      </c>
      <c r="B9" s="2975"/>
      <c r="C9" s="2975"/>
      <c r="D9" s="2976" t="str">
        <f ca="1">结果表!D123</f>
        <v>伍拾陆亿叁仟叁佰陆拾肆万元整</v>
      </c>
      <c r="E9" s="2976"/>
      <c r="F9" s="2976"/>
      <c r="G9" s="2976"/>
      <c r="H9" s="2976"/>
      <c r="I9" s="2976"/>
    </row>
    <row r="10" spans="1:9" ht="15.6">
      <c r="A10" s="2977" t="str">
        <f>结果表!A124</f>
        <v/>
      </c>
      <c r="B10" s="2977"/>
      <c r="C10" s="2977"/>
      <c r="D10" s="2977" t="str">
        <f>结果表!D124</f>
        <v>——</v>
      </c>
      <c r="E10" s="2977"/>
      <c r="F10" s="2977"/>
      <c r="G10" s="2977"/>
      <c r="H10" s="2977"/>
      <c r="I10" s="2977"/>
    </row>
    <row r="11" spans="1:9" ht="15">
      <c r="A11" s="2975" t="s">
        <v>1635</v>
      </c>
      <c r="B11" s="2975"/>
      <c r="C11" s="2975"/>
      <c r="D11" s="2976" t="e">
        <f>结果表!D125</f>
        <v>#VALUE!</v>
      </c>
      <c r="E11" s="2976"/>
      <c r="F11" s="2976"/>
      <c r="G11" s="2976"/>
      <c r="H11" s="2976"/>
      <c r="I11" s="2976"/>
    </row>
    <row r="12" spans="1:9" ht="15.6">
      <c r="A12" s="2977" t="str">
        <f>结果表!A126</f>
        <v/>
      </c>
      <c r="B12" s="2977"/>
      <c r="C12" s="2977"/>
      <c r="D12" s="2977" t="str">
        <f>结果表!D126</f>
        <v>——</v>
      </c>
      <c r="E12" s="2977"/>
      <c r="F12" s="2977"/>
      <c r="G12" s="2977"/>
      <c r="H12" s="2977"/>
      <c r="I12" s="2977"/>
    </row>
    <row r="13" spans="1:9" ht="15.6" thickBot="1">
      <c r="A13" s="2981" t="s">
        <v>1635</v>
      </c>
      <c r="B13" s="2981"/>
      <c r="C13" s="2981"/>
      <c r="D13" s="2982" t="e">
        <f>结果表!D127</f>
        <v>#VALUE!</v>
      </c>
      <c r="E13" s="2982"/>
      <c r="F13" s="2982"/>
      <c r="G13" s="2982"/>
      <c r="H13" s="2982"/>
      <c r="I13" s="2982"/>
    </row>
    <row r="14" spans="1:9" ht="14.4" thickTop="1">
      <c r="A14" s="2983" t="s">
        <v>1640</v>
      </c>
      <c r="B14" s="2983"/>
      <c r="C14" s="2983"/>
      <c r="D14" s="2983"/>
      <c r="E14" s="2983"/>
      <c r="F14" s="2983"/>
      <c r="G14" s="2983"/>
      <c r="H14" s="2983"/>
      <c r="I14" s="2983"/>
    </row>
    <row r="16" spans="1:9" ht="17.399999999999999">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3" customWidth="1"/>
    <col min="2" max="3" width="22.33203125" style="1943" customWidth="1"/>
    <col min="4" max="4" width="23" style="1943" customWidth="1"/>
    <col min="5" max="16384" width="9" style="1943"/>
  </cols>
  <sheetData>
    <row r="1" spans="1:4" ht="17.399999999999999">
      <c r="A1" s="2984" t="s">
        <v>1657</v>
      </c>
      <c r="B1" s="2984"/>
      <c r="C1" s="2984"/>
      <c r="D1" s="2984"/>
    </row>
    <row r="2" spans="1:4" ht="17.399999999999999">
      <c r="A2" s="2985" t="s">
        <v>1641</v>
      </c>
      <c r="B2" s="2985"/>
      <c r="C2" s="2985"/>
      <c r="D2" s="2985"/>
    </row>
    <row r="3" spans="1:4" ht="17.399999999999999">
      <c r="A3" s="1975" t="s">
        <v>1642</v>
      </c>
      <c r="B3" s="1975" t="s">
        <v>1643</v>
      </c>
      <c r="C3" s="1975" t="s">
        <v>1644</v>
      </c>
      <c r="D3" s="1975" t="s">
        <v>1645</v>
      </c>
    </row>
    <row r="4" spans="1:4" ht="56.25" customHeight="1">
      <c r="A4" s="1976" t="str">
        <f>项目基本情况!B4</f>
        <v>吴薇</v>
      </c>
      <c r="B4" s="1977">
        <f ca="1">项目基本情况!C4</f>
        <v>1419970001</v>
      </c>
      <c r="C4" s="1978"/>
      <c r="D4" s="1979" t="s">
        <v>1646</v>
      </c>
    </row>
    <row r="5" spans="1:4" ht="56.25" customHeight="1">
      <c r="A5" s="1976" t="str">
        <f>项目基本情况!D4</f>
        <v>王鹏</v>
      </c>
      <c r="B5" s="1977">
        <f ca="1">项目基本情况!E4</f>
        <v>1120050019</v>
      </c>
      <c r="C5" s="1980"/>
      <c r="D5" s="1979" t="s">
        <v>1646</v>
      </c>
    </row>
    <row r="6" spans="1:4" ht="17.399999999999999">
      <c r="A6" s="2985" t="s">
        <v>1647</v>
      </c>
      <c r="B6" s="2985"/>
      <c r="C6" s="2985"/>
      <c r="D6" s="2985"/>
    </row>
    <row r="7" spans="1:4" ht="17.399999999999999">
      <c r="A7" s="1975" t="s">
        <v>1642</v>
      </c>
      <c r="B7" s="1977" t="s">
        <v>1648</v>
      </c>
      <c r="C7" s="1975" t="s">
        <v>1644</v>
      </c>
      <c r="D7" s="1975" t="s">
        <v>1645</v>
      </c>
    </row>
    <row r="8" spans="1:4" ht="56.25" customHeight="1">
      <c r="A8" s="1981" t="s">
        <v>866</v>
      </c>
      <c r="B8" s="1981" t="s">
        <v>1</v>
      </c>
      <c r="C8" s="1978"/>
      <c r="D8" s="1979" t="s">
        <v>1646</v>
      </c>
    </row>
    <row r="9" spans="1:4">
      <c r="A9" s="728"/>
      <c r="B9" s="728"/>
      <c r="C9" s="728"/>
      <c r="D9" s="728"/>
    </row>
    <row r="10" spans="1:4" ht="17.399999999999999">
      <c r="A10" s="1982" t="s">
        <v>1649</v>
      </c>
      <c r="B10" s="728"/>
      <c r="C10" s="728"/>
      <c r="D10" s="728"/>
    </row>
    <row r="11" spans="1:4" ht="30" customHeight="1">
      <c r="A11" s="2986" t="s">
        <v>1650</v>
      </c>
      <c r="B11" s="2987"/>
      <c r="C11" s="2987"/>
      <c r="D11" s="2987"/>
    </row>
    <row r="12" spans="1:4" ht="15.6">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7"/>
      <c r="C15" s="2987"/>
      <c r="D15" s="2987"/>
    </row>
    <row r="16" spans="1:4" ht="30" customHeight="1">
      <c r="A16" s="2990" t="s">
        <v>1651</v>
      </c>
      <c r="B16" s="2990"/>
      <c r="C16" s="2990"/>
      <c r="D16" s="2990"/>
    </row>
    <row r="17" spans="1:4" ht="144" customHeight="1">
      <c r="A17" s="2990" t="s">
        <v>1652</v>
      </c>
      <c r="B17" s="2990"/>
      <c r="C17" s="2990"/>
      <c r="D17" s="2990"/>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1"/>
      <c r="C21" s="2991"/>
      <c r="D21" s="2991"/>
    </row>
    <row r="22" spans="1:4" ht="18.75" customHeight="1">
      <c r="A22" s="2992" t="s">
        <v>1653</v>
      </c>
      <c r="B22" s="2992"/>
      <c r="C22" s="2992"/>
      <c r="D22" s="2992"/>
    </row>
    <row r="23" spans="1:4">
      <c r="A23" s="1983"/>
      <c r="B23" s="1955"/>
      <c r="C23" s="1955"/>
      <c r="D23" s="1955"/>
    </row>
    <row r="24" spans="1:4">
      <c r="A24" s="1983"/>
      <c r="B24" s="1955"/>
      <c r="C24" s="1955"/>
      <c r="D24" s="1955"/>
    </row>
    <row r="25" spans="1:4" ht="17.399999999999999">
      <c r="A25" s="1984" t="s">
        <v>1654</v>
      </c>
    </row>
    <row r="26" spans="1:4" ht="17.399999999999999">
      <c r="A26" s="1953"/>
    </row>
    <row r="27" spans="1:4" ht="17.399999999999999">
      <c r="A27" s="1953" t="s">
        <v>1655</v>
      </c>
    </row>
    <row r="30" spans="1:4" ht="17.399999999999999">
      <c r="D30" s="1984" t="s">
        <v>1656</v>
      </c>
    </row>
    <row r="31" spans="1:4" ht="13.5" customHeight="1">
      <c r="C31" s="2989">
        <v>42551</v>
      </c>
      <c r="D31" s="29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1" customWidth="1"/>
    <col min="3" max="10" width="12.44140625" style="1941" customWidth="1"/>
    <col min="11" max="16384" width="9" style="1941"/>
  </cols>
  <sheetData>
    <row r="1" spans="1:10" ht="17.399999999999999">
      <c r="A1" s="1974" t="s">
        <v>867</v>
      </c>
      <c r="B1" s="1985"/>
      <c r="C1" s="1985"/>
      <c r="D1" s="1985"/>
      <c r="E1" s="1985"/>
      <c r="F1" s="1985"/>
      <c r="G1" s="1985"/>
      <c r="H1" s="1985"/>
      <c r="I1" s="1985"/>
      <c r="J1" s="1985"/>
    </row>
    <row r="2" spans="1:10" ht="17.399999999999999">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1" customWidth="1"/>
    <col min="2" max="16384" width="14.44140625" style="1973"/>
  </cols>
  <sheetData>
    <row r="1" spans="1:7" s="1988" customFormat="1" ht="17.399999999999999">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4.4">
      <c r="A15" s="2998" t="s">
        <v>1664</v>
      </c>
      <c r="B15" s="2993" t="s">
        <v>136</v>
      </c>
      <c r="C15" s="2994"/>
    </row>
    <row r="16" spans="1:7" ht="14.4">
      <c r="A16" s="2999"/>
      <c r="B16" s="2993" t="s">
        <v>69</v>
      </c>
      <c r="C16" s="2994"/>
    </row>
    <row r="17" spans="1:3" ht="14.4">
      <c r="A17" s="2999"/>
      <c r="B17" s="2996" t="s">
        <v>1665</v>
      </c>
      <c r="C17" s="1998" t="s">
        <v>1664</v>
      </c>
    </row>
    <row r="18" spans="1:3" ht="14.4">
      <c r="A18" s="2999"/>
      <c r="B18" s="2996"/>
      <c r="C18" s="1998" t="s">
        <v>1666</v>
      </c>
    </row>
    <row r="19" spans="1:3" ht="14.4">
      <c r="A19" s="2999"/>
      <c r="B19" s="2996"/>
      <c r="C19" s="1998" t="s">
        <v>1667</v>
      </c>
    </row>
    <row r="20" spans="1:3" ht="14.4">
      <c r="A20" s="3000"/>
      <c r="B20" s="2995" t="s">
        <v>1668</v>
      </c>
      <c r="C20" s="2994"/>
    </row>
    <row r="21" spans="1:3" ht="14.4">
      <c r="A21" s="1999" t="s">
        <v>1669</v>
      </c>
      <c r="B21" s="2000"/>
      <c r="C21" s="2001"/>
    </row>
    <row r="22" spans="1:3" ht="14.4">
      <c r="A22" s="2997" t="s">
        <v>1670</v>
      </c>
      <c r="B22" s="2995" t="s">
        <v>1671</v>
      </c>
      <c r="C22" s="2994"/>
    </row>
    <row r="23" spans="1:3" ht="14.4">
      <c r="A23" s="2997"/>
      <c r="B23" s="2995" t="s">
        <v>1672</v>
      </c>
      <c r="C23" s="2994"/>
    </row>
    <row r="24" spans="1:3" ht="14.4">
      <c r="A24" s="2997"/>
      <c r="B24" s="2995" t="s">
        <v>1673</v>
      </c>
      <c r="C24" s="2994"/>
    </row>
    <row r="25" spans="1:3" ht="14.4">
      <c r="A25" s="2997"/>
      <c r="B25" s="2996" t="s">
        <v>1674</v>
      </c>
      <c r="C25" s="1998" t="s">
        <v>1675</v>
      </c>
    </row>
    <row r="26" spans="1:3" ht="14.4">
      <c r="A26" s="2997"/>
      <c r="B26" s="2996"/>
      <c r="C26" s="1998" t="s">
        <v>1676</v>
      </c>
    </row>
    <row r="27" spans="1:3" ht="14.4">
      <c r="A27" s="2997"/>
      <c r="B27" s="2996"/>
      <c r="C27" s="1998" t="s">
        <v>1677</v>
      </c>
    </row>
    <row r="28" spans="1:3" ht="14.4">
      <c r="A28" s="2997"/>
      <c r="B28" s="2996"/>
      <c r="C28" s="1998" t="s">
        <v>1678</v>
      </c>
    </row>
    <row r="29" spans="1:3" ht="14.4">
      <c r="A29" s="2997"/>
      <c r="B29" s="2996"/>
      <c r="C29" s="1998" t="s">
        <v>1679</v>
      </c>
    </row>
    <row r="30" spans="1:3" ht="14.4">
      <c r="A30" s="2997"/>
      <c r="B30" s="2996"/>
      <c r="C30" s="1998" t="s">
        <v>1680</v>
      </c>
    </row>
    <row r="31" spans="1:3" ht="14.4">
      <c r="A31" s="2997"/>
      <c r="B31" s="2996"/>
      <c r="C31" s="1998" t="s">
        <v>1681</v>
      </c>
    </row>
    <row r="32" spans="1:3" ht="14.4">
      <c r="A32" s="2997"/>
      <c r="B32" s="2996"/>
      <c r="C32" s="1998" t="s">
        <v>1682</v>
      </c>
    </row>
    <row r="33" spans="1:3" ht="14.4">
      <c r="A33" s="2997"/>
      <c r="B33" s="2996"/>
      <c r="C33" s="1998" t="s">
        <v>1683</v>
      </c>
    </row>
    <row r="34" spans="1:3">
      <c r="A34" s="2002" t="s">
        <v>76</v>
      </c>
    </row>
    <row r="37" spans="1:3">
      <c r="A37" s="2002" t="s">
        <v>1684</v>
      </c>
    </row>
    <row r="38" spans="1:3" ht="14.4">
      <c r="A38" s="2003" t="s">
        <v>77</v>
      </c>
    </row>
    <row r="39" spans="1:3" ht="14.4">
      <c r="A39" s="2003" t="s">
        <v>78</v>
      </c>
    </row>
    <row r="40" spans="1:3" ht="14.4">
      <c r="A40" s="2003" t="s">
        <v>79</v>
      </c>
    </row>
    <row r="41" spans="1:3" ht="14.4">
      <c r="A41" s="2004" t="s">
        <v>80</v>
      </c>
    </row>
    <row r="42" spans="1:3" ht="14.4">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43802</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347">
        <v>43849</v>
      </c>
      <c r="D4" s="2350" t="s">
        <v>832</v>
      </c>
      <c r="E4" s="1022">
        <f ca="1">IF(F4&lt;B2,"已过期",96010014)</f>
        <v>96010014</v>
      </c>
      <c r="F4" s="1030">
        <v>47118</v>
      </c>
    </row>
    <row r="5" spans="1:6" ht="24" customHeight="1">
      <c r="A5" s="1701" t="s">
        <v>833</v>
      </c>
      <c r="B5" s="1022">
        <f ca="1">IF(C5&lt;B2,"已过期",1119970074)</f>
        <v>1119970074</v>
      </c>
      <c r="C5" s="2347">
        <v>43849</v>
      </c>
      <c r="D5" s="2350" t="s">
        <v>833</v>
      </c>
      <c r="E5" s="1022">
        <f ca="1">IF(F5&lt;B2,"已过期",2002110027)</f>
        <v>2002110027</v>
      </c>
      <c r="F5" s="1030">
        <v>46752</v>
      </c>
    </row>
    <row r="6" spans="1:6" ht="24" customHeight="1">
      <c r="A6" s="1701" t="s">
        <v>834</v>
      </c>
      <c r="B6" s="1022">
        <f ca="1">IF(C6&lt;B2,"已过期",1119970111)</f>
        <v>1119970111</v>
      </c>
      <c r="C6" s="2347">
        <v>43849</v>
      </c>
      <c r="D6" s="2350" t="s">
        <v>834</v>
      </c>
      <c r="E6" s="1022">
        <f ca="1">IF(F6&lt;B2,"已过期",94010078)</f>
        <v>94010078</v>
      </c>
      <c r="F6" s="1030">
        <v>46387</v>
      </c>
    </row>
    <row r="7" spans="1:6" ht="24" customHeight="1">
      <c r="A7" s="1701" t="s">
        <v>835</v>
      </c>
      <c r="B7" s="1022">
        <f ca="1">IF(C7&lt;B2,"已过期",1120050019)</f>
        <v>1120050019</v>
      </c>
      <c r="C7" s="2347">
        <v>44395</v>
      </c>
      <c r="D7" s="2350" t="s">
        <v>835</v>
      </c>
      <c r="E7" s="1022">
        <f ca="1">IF(F7&lt;B2,"已过期",2002110030)</f>
        <v>2002110030</v>
      </c>
      <c r="F7" s="1030">
        <v>46387</v>
      </c>
    </row>
    <row r="8" spans="1:6" ht="24" customHeight="1">
      <c r="A8" s="1701" t="s">
        <v>836</v>
      </c>
      <c r="B8" s="1022">
        <f ca="1">IF(C8&lt;B2,"已过期",1120000080)</f>
        <v>1120000080</v>
      </c>
      <c r="C8" s="2347">
        <v>43849</v>
      </c>
      <c r="D8" s="2350" t="s">
        <v>836</v>
      </c>
      <c r="E8" s="1022">
        <f ca="1">IF(F8&lt;B2,"已过期",2000110082)</f>
        <v>2000110082</v>
      </c>
      <c r="F8" s="1030">
        <v>46387</v>
      </c>
    </row>
    <row r="9" spans="1:6" ht="24" customHeight="1">
      <c r="A9" s="1701" t="s">
        <v>837</v>
      </c>
      <c r="B9" s="1022">
        <f ca="1">IF(C9&lt;B2,"已过期",1419970001)</f>
        <v>1419970001</v>
      </c>
      <c r="C9" s="2347">
        <v>43867</v>
      </c>
      <c r="D9" s="2350" t="s">
        <v>837</v>
      </c>
      <c r="E9" s="1022">
        <f ca="1">IF(F9&lt;B2,"已过期",2002110125)</f>
        <v>2002110125</v>
      </c>
      <c r="F9" s="1030">
        <v>47118</v>
      </c>
    </row>
    <row r="10" spans="1:6" ht="24" customHeight="1">
      <c r="A10" s="1701" t="s">
        <v>838</v>
      </c>
      <c r="B10" s="1022">
        <f ca="1">IF(C10&lt;B2,"已过期",1120060040)</f>
        <v>1120060040</v>
      </c>
      <c r="C10" s="2347">
        <v>44554</v>
      </c>
      <c r="D10" s="2350" t="s">
        <v>838</v>
      </c>
      <c r="E10" s="1022">
        <f ca="1">IF(F10&lt;B2,"已过期",2004110096)</f>
        <v>2004110096</v>
      </c>
      <c r="F10" s="1030">
        <v>47118</v>
      </c>
    </row>
    <row r="11" spans="1:6" ht="24" customHeight="1">
      <c r="A11" s="1701" t="s">
        <v>839</v>
      </c>
      <c r="B11" s="1022">
        <f ca="1">IF(C11&lt;B2,"已过期",1120100036)</f>
        <v>1120100036</v>
      </c>
      <c r="C11" s="2347">
        <v>44675</v>
      </c>
      <c r="D11" s="2350" t="s">
        <v>839</v>
      </c>
      <c r="E11" s="1022">
        <f ca="1">IF(F11&lt;B2,"已过期",2010110070)</f>
        <v>2010110070</v>
      </c>
      <c r="F11" s="1030">
        <v>47907</v>
      </c>
    </row>
    <row r="12" spans="1:6" ht="24" customHeight="1">
      <c r="A12" s="1701"/>
      <c r="B12" s="1022"/>
      <c r="C12" s="2929"/>
      <c r="D12" s="1701"/>
      <c r="E12" s="1022"/>
      <c r="F12" s="1030"/>
    </row>
    <row r="13" spans="1:6" ht="24" customHeight="1">
      <c r="A13" s="1701" t="s">
        <v>840</v>
      </c>
      <c r="B13" s="1022">
        <f ca="1">IF(C13&lt;B2,"已过期",1120070131)</f>
        <v>1120070131</v>
      </c>
      <c r="C13" s="2347">
        <v>43814</v>
      </c>
      <c r="D13" s="2350" t="s">
        <v>840</v>
      </c>
      <c r="E13" s="1022">
        <f ca="1">IF(F13&lt;B2,"已过期",2014110011)</f>
        <v>2014110011</v>
      </c>
      <c r="F13" s="1030">
        <v>49302</v>
      </c>
    </row>
    <row r="14" spans="1:6" ht="24" customHeight="1">
      <c r="A14" s="1701" t="s">
        <v>3045</v>
      </c>
      <c r="B14" s="1022">
        <f ca="1">IF(C14&lt;B2,"已过期",1120040230)</f>
        <v>1120040230</v>
      </c>
      <c r="C14" s="2347">
        <v>43835</v>
      </c>
      <c r="D14" s="2350" t="s">
        <v>3045</v>
      </c>
      <c r="E14" s="1022">
        <f ca="1">IF(F14&lt;B2,"已过期",98030020)</f>
        <v>98030020</v>
      </c>
      <c r="F14" s="1030">
        <v>47118</v>
      </c>
    </row>
    <row r="15" spans="1:6" ht="24" customHeight="1">
      <c r="A15" s="1702" t="s">
        <v>3046</v>
      </c>
      <c r="B15" s="1022">
        <f ca="1">IF(C15&lt;B2,"已过期",1120070085)</f>
        <v>1120070085</v>
      </c>
      <c r="C15" s="2347">
        <v>43814</v>
      </c>
      <c r="D15" s="2351" t="s">
        <v>3046</v>
      </c>
      <c r="E15" s="1022">
        <f ca="1">IF(F15&lt;B2,"已过期",2004110128)</f>
        <v>2004110128</v>
      </c>
      <c r="F15" s="1023">
        <v>47118</v>
      </c>
    </row>
    <row r="16" spans="1:6" ht="24" customHeight="1">
      <c r="A16" s="1701" t="s">
        <v>3047</v>
      </c>
      <c r="B16" s="1022">
        <f ca="1">IF(C16&lt;B2,"已过期",1120140022)</f>
        <v>1120140022</v>
      </c>
      <c r="C16" s="2929">
        <v>44029</v>
      </c>
      <c r="D16" s="2350" t="s">
        <v>3047</v>
      </c>
      <c r="E16" s="1022">
        <f ca="1">IF(F16&lt;B2,"已过期",2008110059)</f>
        <v>2008110059</v>
      </c>
      <c r="F16" s="1030">
        <v>47177</v>
      </c>
    </row>
    <row r="17" spans="1:7" ht="24" customHeight="1">
      <c r="A17" s="1701"/>
      <c r="B17" s="1022"/>
      <c r="C17" s="2347"/>
      <c r="D17" s="2350" t="s">
        <v>3048</v>
      </c>
      <c r="E17" s="1022">
        <f ca="1">IF(F17&lt;B2,"已过期",2014110076)</f>
        <v>2014110076</v>
      </c>
      <c r="F17" s="1030">
        <v>49302</v>
      </c>
    </row>
    <row r="18" spans="1:7" ht="24" customHeight="1">
      <c r="A18" s="1701" t="s">
        <v>3056</v>
      </c>
      <c r="B18" s="1022">
        <v>1120190079</v>
      </c>
      <c r="C18" s="2929">
        <v>44826</v>
      </c>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841</v>
      </c>
      <c r="E21" s="1022">
        <f ca="1">IF(F21&lt;B2,"已过期",2011110090)</f>
        <v>2011110090</v>
      </c>
      <c r="F21" s="1030">
        <v>48302</v>
      </c>
    </row>
    <row r="22" spans="1:7" ht="24" customHeight="1">
      <c r="A22" s="1701" t="s">
        <v>842</v>
      </c>
      <c r="B22" s="1022">
        <f ca="1">IF(C22&lt;B2,"已过期",1120020033)</f>
        <v>1120020033</v>
      </c>
      <c r="C22" s="2929">
        <v>44339</v>
      </c>
      <c r="D22" s="2350" t="s">
        <v>842</v>
      </c>
      <c r="E22" s="1022">
        <f ca="1">IF(F22&lt;B2,"已过期",2000110137)</f>
        <v>2000110137</v>
      </c>
      <c r="F22" s="1030">
        <v>46387</v>
      </c>
    </row>
    <row r="23" spans="1:7" ht="24" customHeight="1">
      <c r="A23" s="1701"/>
      <c r="B23" s="1022"/>
      <c r="C23" s="2347"/>
      <c r="D23" s="2350"/>
      <c r="E23" s="1022"/>
      <c r="F23" s="1022"/>
    </row>
    <row r="24" spans="1:7" s="1024" customFormat="1" ht="24" customHeight="1">
      <c r="A24" s="1702" t="s">
        <v>1329</v>
      </c>
      <c r="B24" s="1702" t="s">
        <v>1329</v>
      </c>
      <c r="C24" s="2348" t="s">
        <v>1329</v>
      </c>
      <c r="D24" s="2351" t="s">
        <v>1329</v>
      </c>
      <c r="E24" s="1702" t="s">
        <v>1329</v>
      </c>
      <c r="F24" s="1702" t="s">
        <v>1329</v>
      </c>
    </row>
    <row r="25" spans="1:7" ht="24" customHeight="1">
      <c r="A25" s="3001" t="s">
        <v>843</v>
      </c>
      <c r="B25" s="3001"/>
      <c r="C25" s="3001"/>
      <c r="D25" s="3001"/>
      <c r="E25" s="3001"/>
      <c r="F25" s="3001"/>
      <c r="G25" s="3001"/>
    </row>
    <row r="26" spans="1:7" s="1025" customFormat="1" ht="24" customHeight="1">
      <c r="A26" s="3002" t="s">
        <v>844</v>
      </c>
      <c r="B26" s="3002"/>
      <c r="C26" s="3003"/>
      <c r="D26" s="3004" t="s">
        <v>845</v>
      </c>
      <c r="E26" s="3002"/>
      <c r="F26" s="3002"/>
    </row>
    <row r="27" spans="1:7" s="1027" customFormat="1" ht="24" customHeight="1">
      <c r="A27" s="1026" t="s">
        <v>846</v>
      </c>
      <c r="B27" s="1021" t="s">
        <v>847</v>
      </c>
      <c r="C27" s="2346" t="s">
        <v>848</v>
      </c>
      <c r="D27" s="2353" t="s">
        <v>846</v>
      </c>
      <c r="E27" s="1021" t="s">
        <v>847</v>
      </c>
      <c r="F27" s="1021" t="s">
        <v>848</v>
      </c>
    </row>
    <row r="28" spans="1:7" s="1027" customFormat="1" ht="24" customHeight="1">
      <c r="A28" s="1028" t="s">
        <v>849</v>
      </c>
      <c r="B28" s="1029" t="s">
        <v>850</v>
      </c>
      <c r="C28" s="1030">
        <v>44820</v>
      </c>
      <c r="D28" s="2354" t="s">
        <v>851</v>
      </c>
      <c r="E28" s="1028" t="s">
        <v>852</v>
      </c>
      <c r="F28" s="1058">
        <v>44377</v>
      </c>
    </row>
    <row r="29" spans="1:7" s="1027" customFormat="1" ht="24" customHeight="1">
      <c r="A29" s="1028"/>
      <c r="B29" s="1028"/>
      <c r="C29" s="2352"/>
      <c r="D29" s="2354" t="s">
        <v>853</v>
      </c>
      <c r="E29" s="1202" t="s">
        <v>3057</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2" customWidth="1"/>
    <col min="2" max="2" width="23.21875" style="1973" customWidth="1"/>
    <col min="3" max="3" width="13" style="2017" customWidth="1"/>
    <col min="4" max="4" width="5.77734375" style="2014" customWidth="1"/>
    <col min="5" max="5" width="7.109375" style="2014" customWidth="1"/>
    <col min="6" max="6" width="10.6640625" style="2014" customWidth="1"/>
    <col min="7" max="7" width="7.44140625" style="2014" customWidth="1"/>
    <col min="8" max="8" width="9" style="2017" customWidth="1"/>
    <col min="9" max="9" width="11.6640625" style="2017" customWidth="1"/>
    <col min="10" max="10" width="9" style="2017" customWidth="1"/>
    <col min="11" max="19" width="9" style="2014" customWidth="1"/>
    <col min="20" max="23" width="9" style="2017" customWidth="1"/>
    <col min="24" max="24" width="21.109375" style="1973" customWidth="1"/>
    <col min="25" max="16384" width="9" style="1973"/>
  </cols>
  <sheetData>
    <row r="1" spans="1:23" s="2011" customFormat="1" ht="28.8">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05"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5"/>
      <c r="B54" s="2020" t="s">
        <v>861</v>
      </c>
      <c r="C54" s="2017" t="s">
        <v>1277</v>
      </c>
    </row>
    <row r="55" spans="1:4">
      <c r="A55" s="3005"/>
      <c r="B55" s="2020" t="s">
        <v>862</v>
      </c>
      <c r="C55" s="2017" t="s">
        <v>1278</v>
      </c>
    </row>
    <row r="56" spans="1:4">
      <c r="A56" s="3005"/>
      <c r="B56" s="2020" t="s">
        <v>863</v>
      </c>
      <c r="C56" s="2017" t="s">
        <v>1282</v>
      </c>
    </row>
    <row r="57" spans="1:4">
      <c r="A57" s="3005"/>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8671875" style="2030" customWidth="1"/>
    <col min="2" max="2" width="13.33203125" style="2030" customWidth="1"/>
    <col min="3" max="3" width="11.44140625" style="2030" customWidth="1"/>
    <col min="4" max="4" width="14" style="2030" customWidth="1"/>
    <col min="5" max="6" width="10" style="2030" customWidth="1"/>
    <col min="7" max="7" width="10.77734375" style="2030" customWidth="1"/>
    <col min="8" max="8" width="10" style="2030" customWidth="1"/>
    <col min="9" max="9" width="11.10937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1771</v>
      </c>
      <c r="B1" s="3006" t="str">
        <f>IF(B10="北京市","北京市",C10)&amp;F10&amp;IF(结果表!G1="在建","出让国有建设用地使用权及在建建筑物",IF(结果表!G1="土地","出让国有建设用地使用权",))&amp;B9&amp;"预评估"</f>
        <v>北京市出让国有建设用地使用权及在建建筑物预评估</v>
      </c>
      <c r="C1" s="3007"/>
      <c r="D1" s="3007"/>
      <c r="E1" s="3007"/>
      <c r="F1" s="3007"/>
      <c r="G1" s="3007"/>
      <c r="H1" s="3007"/>
      <c r="I1" s="300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4" t="s">
        <v>1772</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3" t="s">
        <v>1773</v>
      </c>
      <c r="B3" s="2034">
        <v>43802</v>
      </c>
      <c r="C3" s="2035" t="s">
        <v>1774</v>
      </c>
      <c r="D3" s="2034">
        <f>B3</f>
        <v>43802</v>
      </c>
      <c r="E3" s="2024"/>
      <c r="F3" s="2024"/>
      <c r="G3" s="2024"/>
      <c r="H3" s="2024"/>
      <c r="I3" s="2024"/>
      <c r="J3" s="2024"/>
      <c r="K3" s="2025"/>
      <c r="L3" s="2026"/>
      <c r="M3" s="2026"/>
      <c r="N3" s="2027"/>
      <c r="O3" s="2028"/>
      <c r="P3" s="2027"/>
      <c r="Q3" s="2027"/>
      <c r="R3" s="2027"/>
      <c r="S3" s="2029"/>
    </row>
    <row r="4" spans="1:19" ht="18" customHeight="1" thickBot="1">
      <c r="A4" s="2036" t="s">
        <v>1775</v>
      </c>
      <c r="B4" s="2037" t="s">
        <v>3058</v>
      </c>
      <c r="C4" s="1037">
        <f ca="1">SUMIF(注册房地产估价师,B4,估价师及机构信息!B3:B24)</f>
        <v>1419970001</v>
      </c>
      <c r="D4" s="2037" t="s">
        <v>3127</v>
      </c>
      <c r="E4" s="1038">
        <f ca="1">SUMIF(注册房地产估价师,D4,估价师及机构信息!B3:B24)</f>
        <v>1120050019</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吴薇（注册号：1419970001)、王鹏（注册号：1120050019)</v>
      </c>
      <c r="L4" s="2026"/>
      <c r="M4" s="2026"/>
      <c r="N4" s="2027"/>
      <c r="O4" s="2028"/>
      <c r="P4" s="2027"/>
      <c r="Q4" s="2027"/>
      <c r="R4" s="2027"/>
      <c r="S4" s="2029"/>
    </row>
    <row r="5" spans="1:19" ht="18" customHeight="1" thickTop="1">
      <c r="A5" s="2042" t="s">
        <v>1776</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1777</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1778</v>
      </c>
      <c r="B7" s="2051"/>
      <c r="C7" s="2048"/>
      <c r="D7" s="2049"/>
      <c r="E7" s="2032"/>
      <c r="F7" s="2040"/>
      <c r="G7" s="2040"/>
      <c r="H7" s="2040"/>
      <c r="I7" s="2040"/>
      <c r="J7" s="2040"/>
      <c r="K7" s="2052"/>
      <c r="L7" s="2026"/>
      <c r="M7" s="2026"/>
      <c r="N7" s="2027"/>
      <c r="O7" s="2028"/>
      <c r="P7" s="2027"/>
      <c r="Q7" s="2027"/>
      <c r="R7" s="2027"/>
    </row>
    <row r="8" spans="1:19" ht="18" customHeight="1">
      <c r="A8" s="2046" t="s">
        <v>1779</v>
      </c>
      <c r="B8" s="2053" t="s">
        <v>3059</v>
      </c>
      <c r="C8" s="2054"/>
      <c r="D8" s="3009" t="s">
        <v>1780</v>
      </c>
      <c r="E8" s="2055"/>
      <c r="F8" s="2056"/>
      <c r="G8" s="2024"/>
      <c r="H8" s="2024"/>
      <c r="I8" s="2024"/>
      <c r="J8" s="2040"/>
      <c r="K8" s="2041"/>
      <c r="L8" s="2026"/>
      <c r="M8" s="2026"/>
      <c r="N8" s="2027"/>
      <c r="O8" s="2028"/>
      <c r="P8" s="2027"/>
      <c r="Q8" s="2027"/>
      <c r="R8" s="2027"/>
    </row>
    <row r="9" spans="1:19" ht="18" customHeight="1" thickBot="1">
      <c r="A9" s="2038" t="s">
        <v>1781</v>
      </c>
      <c r="B9" s="2057"/>
      <c r="C9" s="2058"/>
      <c r="D9" s="3010"/>
      <c r="E9" s="2057"/>
      <c r="F9" s="2059"/>
      <c r="G9" s="2060"/>
      <c r="H9" s="2060"/>
      <c r="I9" s="2060"/>
      <c r="J9" s="2040"/>
      <c r="K9" s="2052"/>
      <c r="L9" s="2026"/>
      <c r="M9" s="2026"/>
      <c r="N9" s="2027"/>
      <c r="O9" s="2028"/>
      <c r="P9" s="2027"/>
      <c r="Q9" s="2027"/>
      <c r="R9" s="2027"/>
    </row>
    <row r="10" spans="1:19" ht="18" customHeight="1" thickTop="1">
      <c r="A10" s="2061" t="s">
        <v>1782</v>
      </c>
      <c r="B10" s="2062" t="s">
        <v>3060</v>
      </c>
      <c r="C10" s="2063"/>
      <c r="D10" s="2045"/>
      <c r="E10" s="2064" t="s">
        <v>1783</v>
      </c>
      <c r="F10" s="2065"/>
      <c r="G10" s="2066"/>
      <c r="H10" s="2067"/>
      <c r="I10" s="2045"/>
      <c r="J10" s="2040"/>
      <c r="K10" s="2052"/>
      <c r="L10" s="2026"/>
      <c r="M10" s="2026"/>
      <c r="N10" s="2027"/>
      <c r="O10" s="2028"/>
      <c r="P10" s="2027"/>
      <c r="Q10" s="2027"/>
      <c r="R10" s="2027"/>
    </row>
    <row r="11" spans="1:19" ht="18" customHeight="1">
      <c r="A11" s="2068" t="s">
        <v>1784</v>
      </c>
      <c r="B11" s="2069" t="s">
        <v>3061</v>
      </c>
      <c r="C11" s="2070"/>
      <c r="D11" s="2071"/>
      <c r="E11" s="2040"/>
      <c r="F11" s="2040"/>
      <c r="G11" s="2040"/>
      <c r="H11" s="2040"/>
      <c r="I11" s="2040"/>
      <c r="J11" s="2040"/>
      <c r="K11" s="2052"/>
      <c r="L11" s="2026"/>
      <c r="M11" s="2026"/>
      <c r="N11" s="2027"/>
      <c r="O11" s="2028"/>
      <c r="P11" s="2027"/>
      <c r="Q11" s="2027"/>
      <c r="R11" s="2027"/>
    </row>
    <row r="12" spans="1:19" ht="18" customHeight="1">
      <c r="A12" s="2072" t="s">
        <v>1785</v>
      </c>
      <c r="B12" s="2069" t="s">
        <v>3062</v>
      </c>
      <c r="C12" s="2073" t="s">
        <v>1786</v>
      </c>
      <c r="D12" s="2074" t="s">
        <v>1787</v>
      </c>
      <c r="E12" s="2074" t="s">
        <v>1788</v>
      </c>
      <c r="F12" s="2074" t="s">
        <v>1789</v>
      </c>
      <c r="G12" s="2074" t="s">
        <v>1790</v>
      </c>
      <c r="H12" s="2074" t="s">
        <v>1791</v>
      </c>
      <c r="I12" s="2074" t="s">
        <v>1792</v>
      </c>
      <c r="J12" s="2040"/>
      <c r="K12" s="2052"/>
      <c r="L12" s="2026"/>
      <c r="M12" s="2026"/>
      <c r="N12" s="2027"/>
      <c r="O12" s="2028"/>
      <c r="P12" s="2027"/>
      <c r="Q12" s="2027"/>
      <c r="R12" s="2027"/>
    </row>
    <row r="13" spans="1:19" ht="18" customHeight="1">
      <c r="A13" s="2075"/>
      <c r="B13" s="2076"/>
      <c r="C13" s="2077" t="s">
        <v>1793</v>
      </c>
      <c r="D13" s="2078">
        <v>63794</v>
      </c>
      <c r="E13" s="2078">
        <v>52837</v>
      </c>
      <c r="F13" s="2078">
        <v>56489</v>
      </c>
      <c r="G13" s="2078">
        <v>56489</v>
      </c>
      <c r="H13" s="2078"/>
      <c r="I13" s="1047"/>
      <c r="J13" s="2040"/>
      <c r="K13" s="2052"/>
      <c r="L13" s="2026"/>
      <c r="M13" s="2026"/>
      <c r="N13" s="2027"/>
      <c r="O13" s="2028"/>
      <c r="P13" s="2027"/>
      <c r="Q13" s="2027"/>
      <c r="R13" s="2027"/>
    </row>
    <row r="14" spans="1:19" ht="18" customHeight="1">
      <c r="A14" s="2075"/>
      <c r="B14" s="2076"/>
      <c r="C14" s="2077" t="s">
        <v>1794</v>
      </c>
      <c r="D14" s="1050">
        <v>70</v>
      </c>
      <c r="E14" s="1050">
        <v>40</v>
      </c>
      <c r="F14" s="1050">
        <v>50</v>
      </c>
      <c r="G14" s="1050">
        <v>50</v>
      </c>
      <c r="H14" s="1050"/>
      <c r="I14" s="1050"/>
      <c r="J14" s="2040"/>
      <c r="K14" s="2079"/>
      <c r="L14" s="2026"/>
      <c r="M14" s="2026"/>
      <c r="N14" s="2027"/>
      <c r="O14" s="2028"/>
      <c r="P14" s="2027"/>
      <c r="Q14" s="2027"/>
      <c r="R14" s="2027"/>
    </row>
    <row r="15" spans="1:19" ht="18" customHeight="1">
      <c r="A15" s="2061"/>
      <c r="B15" s="2080"/>
      <c r="C15" s="2077" t="s">
        <v>1795</v>
      </c>
      <c r="D15" s="1049">
        <f>IF(B12="出让",IF(D13="","",ROUNDDOWN(MIN((D13-$D$3)/365,D14),2)),D14)</f>
        <v>54.77</v>
      </c>
      <c r="E15" s="1049">
        <f>IF(B12="出让",IF(E13="","",ROUNDDOWN(MIN((E13-$D$3)/365,E14),2)),E14)</f>
        <v>24.75</v>
      </c>
      <c r="F15" s="1049">
        <f>IF(B12="出让",IF(F13="","",ROUNDDOWN(MIN((F13-$D$3)/365,F14),2)),F14)</f>
        <v>34.75</v>
      </c>
      <c r="G15" s="1049">
        <f>IF(B12="出让",IF(G13="","",ROUNDDOWN(MIN((G13-$D$3)/365,G14),2)),G14)</f>
        <v>34.75</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1796</v>
      </c>
      <c r="B16" s="3016"/>
      <c r="C16" s="3017"/>
      <c r="D16" s="3018"/>
      <c r="E16" s="2084" t="s">
        <v>1797</v>
      </c>
      <c r="F16" s="3019"/>
      <c r="G16" s="3020"/>
      <c r="H16" s="3020"/>
      <c r="I16" s="3021"/>
      <c r="J16" s="2027"/>
      <c r="K16" s="2081"/>
      <c r="L16" s="2082"/>
      <c r="M16" s="2082"/>
      <c r="N16" s="2083"/>
      <c r="O16" s="2082"/>
      <c r="P16" s="2083"/>
      <c r="Q16" s="2027"/>
      <c r="R16" s="2027"/>
    </row>
    <row r="17" spans="1:22" ht="18" customHeight="1">
      <c r="A17" s="2085" t="s">
        <v>1798</v>
      </c>
      <c r="B17" s="2033" t="s">
        <v>1799</v>
      </c>
      <c r="C17" s="1054">
        <f>'数据-汇总表'!E3</f>
        <v>102921.28</v>
      </c>
      <c r="D17" s="2086" t="s">
        <v>1800</v>
      </c>
      <c r="E17" s="3022" t="s">
        <v>1801</v>
      </c>
      <c r="F17" s="3023"/>
      <c r="G17" s="3023"/>
      <c r="H17" s="3023"/>
      <c r="I17" s="3024"/>
      <c r="J17" s="2027"/>
      <c r="K17" s="2087"/>
      <c r="L17" s="2082"/>
      <c r="M17" s="2082"/>
      <c r="N17" s="2083"/>
      <c r="O17" s="2082"/>
      <c r="P17" s="2083"/>
      <c r="Q17" s="2027"/>
      <c r="R17" s="2027"/>
      <c r="S17" s="2027"/>
      <c r="T17" s="2027"/>
      <c r="U17" s="2027"/>
      <c r="V17" s="2027"/>
    </row>
    <row r="18" spans="1:22" ht="36" customHeight="1" thickBot="1">
      <c r="A18" s="2088" t="s">
        <v>1802</v>
      </c>
      <c r="B18" s="2036" t="s">
        <v>1803</v>
      </c>
      <c r="C18" s="1443">
        <f>'数据-汇总表'!D3</f>
        <v>14193.330000000002</v>
      </c>
      <c r="D18" s="2089" t="s">
        <v>1800</v>
      </c>
      <c r="E18" s="3025" t="s">
        <v>3063</v>
      </c>
      <c r="F18" s="3026"/>
      <c r="G18" s="3026"/>
      <c r="H18" s="3026"/>
      <c r="I18" s="3027"/>
      <c r="J18" s="2027"/>
      <c r="K18" s="2087"/>
      <c r="L18" s="2082"/>
      <c r="M18" s="2082"/>
      <c r="N18" s="2083"/>
      <c r="O18" s="2082"/>
      <c r="P18" s="2083"/>
      <c r="Q18" s="2027"/>
      <c r="R18" s="2027"/>
      <c r="S18" s="2027"/>
      <c r="T18" s="2027"/>
      <c r="U18" s="2027"/>
      <c r="V18" s="2027"/>
    </row>
    <row r="19" spans="1:22" ht="37.5" customHeight="1" thickTop="1" thickBot="1">
      <c r="A19" s="373" t="s">
        <v>1804</v>
      </c>
      <c r="B19" s="352" t="s">
        <v>1805</v>
      </c>
      <c r="C19" s="2090"/>
      <c r="D19" s="2091" t="s">
        <v>1806</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1807</v>
      </c>
      <c r="B20" s="3012" t="s">
        <v>1808</v>
      </c>
      <c r="C20" s="3013"/>
      <c r="D20" s="3014" t="s">
        <v>1809</v>
      </c>
      <c r="E20" s="3015"/>
      <c r="F20" s="2096" t="s">
        <v>1810</v>
      </c>
      <c r="G20" s="2040"/>
      <c r="H20" s="2040"/>
      <c r="I20" s="2040"/>
      <c r="J20" s="2040"/>
      <c r="K20" s="3011"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1812</v>
      </c>
      <c r="C21" s="2098" t="s">
        <v>1813</v>
      </c>
      <c r="D21" s="2099" t="s">
        <v>1814</v>
      </c>
      <c r="E21" s="2100" t="s">
        <v>1813</v>
      </c>
      <c r="F21" s="2101"/>
      <c r="G21" s="2040"/>
      <c r="H21" s="2040"/>
      <c r="I21" s="2040"/>
      <c r="J21" s="2040"/>
      <c r="K21" s="301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1815</v>
      </c>
      <c r="C22" s="2098" t="s">
        <v>1816</v>
      </c>
      <c r="D22" s="2024"/>
      <c r="E22" s="2024"/>
      <c r="F22" s="2103"/>
      <c r="G22" s="2040"/>
      <c r="H22" s="2040"/>
      <c r="I22" s="2040"/>
      <c r="J22" s="2040"/>
      <c r="K22" s="301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1817</v>
      </c>
      <c r="B23" s="183" t="s">
        <v>1818</v>
      </c>
      <c r="C23" s="2105"/>
      <c r="D23" s="2106" t="s">
        <v>1818</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1819</v>
      </c>
      <c r="C24" s="2110"/>
      <c r="D24" s="2104" t="s">
        <v>1819</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1820</v>
      </c>
      <c r="C25" s="2110"/>
      <c r="D25" s="2104" t="s">
        <v>1820</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1821</v>
      </c>
      <c r="C26" s="2114"/>
      <c r="D26" s="2115" t="s">
        <v>1822</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29" t="s">
        <v>1823</v>
      </c>
      <c r="B27" s="2061" t="s">
        <v>1824</v>
      </c>
      <c r="C27" s="2118" t="s">
        <v>3064</v>
      </c>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29"/>
      <c r="B28" s="2033" t="s">
        <v>1825</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29"/>
      <c r="B29" s="2033" t="s">
        <v>1826</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30"/>
      <c r="B30" s="2033" t="s">
        <v>1827</v>
      </c>
      <c r="C30" s="3031"/>
      <c r="D30" s="3032"/>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33" t="s">
        <v>1828</v>
      </c>
      <c r="B31" s="2125" t="s">
        <v>3065</v>
      </c>
      <c r="C31" s="2126" t="str">
        <f>IF(B31="现房","成新及维护状况正常否",IF(B31="在建","工程状态是否正常",IF(B31="土地","是否闲置","-")))</f>
        <v>成新及维护状况正常否</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34"/>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34"/>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1829</v>
      </c>
      <c r="B34" s="2132" t="s">
        <v>3079</v>
      </c>
      <c r="C34" s="2132" t="s">
        <v>3080</v>
      </c>
      <c r="D34" s="2132" t="s">
        <v>3081</v>
      </c>
      <c r="E34" s="2132" t="s">
        <v>3082</v>
      </c>
      <c r="F34" s="2132" t="s">
        <v>3083</v>
      </c>
      <c r="G34" s="2132" t="s">
        <v>3084</v>
      </c>
      <c r="H34" s="2132" t="s">
        <v>3085</v>
      </c>
      <c r="I34" s="2040"/>
      <c r="J34" s="2040"/>
      <c r="K34" s="1794">
        <f>COUNTIF(B34:H34,"——")</f>
        <v>0</v>
      </c>
      <c r="L34" s="2073" t="s">
        <v>1830</v>
      </c>
      <c r="M34" s="2073" t="s">
        <v>1831</v>
      </c>
      <c r="N34" s="2073" t="s">
        <v>1832</v>
      </c>
      <c r="O34" s="2073" t="s">
        <v>1833</v>
      </c>
      <c r="P34" s="2073" t="s">
        <v>1834</v>
      </c>
      <c r="Q34" s="2073" t="s">
        <v>1835</v>
      </c>
      <c r="R34" s="2073" t="s">
        <v>1836</v>
      </c>
      <c r="S34" s="3028" t="s">
        <v>1837</v>
      </c>
      <c r="T34" s="2133" t="str">
        <f>NUMBERSTRING(7-K34,1)&amp;"通"</f>
        <v>七通</v>
      </c>
      <c r="U34" s="2027"/>
      <c r="V34" s="2027"/>
    </row>
    <row r="35" spans="1:22" ht="18" customHeight="1">
      <c r="A35" s="2134"/>
      <c r="B35" s="3035" t="s">
        <v>1838</v>
      </c>
      <c r="C35" s="3035"/>
      <c r="D35" s="3035"/>
      <c r="E35" s="3035"/>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28"/>
      <c r="T35" s="48" t="str">
        <f>IF(T34="一通",L35,IF(T34="二通",M35,IF(T34="三通",N35,IF(T34="四通",O35,IF(T34="五通",P35,IF(T34="六通",Q35,R35))))))</f>
        <v>通路、通电、通讯、通上水、通下水、通热、燃气</v>
      </c>
      <c r="U35" s="2027"/>
      <c r="V35" s="2027"/>
    </row>
    <row r="36" spans="1:22" ht="18" customHeight="1">
      <c r="A36" s="2136"/>
      <c r="B36" s="2135" t="s">
        <v>1839</v>
      </c>
      <c r="C36" s="2135" t="s">
        <v>1840</v>
      </c>
      <c r="D36" s="2135" t="s">
        <v>1841</v>
      </c>
      <c r="E36" s="2135" t="s">
        <v>1842</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1843</v>
      </c>
      <c r="B37" s="2139" t="s">
        <v>269</v>
      </c>
      <c r="C37" s="2139" t="s">
        <v>269</v>
      </c>
      <c r="D37" s="2139" t="s">
        <v>269</v>
      </c>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1844</v>
      </c>
      <c r="B38" s="2141" t="s">
        <v>259</v>
      </c>
      <c r="C38" s="2141" t="s">
        <v>259</v>
      </c>
      <c r="D38" s="2141" t="s">
        <v>259</v>
      </c>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1846</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1847</v>
      </c>
      <c r="B42" s="1794" t="s">
        <v>1848</v>
      </c>
      <c r="C42" s="1794" t="s">
        <v>1849</v>
      </c>
      <c r="D42" s="1794" t="s">
        <v>1850</v>
      </c>
      <c r="E42" s="1794" t="s">
        <v>1851</v>
      </c>
      <c r="F42" s="1794" t="s">
        <v>1852</v>
      </c>
      <c r="G42" s="1794" t="s">
        <v>1853</v>
      </c>
      <c r="H42" s="1794" t="s">
        <v>1854</v>
      </c>
      <c r="I42" s="1794" t="s">
        <v>1855</v>
      </c>
      <c r="J42" s="2151" t="s">
        <v>1856</v>
      </c>
      <c r="K42" s="2074" t="s">
        <v>1857</v>
      </c>
      <c r="L42" s="2074" t="s">
        <v>1858</v>
      </c>
      <c r="M42" s="2074" t="s">
        <v>1859</v>
      </c>
      <c r="N42" s="1794" t="s">
        <v>1860</v>
      </c>
      <c r="O42" s="1794" t="s">
        <v>1861</v>
      </c>
      <c r="P42" s="1794" t="s">
        <v>1862</v>
      </c>
      <c r="Q42" s="2073" t="s">
        <v>1863</v>
      </c>
      <c r="R42" s="2073" t="s">
        <v>1864</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5"/>
  <sheetViews>
    <sheetView topLeftCell="A8" workbookViewId="0">
      <selection activeCell="H30" sqref="H30"/>
    </sheetView>
  </sheetViews>
  <sheetFormatPr defaultRowHeight="14.4"/>
  <cols>
    <col min="1" max="1" width="13.5546875" customWidth="1"/>
    <col min="2" max="2" width="11.6640625" bestFit="1" customWidth="1"/>
    <col min="3" max="3" width="11.6640625" customWidth="1"/>
  </cols>
  <sheetData>
    <row r="1" spans="1:5">
      <c r="A1" s="3295"/>
      <c r="B1" s="3295"/>
      <c r="C1" s="3295"/>
      <c r="D1" s="3295"/>
      <c r="E1" s="3295"/>
    </row>
    <row r="2" spans="1:5">
      <c r="A2" s="3296" t="s">
        <v>3128</v>
      </c>
      <c r="B2" s="3296" t="s">
        <v>3133</v>
      </c>
      <c r="C2" s="3296" t="s">
        <v>3132</v>
      </c>
      <c r="D2" s="3296" t="s">
        <v>1371</v>
      </c>
      <c r="E2" s="3296" t="s">
        <v>3129</v>
      </c>
    </row>
    <row r="3" spans="1:5">
      <c r="A3" s="3296">
        <v>-401</v>
      </c>
      <c r="B3" s="3296">
        <v>1376.76</v>
      </c>
      <c r="C3" s="3296">
        <v>189.86</v>
      </c>
      <c r="D3" s="3296" t="s">
        <v>48</v>
      </c>
      <c r="E3" s="3296">
        <v>-4</v>
      </c>
    </row>
    <row r="4" spans="1:5">
      <c r="A4" s="3296">
        <v>-301</v>
      </c>
      <c r="B4" s="3296">
        <v>20203.439999999999</v>
      </c>
      <c r="C4" s="3296">
        <v>2786.15</v>
      </c>
      <c r="D4" s="3296" t="s">
        <v>48</v>
      </c>
      <c r="E4" s="3296">
        <v>-3</v>
      </c>
    </row>
    <row r="5" spans="1:5">
      <c r="A5" s="3296" t="s">
        <v>3130</v>
      </c>
      <c r="B5" s="3296">
        <f>B3+B4</f>
        <v>21580.199999999997</v>
      </c>
      <c r="C5" s="3296">
        <f>C3+C4</f>
        <v>2976.01</v>
      </c>
      <c r="D5" s="3296" t="s">
        <v>70</v>
      </c>
      <c r="E5" s="3296" t="s">
        <v>70</v>
      </c>
    </row>
    <row r="6" spans="1:5">
      <c r="A6" s="3296">
        <v>-201</v>
      </c>
      <c r="B6" s="3296">
        <v>17068.71</v>
      </c>
      <c r="C6" s="3296">
        <v>2353.86</v>
      </c>
      <c r="D6" s="3296" t="s">
        <v>1373</v>
      </c>
      <c r="E6" s="3296">
        <v>-2</v>
      </c>
    </row>
    <row r="7" spans="1:5">
      <c r="A7" s="3296">
        <v>-202</v>
      </c>
      <c r="B7" s="3296">
        <v>343.07</v>
      </c>
      <c r="C7" s="3296">
        <v>47.31</v>
      </c>
      <c r="D7" s="3296" t="s">
        <v>1373</v>
      </c>
      <c r="E7" s="3296">
        <v>-2</v>
      </c>
    </row>
    <row r="8" spans="1:5">
      <c r="A8" s="3296">
        <v>-203</v>
      </c>
      <c r="B8" s="3296">
        <v>416.31</v>
      </c>
      <c r="C8" s="3296">
        <v>57.41</v>
      </c>
      <c r="D8" s="3296" t="s">
        <v>1373</v>
      </c>
      <c r="E8" s="3296">
        <v>-2</v>
      </c>
    </row>
    <row r="9" spans="1:5">
      <c r="A9" s="3296">
        <v>-204</v>
      </c>
      <c r="B9" s="3296">
        <v>640.02</v>
      </c>
      <c r="C9" s="3296">
        <v>88.26</v>
      </c>
      <c r="D9" s="3296" t="s">
        <v>1373</v>
      </c>
      <c r="E9" s="3296">
        <v>-2</v>
      </c>
    </row>
    <row r="10" spans="1:5">
      <c r="A10" s="3296">
        <v>-205</v>
      </c>
      <c r="B10" s="3296">
        <v>481.38</v>
      </c>
      <c r="C10" s="3296">
        <v>66.38</v>
      </c>
      <c r="D10" s="3296" t="s">
        <v>1373</v>
      </c>
      <c r="E10" s="3296">
        <v>-2</v>
      </c>
    </row>
    <row r="11" spans="1:5">
      <c r="A11" s="3296">
        <v>-206</v>
      </c>
      <c r="B11" s="3296">
        <v>497.66</v>
      </c>
      <c r="C11" s="3296">
        <v>68.63</v>
      </c>
      <c r="D11" s="3296" t="s">
        <v>1373</v>
      </c>
      <c r="E11" s="3296">
        <v>-2</v>
      </c>
    </row>
    <row r="12" spans="1:5">
      <c r="A12" s="3296">
        <v>-207</v>
      </c>
      <c r="B12" s="3296">
        <v>524.36</v>
      </c>
      <c r="C12" s="3296">
        <v>72.31</v>
      </c>
      <c r="D12" s="3296" t="s">
        <v>1373</v>
      </c>
      <c r="E12" s="3296">
        <v>-2</v>
      </c>
    </row>
    <row r="13" spans="1:5">
      <c r="A13" s="3296">
        <v>-208</v>
      </c>
      <c r="B13" s="3296">
        <v>1105.0899999999999</v>
      </c>
      <c r="C13" s="3296">
        <v>152.4</v>
      </c>
      <c r="D13" s="3296" t="s">
        <v>1373</v>
      </c>
      <c r="E13" s="3296">
        <v>-2</v>
      </c>
    </row>
    <row r="14" spans="1:5">
      <c r="A14" s="3296">
        <v>-209</v>
      </c>
      <c r="B14" s="3296">
        <v>304.58</v>
      </c>
      <c r="C14" s="3296">
        <v>42</v>
      </c>
      <c r="D14" s="3296" t="s">
        <v>1373</v>
      </c>
      <c r="E14" s="3296">
        <v>-2</v>
      </c>
    </row>
    <row r="15" spans="1:5">
      <c r="A15" s="3296">
        <v>-210</v>
      </c>
      <c r="B15" s="3296">
        <v>862.98</v>
      </c>
      <c r="C15" s="3296">
        <v>119.01</v>
      </c>
      <c r="D15" s="3296" t="s">
        <v>1373</v>
      </c>
      <c r="E15" s="3296">
        <v>-2</v>
      </c>
    </row>
    <row r="16" spans="1:5">
      <c r="A16" s="3296">
        <v>-211</v>
      </c>
      <c r="B16" s="3296">
        <v>681.78</v>
      </c>
      <c r="C16" s="3296">
        <v>94.02</v>
      </c>
      <c r="D16" s="3296" t="s">
        <v>1373</v>
      </c>
      <c r="E16" s="3296">
        <v>-2</v>
      </c>
    </row>
    <row r="17" spans="1:5">
      <c r="A17" s="3296" t="s">
        <v>40</v>
      </c>
      <c r="B17" s="3296">
        <f>SUM(B6:B16)</f>
        <v>22925.940000000002</v>
      </c>
      <c r="C17" s="3296">
        <f>SUM(C6:C16)</f>
        <v>3161.5900000000006</v>
      </c>
      <c r="D17" s="3296" t="s">
        <v>70</v>
      </c>
      <c r="E17" s="3296" t="s">
        <v>70</v>
      </c>
    </row>
    <row r="18" spans="1:5">
      <c r="A18" s="3296">
        <v>-101</v>
      </c>
      <c r="B18" s="3296">
        <v>12979.78</v>
      </c>
      <c r="C18" s="3296">
        <v>1789.98</v>
      </c>
      <c r="D18" s="3296" t="s">
        <v>1373</v>
      </c>
      <c r="E18" s="3296">
        <v>-1</v>
      </c>
    </row>
    <row r="19" spans="1:5">
      <c r="A19" s="3296">
        <v>-102</v>
      </c>
      <c r="B19" s="3296">
        <v>155.13999999999999</v>
      </c>
      <c r="C19" s="3296">
        <v>21.39</v>
      </c>
      <c r="D19" s="3296" t="s">
        <v>1373</v>
      </c>
      <c r="E19" s="3296">
        <v>-1</v>
      </c>
    </row>
    <row r="20" spans="1:5">
      <c r="A20" s="3296">
        <v>-103</v>
      </c>
      <c r="B20" s="3296">
        <v>600.48</v>
      </c>
      <c r="C20" s="3296">
        <v>82.81</v>
      </c>
      <c r="D20" s="3296" t="s">
        <v>1373</v>
      </c>
      <c r="E20" s="3296">
        <v>-1</v>
      </c>
    </row>
    <row r="21" spans="1:5">
      <c r="A21" s="3296">
        <v>-104</v>
      </c>
      <c r="B21" s="3296">
        <v>151.77000000000001</v>
      </c>
      <c r="C21" s="3296">
        <v>20.93</v>
      </c>
      <c r="D21" s="3296" t="s">
        <v>1373</v>
      </c>
      <c r="E21" s="3296">
        <v>-1</v>
      </c>
    </row>
    <row r="22" spans="1:5">
      <c r="A22" s="3296">
        <v>-105</v>
      </c>
      <c r="B22" s="3296">
        <v>228.61</v>
      </c>
      <c r="C22" s="3296">
        <v>31.53</v>
      </c>
      <c r="D22" s="3296" t="s">
        <v>1373</v>
      </c>
      <c r="E22" s="3296">
        <v>-1</v>
      </c>
    </row>
    <row r="23" spans="1:5">
      <c r="A23" s="3296" t="s">
        <v>40</v>
      </c>
      <c r="B23" s="3296">
        <f>SUM(B18:B22)</f>
        <v>14115.78</v>
      </c>
      <c r="C23" s="3296">
        <f>SUM(C18:C22)</f>
        <v>1946.64</v>
      </c>
      <c r="D23" s="3296" t="s">
        <v>70</v>
      </c>
      <c r="E23" s="3296" t="s">
        <v>70</v>
      </c>
    </row>
    <row r="24" spans="1:5">
      <c r="A24" s="3296">
        <v>101</v>
      </c>
      <c r="B24" s="3296">
        <v>118.12</v>
      </c>
      <c r="C24" s="3296">
        <v>16.29</v>
      </c>
      <c r="D24" s="3296" t="s">
        <v>1373</v>
      </c>
      <c r="E24" s="3296">
        <v>1</v>
      </c>
    </row>
    <row r="25" spans="1:5">
      <c r="A25" s="3296">
        <v>102</v>
      </c>
      <c r="B25" s="3296">
        <v>37.57</v>
      </c>
      <c r="C25" s="3296">
        <v>5.18</v>
      </c>
      <c r="D25" s="3296" t="s">
        <v>1373</v>
      </c>
      <c r="E25" s="3296">
        <v>1</v>
      </c>
    </row>
    <row r="26" spans="1:5">
      <c r="A26" s="3296">
        <v>103</v>
      </c>
      <c r="B26" s="3296">
        <v>42.23</v>
      </c>
      <c r="C26" s="3296">
        <v>5.82</v>
      </c>
      <c r="D26" s="3296" t="s">
        <v>1373</v>
      </c>
      <c r="E26" s="3296">
        <v>1</v>
      </c>
    </row>
    <row r="27" spans="1:5">
      <c r="A27" s="3296">
        <v>104</v>
      </c>
      <c r="B27" s="3296">
        <v>107.48</v>
      </c>
      <c r="C27" s="3296">
        <v>14.82</v>
      </c>
      <c r="D27" s="3296" t="s">
        <v>1373</v>
      </c>
      <c r="E27" s="3296">
        <v>1</v>
      </c>
    </row>
    <row r="28" spans="1:5">
      <c r="A28" s="3296">
        <v>105</v>
      </c>
      <c r="B28" s="3296">
        <v>250.32</v>
      </c>
      <c r="C28" s="3296">
        <v>34.520000000000003</v>
      </c>
      <c r="D28" s="3296" t="s">
        <v>1373</v>
      </c>
      <c r="E28" s="3296">
        <v>1</v>
      </c>
    </row>
    <row r="29" spans="1:5">
      <c r="A29" s="3296">
        <v>106</v>
      </c>
      <c r="B29" s="3296">
        <v>255.7</v>
      </c>
      <c r="C29" s="3296">
        <v>35.26</v>
      </c>
      <c r="D29" s="3296" t="s">
        <v>1373</v>
      </c>
      <c r="E29" s="3296">
        <v>1</v>
      </c>
    </row>
    <row r="30" spans="1:5">
      <c r="A30" s="3296">
        <v>108</v>
      </c>
      <c r="B30" s="3296">
        <v>13118.34</v>
      </c>
      <c r="C30" s="3296">
        <v>1809.08</v>
      </c>
      <c r="D30" s="3296" t="s">
        <v>1373</v>
      </c>
      <c r="E30" s="3296">
        <v>1</v>
      </c>
    </row>
    <row r="31" spans="1:5">
      <c r="A31" s="3296" t="s">
        <v>40</v>
      </c>
      <c r="B31" s="3296">
        <f>SUM(B24:B30)</f>
        <v>13929.76</v>
      </c>
      <c r="C31" s="3296">
        <f>SUM(C24:C30)</f>
        <v>1920.9699999999998</v>
      </c>
      <c r="D31" s="3296" t="s">
        <v>70</v>
      </c>
      <c r="E31" s="3296" t="s">
        <v>70</v>
      </c>
    </row>
    <row r="32" spans="1:5">
      <c r="A32" s="3296">
        <v>201</v>
      </c>
      <c r="B32" s="3296">
        <v>15038.23</v>
      </c>
      <c r="C32" s="3296">
        <v>2073.85</v>
      </c>
      <c r="D32" s="3296" t="s">
        <v>1373</v>
      </c>
      <c r="E32" s="3296">
        <v>2</v>
      </c>
    </row>
    <row r="33" spans="1:5">
      <c r="A33" s="3296">
        <v>301</v>
      </c>
      <c r="B33" s="3296">
        <v>15331.37</v>
      </c>
      <c r="C33" s="3296">
        <v>2114.27</v>
      </c>
      <c r="D33" s="3296" t="s">
        <v>1373</v>
      </c>
      <c r="E33" s="3296">
        <v>3</v>
      </c>
    </row>
    <row r="34" spans="1:5">
      <c r="A34" s="3296" t="s">
        <v>3131</v>
      </c>
      <c r="B34" s="3296">
        <f>B33+B32+B31+B23+B17</f>
        <v>81341.08</v>
      </c>
      <c r="C34" s="3296">
        <f>C33+C32+C31+C23+C17</f>
        <v>11217.320000000002</v>
      </c>
      <c r="D34" s="3296" t="s">
        <v>70</v>
      </c>
      <c r="E34" s="3296" t="s">
        <v>70</v>
      </c>
    </row>
    <row r="35" spans="1:5">
      <c r="A35" s="3296" t="s">
        <v>37</v>
      </c>
      <c r="B35" s="3297">
        <f>B34+B5</f>
        <v>102921.28</v>
      </c>
      <c r="C35" s="3297">
        <f>C34+C5</f>
        <v>14193.330000000002</v>
      </c>
      <c r="D35" s="3296" t="s">
        <v>70</v>
      </c>
      <c r="E35" s="3296" t="s">
        <v>70</v>
      </c>
    </row>
  </sheetData>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M13" activePane="bottomRight" state="frozen"/>
      <selection activeCell="C50" sqref="C50"/>
      <selection pane="topRight" activeCell="C50" sqref="C50"/>
      <selection pane="bottomLeft" activeCell="C50" sqref="C50"/>
      <selection pane="bottomRight" activeCell="AY4" sqref="AY4"/>
    </sheetView>
  </sheetViews>
  <sheetFormatPr defaultColWidth="8.88671875" defaultRowHeight="13.8"/>
  <cols>
    <col min="1" max="1" width="10.6640625" style="2158" customWidth="1"/>
    <col min="2" max="2" width="11" style="2158" customWidth="1"/>
    <col min="3" max="3" width="10.33203125" style="2158" customWidth="1"/>
    <col min="4" max="4" width="9.109375" style="2158" customWidth="1"/>
    <col min="5" max="6" width="10" style="2221" customWidth="1"/>
    <col min="7" max="8" width="10" style="2158" customWidth="1"/>
    <col min="9" max="9" width="10.6640625" style="2158" customWidth="1"/>
    <col min="10" max="10" width="9.44140625" style="2158" customWidth="1"/>
    <col min="11" max="11" width="11" style="2158" customWidth="1"/>
    <col min="12" max="12" width="9.44140625" style="2158" hidden="1" customWidth="1"/>
    <col min="13" max="14" width="9.44140625" style="2158" customWidth="1"/>
    <col min="15" max="15" width="9.88671875" style="2158" customWidth="1"/>
    <col min="16" max="16" width="9.77734375" style="2158" customWidth="1"/>
    <col min="17" max="17" width="9.33203125" style="2158" customWidth="1"/>
    <col min="18" max="18" width="9.21875" style="2158" customWidth="1"/>
    <col min="19" max="19" width="10.88671875" style="2158" customWidth="1"/>
    <col min="20" max="21" width="10.77734375" style="2158" customWidth="1"/>
    <col min="22" max="22" width="10.88671875" style="2158" customWidth="1"/>
    <col min="23" max="27" width="10.77734375" style="2158" customWidth="1"/>
    <col min="28" max="28" width="10.88671875" style="2158" customWidth="1"/>
    <col min="29" max="29" width="11" style="2158" bestFit="1" customWidth="1"/>
    <col min="30" max="30" width="10" style="2158" bestFit="1" customWidth="1"/>
    <col min="31" max="31" width="9.77734375" style="2158" customWidth="1"/>
    <col min="32"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c r="B3" s="14">
        <f>IF(C3="否",G5-AT5,G5)</f>
        <v>102921.28</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3298">
        <f>面积表!C35</f>
        <v>14193.330000000002</v>
      </c>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1874</v>
      </c>
      <c r="B5" s="1802"/>
      <c r="C5" s="1802"/>
      <c r="D5" s="1805"/>
      <c r="E5" s="16" t="s">
        <v>1</v>
      </c>
      <c r="F5" s="16">
        <f>SUM(F13:F587)</f>
        <v>0</v>
      </c>
      <c r="G5" s="16">
        <f>SUM(G13:G587)</f>
        <v>102921.28</v>
      </c>
      <c r="H5" s="16">
        <f t="shared" ref="H5:AT5" si="0">SUM(H13:H656)</f>
        <v>102921.28</v>
      </c>
      <c r="I5" s="16">
        <f t="shared" si="0"/>
        <v>44299.360000000001</v>
      </c>
      <c r="J5" s="16">
        <f t="shared" si="0"/>
        <v>0</v>
      </c>
      <c r="K5" s="16">
        <f t="shared" si="0"/>
        <v>37041.72</v>
      </c>
      <c r="L5" s="16">
        <f t="shared" si="0"/>
        <v>0</v>
      </c>
      <c r="M5" s="16">
        <f t="shared" si="0"/>
        <v>21580.2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102921.28</v>
      </c>
      <c r="BA5" s="18">
        <f t="shared" si="1"/>
        <v>102921.28</v>
      </c>
      <c r="BB5" s="18">
        <f t="shared" si="1"/>
        <v>44299.360000000001</v>
      </c>
      <c r="BC5" s="18">
        <f t="shared" si="1"/>
        <v>37041.72</v>
      </c>
      <c r="BD5" s="18">
        <f t="shared" si="1"/>
        <v>21580.2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3.2">
      <c r="A6" s="15" t="s">
        <v>1875</v>
      </c>
      <c r="B6" s="2173"/>
      <c r="C6" s="2173"/>
      <c r="D6" s="2174"/>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14193.330000000002</v>
      </c>
      <c r="AZ6" s="16" t="s">
        <v>3</v>
      </c>
      <c r="BA6" s="16">
        <f>ROUND($AY$6*BA5/$AZ$5,2)</f>
        <v>14193.33</v>
      </c>
      <c r="BB6" s="16">
        <f>ROUND($AY$6*BB5/$AZ$5,2)</f>
        <v>6109.09</v>
      </c>
      <c r="BC6" s="16">
        <f t="shared" ref="BC6:BH6" si="4">ROUND($AY$6*BC5/$AZ$5,2)</f>
        <v>5108.2299999999996</v>
      </c>
      <c r="BD6" s="16">
        <f t="shared" si="4"/>
        <v>2976.01</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5.2">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1" t="s">
        <v>1890</v>
      </c>
      <c r="AU8" s="2181" t="s">
        <v>1891</v>
      </c>
      <c r="AV8" s="1291"/>
      <c r="AW8" s="2164"/>
      <c r="AX8" s="1291"/>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3.2">
      <c r="A9" s="2181"/>
      <c r="B9" s="2181"/>
      <c r="C9" s="2181"/>
      <c r="D9" s="2181"/>
      <c r="E9" s="2181"/>
      <c r="F9" s="2181"/>
      <c r="G9" s="1291"/>
      <c r="H9" s="2189" t="s">
        <v>1894</v>
      </c>
      <c r="I9" s="2190" t="s">
        <v>3067</v>
      </c>
      <c r="J9" s="981"/>
      <c r="K9" s="2190" t="s">
        <v>3072</v>
      </c>
      <c r="L9" s="981"/>
      <c r="M9" s="2190" t="s">
        <v>3072</v>
      </c>
      <c r="N9" s="981"/>
      <c r="O9" s="2190"/>
      <c r="P9" s="981"/>
      <c r="Q9" s="2190"/>
      <c r="R9" s="981"/>
      <c r="S9" s="2190"/>
      <c r="T9" s="981"/>
      <c r="U9" s="2190"/>
      <c r="V9" s="981"/>
      <c r="W9" s="2190"/>
      <c r="X9" s="2191"/>
      <c r="Y9" s="2190"/>
      <c r="Z9" s="981"/>
      <c r="AA9" s="2190"/>
      <c r="AB9" s="981"/>
      <c r="AC9" s="2182"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92"/>
      <c r="AT9" s="2181"/>
      <c r="AU9" s="2181" t="s">
        <v>1897</v>
      </c>
      <c r="AV9" s="1291"/>
      <c r="AW9" s="2164"/>
      <c r="AX9" s="1291"/>
      <c r="AY9" s="28"/>
      <c r="AZ9" s="28" t="s">
        <v>1887</v>
      </c>
      <c r="BA9" s="2193" t="s">
        <v>1898</v>
      </c>
      <c r="BB9" s="2194"/>
      <c r="BC9" s="1337"/>
      <c r="BD9" s="1337"/>
      <c r="BE9" s="1337"/>
      <c r="BF9" s="1337"/>
      <c r="BG9" s="1337"/>
      <c r="BH9" s="1337"/>
      <c r="BI9" s="1337"/>
      <c r="BJ9" s="1337"/>
      <c r="BK9" s="2195"/>
      <c r="BL9" s="15" t="s">
        <v>1899</v>
      </c>
      <c r="BM9" s="1817"/>
      <c r="BN9" s="2184"/>
      <c r="BO9" s="1817"/>
      <c r="BP9" s="1817"/>
      <c r="BQ9" s="1817"/>
      <c r="BR9" s="1817"/>
      <c r="BS9" s="1817"/>
      <c r="BT9" s="26"/>
    </row>
    <row r="10" spans="1:72" s="2188" customFormat="1" ht="13.2">
      <c r="A10" s="2181"/>
      <c r="B10" s="2181"/>
      <c r="C10" s="2181"/>
      <c r="D10" s="2181"/>
      <c r="E10" s="2181"/>
      <c r="F10" s="2181"/>
      <c r="G10" s="1291"/>
      <c r="H10" s="28"/>
      <c r="I10" s="2190" t="s">
        <v>1373</v>
      </c>
      <c r="J10" s="981"/>
      <c r="K10" s="2196" t="s">
        <v>1373</v>
      </c>
      <c r="L10" s="981"/>
      <c r="M10" s="2196" t="s">
        <v>3075</v>
      </c>
      <c r="N10" s="981"/>
      <c r="O10" s="2196"/>
      <c r="P10" s="981"/>
      <c r="Q10" s="2196"/>
      <c r="R10" s="981"/>
      <c r="S10" s="2196"/>
      <c r="T10" s="981"/>
      <c r="U10" s="2196"/>
      <c r="V10" s="981"/>
      <c r="W10" s="2196"/>
      <c r="X10" s="981"/>
      <c r="Y10" s="2196"/>
      <c r="Z10" s="981"/>
      <c r="AA10" s="2196"/>
      <c r="AB10" s="981"/>
      <c r="AC10" s="1291"/>
      <c r="AD10" s="15" t="s">
        <v>1900</v>
      </c>
      <c r="AE10" s="2197"/>
      <c r="AF10" s="15" t="s">
        <v>1900</v>
      </c>
      <c r="AG10" s="2197"/>
      <c r="AH10" s="15" t="s">
        <v>1901</v>
      </c>
      <c r="AI10" s="2197"/>
      <c r="AJ10" s="15" t="s">
        <v>1901</v>
      </c>
      <c r="AK10" s="2197"/>
      <c r="AL10" s="15" t="s">
        <v>1902</v>
      </c>
      <c r="AM10" s="1297"/>
      <c r="AN10" s="15" t="s">
        <v>1902</v>
      </c>
      <c r="AO10" s="1297"/>
      <c r="AP10" s="15" t="s">
        <v>1903</v>
      </c>
      <c r="AQ10" s="1297"/>
      <c r="AR10" s="15" t="s">
        <v>1903</v>
      </c>
      <c r="AS10" s="1297"/>
      <c r="AT10" s="2181"/>
      <c r="AU10" s="2181"/>
      <c r="AV10" s="1291"/>
      <c r="AW10" s="2164"/>
      <c r="AX10" s="1291"/>
      <c r="AY10" s="28"/>
      <c r="AZ10" s="28"/>
      <c r="BA10" s="2198" t="s">
        <v>1894</v>
      </c>
      <c r="BB10" s="2199" t="str">
        <f>I9</f>
        <v>地上</v>
      </c>
      <c r="BC10" s="29" t="str">
        <f>K9</f>
        <v>地下</v>
      </c>
      <c r="BD10" s="29" t="str">
        <f>M9</f>
        <v>地下</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3.2">
      <c r="A11" s="2181"/>
      <c r="B11" s="2181"/>
      <c r="C11" s="2181"/>
      <c r="D11" s="2181"/>
      <c r="E11" s="2181"/>
      <c r="F11" s="2181"/>
      <c r="G11" s="1291"/>
      <c r="H11" s="2198"/>
      <c r="I11" s="2201" t="s">
        <v>3068</v>
      </c>
      <c r="J11" s="2202"/>
      <c r="K11" s="2201" t="s">
        <v>3068</v>
      </c>
      <c r="L11" s="2202"/>
      <c r="M11" s="2201" t="s">
        <v>3075</v>
      </c>
      <c r="N11" s="2202"/>
      <c r="O11" s="2201"/>
      <c r="P11" s="2202"/>
      <c r="Q11" s="2201"/>
      <c r="R11" s="2202"/>
      <c r="S11" s="2201"/>
      <c r="T11" s="2202"/>
      <c r="U11" s="2201"/>
      <c r="V11" s="2202"/>
      <c r="W11" s="2201"/>
      <c r="X11" s="2202"/>
      <c r="Y11" s="2201"/>
      <c r="Z11" s="2202"/>
      <c r="AA11" s="2201"/>
      <c r="AB11" s="2202"/>
      <c r="AC11" s="1291"/>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1"/>
      <c r="AW11" s="2164"/>
      <c r="AX11" s="1291"/>
      <c r="AY11" s="28"/>
      <c r="AZ11" s="28"/>
      <c r="BA11" s="28"/>
      <c r="BB11" s="2186" t="str">
        <f>I10</f>
        <v>商业</v>
      </c>
      <c r="BC11" s="2186" t="str">
        <f>K10</f>
        <v>商业</v>
      </c>
      <c r="BD11" s="2186" t="str">
        <f>M10</f>
        <v>车库</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独立商业</v>
      </c>
      <c r="BC12" s="2211" t="str">
        <f>K11</f>
        <v>独立商业</v>
      </c>
      <c r="BD12" s="2211" t="str">
        <f>M11</f>
        <v>车库</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39.6">
      <c r="A13" s="2953" t="s">
        <v>3077</v>
      </c>
      <c r="B13" s="1271"/>
      <c r="C13" s="1271" t="s">
        <v>3069</v>
      </c>
      <c r="D13" s="2212" t="s">
        <v>3066</v>
      </c>
      <c r="E13" s="16">
        <f>IF($C$3="是",ROUND($A$3*G13/$B$3,2),ROUND($A$3*(G13-AT13)/$B$3,2))</f>
        <v>0</v>
      </c>
      <c r="F13" s="32"/>
      <c r="G13" s="33">
        <f>H13+AC13+AT13</f>
        <v>13929.76</v>
      </c>
      <c r="H13" s="20">
        <f>SUMIF(I$12:AB$12,"总值",I13:AB13)</f>
        <v>13929.76</v>
      </c>
      <c r="I13" s="2213">
        <f>1257.09+13118.34-445.67</f>
        <v>13929.76</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土地面积依据世联报告</v>
      </c>
      <c r="AW13" s="11">
        <f t="shared" si="6"/>
        <v>0</v>
      </c>
      <c r="AX13" s="11" t="str">
        <f t="shared" si="6"/>
        <v>1层</v>
      </c>
      <c r="AY13" s="1805">
        <f>ROUND($AY$6*AZ13/$AZ$5,2)</f>
        <v>1920.98</v>
      </c>
      <c r="AZ13" s="16">
        <f>BA13+BL13</f>
        <v>13929.76</v>
      </c>
      <c r="BA13" s="16">
        <f>SUM(BB13:BK13)</f>
        <v>13929.76</v>
      </c>
      <c r="BB13" s="16">
        <f>IF($D13="是",I13-J13,0)</f>
        <v>13929.76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1"/>
      <c r="B14" s="1271"/>
      <c r="C14" s="1271" t="s">
        <v>3070</v>
      </c>
      <c r="D14" s="2212" t="s">
        <v>3066</v>
      </c>
      <c r="E14" s="16">
        <f>IF($C$3="是",ROUND($A$3*G14/$B$3,2),ROUND($A$3*(G14-AT14)/$B$3,2))</f>
        <v>0</v>
      </c>
      <c r="F14" s="32"/>
      <c r="G14" s="33">
        <f>H14+AC14+AT14</f>
        <v>15038.23</v>
      </c>
      <c r="H14" s="20">
        <f>SUMIF(I$12:AB$12,"总值",I14:AB14)</f>
        <v>15038.23</v>
      </c>
      <c r="I14" s="2213">
        <v>15038.23</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2层</v>
      </c>
      <c r="AY14" s="1805">
        <f>ROUND($AY$6*AZ14/$AZ$5,2)</f>
        <v>2073.84</v>
      </c>
      <c r="AZ14" s="16">
        <f>BA14+BL14</f>
        <v>15038.23</v>
      </c>
      <c r="BA14" s="16">
        <f>SUM(BB14:BK14)</f>
        <v>15038.23</v>
      </c>
      <c r="BB14" s="16">
        <f>IF($D14="是",I14-J14,0)</f>
        <v>15038.23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3.2">
      <c r="A15" s="1271"/>
      <c r="B15" s="1271"/>
      <c r="C15" s="1271" t="s">
        <v>3071</v>
      </c>
      <c r="D15" s="2212" t="s">
        <v>3066</v>
      </c>
      <c r="E15" s="16">
        <f>IF($C$3="是",ROUND($A$3*G15/$B$3,2),ROUND($A$3*(G15-AT15)/$B$3,2))</f>
        <v>0</v>
      </c>
      <c r="F15" s="32"/>
      <c r="G15" s="33">
        <f>H15+AC15+AT15</f>
        <v>15331.37</v>
      </c>
      <c r="H15" s="20">
        <f>SUMIF(I$12:AB$12,"总值",I15:AB15)</f>
        <v>15331.37</v>
      </c>
      <c r="I15" s="2213">
        <v>15331.37</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3层</v>
      </c>
      <c r="AY15" s="1805">
        <f>ROUND($AY$6*AZ15/$AZ$5,2)</f>
        <v>2114.27</v>
      </c>
      <c r="AZ15" s="16">
        <f>BA15+BL15</f>
        <v>15331.37</v>
      </c>
      <c r="BA15" s="16">
        <f>SUM(BB15:BK15)</f>
        <v>15331.37</v>
      </c>
      <c r="BB15" s="16">
        <f>IF($D15="是",I15-J15,0)</f>
        <v>15331.37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1"/>
      <c r="B16" s="1271"/>
      <c r="C16" s="1271" t="s">
        <v>3073</v>
      </c>
      <c r="D16" s="2212" t="s">
        <v>3066</v>
      </c>
      <c r="E16" s="16">
        <f>IF($C$3="是",ROUND($A$3*G16/$B$3,2),ROUND($A$3*(G16-AT16)/$B$3,2))</f>
        <v>0</v>
      </c>
      <c r="F16" s="32"/>
      <c r="G16" s="33">
        <f>H16+AC16+AT16</f>
        <v>14115.78</v>
      </c>
      <c r="H16" s="20">
        <f>SUMIF(I$12:AB$12,"总值",I16:AB16)</f>
        <v>14115.78</v>
      </c>
      <c r="I16" s="2213"/>
      <c r="J16" s="2213"/>
      <c r="K16" s="2213">
        <v>14115.78</v>
      </c>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t="str">
        <f t="shared" si="6"/>
        <v>B1</v>
      </c>
      <c r="AY16" s="1805">
        <f>ROUND($AY$6*AZ16/$AZ$5,2)</f>
        <v>1946.63</v>
      </c>
      <c r="AZ16" s="16">
        <f>BA16+BL16</f>
        <v>14115.78</v>
      </c>
      <c r="BA16" s="16">
        <f>SUM(BB16:BK16)</f>
        <v>14115.78</v>
      </c>
      <c r="BB16" s="16">
        <f>IF($D16="是",I16-J16,0)</f>
        <v>0</v>
      </c>
      <c r="BC16" s="16">
        <f>IF($D16="是",K16-L16,0)</f>
        <v>14115.78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3.2">
      <c r="A17" s="1271"/>
      <c r="B17" s="1271"/>
      <c r="C17" s="1271" t="s">
        <v>3074</v>
      </c>
      <c r="D17" s="2212" t="s">
        <v>3066</v>
      </c>
      <c r="E17" s="16">
        <f>IF($C$3="是",ROUND($A$3*G17/$B$3,2),ROUND($A$3*(G17-AT17)/$B$3,2))</f>
        <v>0</v>
      </c>
      <c r="F17" s="32"/>
      <c r="G17" s="33">
        <f>H17+AC17+AT17</f>
        <v>22925.94</v>
      </c>
      <c r="H17" s="20">
        <f>SUMIF(I$12:AB$12,"总值",I17:AB17)</f>
        <v>22925.94</v>
      </c>
      <c r="I17" s="2213"/>
      <c r="J17" s="2213"/>
      <c r="K17" s="2213">
        <v>22925.94</v>
      </c>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B2</v>
      </c>
      <c r="AY17" s="1805">
        <f>ROUND($AY$6*AZ17/$AZ$5,2)</f>
        <v>3161.6</v>
      </c>
      <c r="AZ17" s="16">
        <f>BA17+BL17</f>
        <v>22925.94</v>
      </c>
      <c r="BA17" s="16">
        <f>SUM(BB17:BK17)</f>
        <v>22925.94</v>
      </c>
      <c r="BB17" s="16">
        <f>IF($D17="是",I17-J17,0)</f>
        <v>0</v>
      </c>
      <c r="BC17" s="16">
        <f>IF($D17="是",K17-L17,0)</f>
        <v>22925.94</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4.4">
      <c r="A18" s="9"/>
      <c r="B18" s="34"/>
      <c r="C18" s="34" t="s">
        <v>3076</v>
      </c>
      <c r="D18" s="2217" t="s">
        <v>3066</v>
      </c>
      <c r="E18" s="35">
        <f t="shared" ref="E18:E112" si="7">IF($C$3="是",ROUND($A$3*G18/$B$3,2),ROUND($A$3*(G18-AT18)/$B$3,2))</f>
        <v>0</v>
      </c>
      <c r="F18" s="36"/>
      <c r="G18" s="37">
        <f t="shared" ref="G18:G109" si="8">H18+AC18+AT18</f>
        <v>21580.2</v>
      </c>
      <c r="H18" s="38">
        <f t="shared" ref="H18:H109" si="9">SUMIF(I$12:AB$12,"总值",I18:AB18)</f>
        <v>21580.2</v>
      </c>
      <c r="I18" s="39"/>
      <c r="J18" s="39"/>
      <c r="K18" s="39"/>
      <c r="L18" s="39"/>
      <c r="M18" s="2213">
        <v>21580.2</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t="str">
        <f t="shared" ref="AX18:AX112" si="13">C18</f>
        <v>B3、B4</v>
      </c>
      <c r="AY18" s="42">
        <f t="shared" ref="AY18:AY109" si="14">ROUND($AY$6*AZ18/$AZ$5,2)</f>
        <v>2976.01</v>
      </c>
      <c r="AZ18" s="35">
        <f t="shared" ref="AZ18:AZ109" si="15">BA18+BL18</f>
        <v>21580.2</v>
      </c>
      <c r="BA18" s="35">
        <f t="shared" ref="BA18:BA109" si="16">SUM(BB18:BK18)</f>
        <v>21580.2</v>
      </c>
      <c r="BB18" s="35">
        <f t="shared" ref="BB18:BB109" si="17">IF($D18="是",I18-J18,0)</f>
        <v>0</v>
      </c>
      <c r="BC18" s="35">
        <f t="shared" ref="BC18:BC109" si="18">IF($D18="是",K18-L18,0)</f>
        <v>0</v>
      </c>
      <c r="BD18" s="35">
        <f t="shared" ref="BD18:BD109" si="19">IF($D18="是",M18-N18,0)</f>
        <v>21580.2</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46.8">
      <c r="A3" s="3036"/>
      <c r="B3" s="3036"/>
      <c r="C3" s="3036"/>
      <c r="D3" s="3037"/>
      <c r="E3" s="303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G19" sqref="G19"/>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1933</v>
      </c>
      <c r="B1" s="1391"/>
      <c r="C1" s="1391"/>
      <c r="D1" s="1391"/>
      <c r="E1" s="1391"/>
      <c r="F1" s="1391"/>
      <c r="G1" s="1391"/>
      <c r="H1" s="1391"/>
      <c r="I1" s="1391"/>
      <c r="J1" s="1391"/>
      <c r="K1" s="1391"/>
      <c r="L1" s="1391"/>
      <c r="M1" s="1391"/>
      <c r="N1" s="1391"/>
      <c r="O1" s="1391"/>
      <c r="P1" s="1391"/>
    </row>
    <row r="2" spans="1:16" ht="14.4">
      <c r="A2" s="3047" t="s">
        <v>1934</v>
      </c>
      <c r="B2" s="3047"/>
      <c r="C2" s="3047"/>
      <c r="D2" s="967" t="s">
        <v>1910</v>
      </c>
      <c r="E2" s="2226" t="s">
        <v>1911</v>
      </c>
      <c r="F2" s="1391"/>
      <c r="G2" s="2227"/>
      <c r="H2" s="2228"/>
      <c r="I2" s="2229" t="s">
        <v>1935</v>
      </c>
      <c r="J2" s="1391"/>
      <c r="K2" s="1391"/>
      <c r="L2" s="1391"/>
      <c r="M2" s="1391"/>
      <c r="N2" s="1426"/>
      <c r="O2" s="1391"/>
      <c r="P2" s="1391"/>
    </row>
    <row r="3" spans="1:16" ht="15" thickBot="1">
      <c r="A3" s="3048" t="s">
        <v>1908</v>
      </c>
      <c r="B3" s="3048"/>
      <c r="C3" s="3048"/>
      <c r="D3" s="46">
        <f>'数据-基础表'!AY6</f>
        <v>14193.330000000002</v>
      </c>
      <c r="E3" s="46">
        <f>'数据-基础表'!AZ5</f>
        <v>102921.28</v>
      </c>
      <c r="F3" s="1391"/>
      <c r="G3" s="1398"/>
      <c r="H3" s="1247" t="s">
        <v>1909</v>
      </c>
      <c r="I3" s="55" t="e">
        <f>ROUND('数据-基础表'!B3/'数据-基础表'!A3,2)</f>
        <v>#DIV/0!</v>
      </c>
      <c r="J3" s="1391"/>
      <c r="K3" s="1391"/>
      <c r="L3" s="1391"/>
      <c r="M3" s="1391"/>
      <c r="N3" s="1426"/>
      <c r="O3" s="1391"/>
      <c r="P3" s="1391"/>
    </row>
    <row r="4" spans="1:16" ht="14.4">
      <c r="A4" s="3049"/>
      <c r="B4" s="3050"/>
      <c r="C4" s="3051"/>
      <c r="D4" s="2230" t="s">
        <v>1910</v>
      </c>
      <c r="E4" s="2231" t="s">
        <v>1911</v>
      </c>
      <c r="F4" s="1391"/>
      <c r="G4" s="2232" t="s">
        <v>1936</v>
      </c>
      <c r="H4" s="1247" t="s">
        <v>1916</v>
      </c>
      <c r="I4" s="55" t="e">
        <f>ROUND(SUMIF('数据-基础表'!I9:AS9,"地上",'数据-基础表'!I5:AS5)/'数据-基础表'!A3,2)</f>
        <v>#DIV/0!</v>
      </c>
      <c r="J4" s="1391"/>
      <c r="K4" s="1391"/>
      <c r="L4" s="1391"/>
      <c r="M4" s="1391"/>
      <c r="N4" s="1426"/>
      <c r="O4" s="1391"/>
      <c r="P4" s="1391"/>
    </row>
    <row r="5" spans="1:16" ht="14.4">
      <c r="A5" s="47" t="s">
        <v>1912</v>
      </c>
      <c r="B5" s="3052" t="s">
        <v>1913</v>
      </c>
      <c r="C5" s="3052"/>
      <c r="D5" s="48">
        <f>ROUND($D$3*E5/$E$3,2)</f>
        <v>0</v>
      </c>
      <c r="E5" s="49">
        <f>SUMIF('数据-基础表'!$11:$11,"住宅",'数据-基础表'!$5:$5)</f>
        <v>0</v>
      </c>
      <c r="F5" s="1391"/>
      <c r="G5" s="1398"/>
      <c r="H5" s="1247" t="s">
        <v>1909</v>
      </c>
      <c r="I5" s="55">
        <f>ROUND(E31/D31,2)</f>
        <v>7.25</v>
      </c>
      <c r="J5" s="1391"/>
      <c r="K5" s="1391"/>
      <c r="L5" s="1391"/>
      <c r="M5" s="1391"/>
      <c r="N5" s="1391"/>
      <c r="O5" s="1391"/>
      <c r="P5" s="1391"/>
    </row>
    <row r="6" spans="1:16" ht="15" thickBot="1">
      <c r="A6" s="2233"/>
      <c r="B6" s="3052" t="s">
        <v>1914</v>
      </c>
      <c r="C6" s="3052"/>
      <c r="D6" s="48">
        <f>ROUND($D$3*E6/$E$3,2)</f>
        <v>14193.33</v>
      </c>
      <c r="E6" s="49">
        <f>E3-E5</f>
        <v>102921.28</v>
      </c>
      <c r="F6" s="1391"/>
      <c r="G6" s="2234" t="s">
        <v>1915</v>
      </c>
      <c r="H6" s="1398" t="s">
        <v>1916</v>
      </c>
      <c r="I6" s="939">
        <f>ROUND(F31/D31,2)</f>
        <v>3.12</v>
      </c>
      <c r="J6" s="1391"/>
      <c r="K6" s="1391"/>
      <c r="L6" s="1391"/>
      <c r="M6" s="1391"/>
      <c r="N6" s="1391"/>
      <c r="O6" s="1391"/>
      <c r="P6" s="1391"/>
    </row>
    <row r="7" spans="1:16" ht="14.4">
      <c r="A7" s="3044"/>
      <c r="B7" s="3045"/>
      <c r="C7" s="3046"/>
      <c r="D7" s="2230" t="s">
        <v>1910</v>
      </c>
      <c r="E7" s="2235" t="s">
        <v>1917</v>
      </c>
      <c r="F7" s="1391"/>
      <c r="G7" s="2227" t="s">
        <v>1918</v>
      </c>
      <c r="H7" s="64"/>
      <c r="I7" s="420"/>
      <c r="J7" s="1391"/>
      <c r="K7" s="1391"/>
      <c r="L7" s="1391"/>
      <c r="M7" s="1391"/>
      <c r="N7" s="1391"/>
      <c r="O7" s="1391"/>
      <c r="P7" s="1391"/>
    </row>
    <row r="8" spans="1:16" ht="14.4">
      <c r="A8" s="47" t="s">
        <v>1919</v>
      </c>
      <c r="B8" s="50" t="s">
        <v>1920</v>
      </c>
      <c r="C8" s="48" t="s">
        <v>1921</v>
      </c>
      <c r="D8" s="48">
        <f t="shared" ref="D8:D15" si="0">ROUND($D$3*E8/$E$3,2)</f>
        <v>6109.09</v>
      </c>
      <c r="E8" s="51">
        <f>SUMIF('数据-基础表'!BB10:BK10,"地上",'数据-基础表'!BB5:BK5)</f>
        <v>44299.360000000001</v>
      </c>
      <c r="F8" s="1391"/>
      <c r="G8" s="2236"/>
      <c r="H8" s="2236"/>
      <c r="I8" s="1391"/>
      <c r="J8" s="1391"/>
      <c r="K8" s="1391"/>
      <c r="L8" s="1391"/>
      <c r="M8" s="1391"/>
      <c r="N8" s="1391"/>
      <c r="O8" s="1391"/>
      <c r="P8" s="1391"/>
    </row>
    <row r="9" spans="1:16" ht="14.4">
      <c r="A9" s="2237"/>
      <c r="B9" s="2238"/>
      <c r="C9" s="48" t="s">
        <v>1922</v>
      </c>
      <c r="D9" s="48">
        <f t="shared" si="0"/>
        <v>0</v>
      </c>
      <c r="E9" s="52">
        <v>0</v>
      </c>
      <c r="F9" s="1391"/>
      <c r="G9" s="2236"/>
      <c r="H9" s="2236"/>
      <c r="I9" s="1391"/>
      <c r="J9" s="1391"/>
      <c r="K9" s="1391"/>
      <c r="L9" s="1391"/>
      <c r="M9" s="1391"/>
      <c r="N9" s="1391"/>
      <c r="O9" s="1391"/>
      <c r="P9" s="1391"/>
    </row>
    <row r="10" spans="1:16" ht="14.4">
      <c r="A10" s="2237"/>
      <c r="B10" s="2238"/>
      <c r="C10" s="48" t="s">
        <v>1931</v>
      </c>
      <c r="D10" s="48">
        <f t="shared" si="0"/>
        <v>5108.2299999999996</v>
      </c>
      <c r="E10" s="51">
        <f>SUMPRODUCT(('数据-基础表'!BB10:BK10="地下")*('数据-基础表'!BB11:BK11="商业")*('数据-基础表'!BB5:BK5))</f>
        <v>37041.72</v>
      </c>
      <c r="F10" s="1391"/>
      <c r="G10" s="2236"/>
      <c r="H10" s="2236"/>
      <c r="I10" s="1391"/>
      <c r="J10" s="1391"/>
      <c r="K10" s="1391"/>
      <c r="L10" s="1391"/>
      <c r="M10" s="1391"/>
      <c r="N10" s="1391"/>
      <c r="O10" s="1391"/>
      <c r="P10" s="1391"/>
    </row>
    <row r="11" spans="1:16" ht="14.4">
      <c r="A11" s="2237"/>
      <c r="B11" s="2238"/>
      <c r="C11" s="48" t="s">
        <v>1923</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ht="14.4">
      <c r="A12" s="2237"/>
      <c r="B12" s="2238"/>
      <c r="C12" s="48" t="s">
        <v>1924</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ht="14.4">
      <c r="A13" s="2237"/>
      <c r="B13" s="2238"/>
      <c r="C13" s="48" t="s">
        <v>1925</v>
      </c>
      <c r="D13" s="48">
        <f t="shared" si="0"/>
        <v>2976.01</v>
      </c>
      <c r="E13" s="51">
        <f>SUMPRODUCT(('数据-基础表'!BB10:BK10="地下")*('数据-基础表'!BB11:BK11="车库")*('数据-基础表'!BB5:BK5))</f>
        <v>21580.2</v>
      </c>
      <c r="F13" s="1391"/>
      <c r="G13" s="2236"/>
      <c r="H13" s="2236"/>
      <c r="I13" s="1391"/>
      <c r="J13" s="1391"/>
      <c r="K13" s="1391"/>
      <c r="L13" s="1391"/>
      <c r="M13" s="1391"/>
      <c r="N13" s="1391"/>
      <c r="O13" s="1391"/>
      <c r="P13" s="1391"/>
    </row>
    <row r="14" spans="1:16" ht="14.4">
      <c r="A14" s="2237"/>
      <c r="B14" s="2238"/>
      <c r="C14" s="48" t="s">
        <v>1937</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1932</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 thickBot="1">
      <c r="A16" s="2233"/>
      <c r="B16" s="2238"/>
      <c r="C16" s="50" t="s">
        <v>1926</v>
      </c>
      <c r="D16" s="50">
        <f>SUM(D8:D15)</f>
        <v>14193.33</v>
      </c>
      <c r="E16" s="53">
        <f>SUM(E8:E15)</f>
        <v>102921.28</v>
      </c>
      <c r="F16" s="1391"/>
      <c r="G16" s="2236"/>
      <c r="H16" s="2239" t="s">
        <v>1938</v>
      </c>
      <c r="I16" s="2240"/>
      <c r="J16" s="1391"/>
      <c r="K16" s="3041" t="s">
        <v>1938</v>
      </c>
      <c r="L16" s="3042"/>
      <c r="M16" s="3042"/>
      <c r="N16" s="3042"/>
      <c r="O16" s="3042"/>
      <c r="P16" s="3043"/>
    </row>
    <row r="17" spans="1:19" ht="14.4">
      <c r="A17" s="2241" t="s">
        <v>1939</v>
      </c>
      <c r="B17" s="2242" t="s">
        <v>1940</v>
      </c>
      <c r="C17" s="2243" t="s">
        <v>1941</v>
      </c>
      <c r="D17" s="2244" t="s">
        <v>1929</v>
      </c>
      <c r="E17" s="2245" t="s">
        <v>1930</v>
      </c>
      <c r="F17" s="2246"/>
      <c r="G17" s="2247"/>
      <c r="H17" s="2248" t="s">
        <v>1942</v>
      </c>
      <c r="I17" s="2249" t="s">
        <v>1927</v>
      </c>
      <c r="J17" s="1391"/>
      <c r="K17" s="3038" t="s">
        <v>1943</v>
      </c>
      <c r="L17" s="3039"/>
      <c r="M17" s="3040"/>
      <c r="N17" s="3038" t="s">
        <v>1944</v>
      </c>
      <c r="O17" s="3039"/>
      <c r="P17" s="3040"/>
      <c r="R17" s="2227" t="s">
        <v>1945</v>
      </c>
      <c r="S17" s="64"/>
    </row>
    <row r="18" spans="1:19" ht="14.4">
      <c r="A18" s="2237"/>
      <c r="B18" s="2250"/>
      <c r="C18" s="2251"/>
      <c r="D18" s="2252"/>
      <c r="E18" s="2253" t="s">
        <v>1946</v>
      </c>
      <c r="F18" s="2254" t="s">
        <v>1947</v>
      </c>
      <c r="G18" s="2255" t="s">
        <v>1948</v>
      </c>
      <c r="H18" s="1262" t="s">
        <v>1949</v>
      </c>
      <c r="I18" s="2256" t="s">
        <v>1950</v>
      </c>
      <c r="J18" s="1391"/>
      <c r="K18" s="1262" t="s">
        <v>1951</v>
      </c>
      <c r="L18" s="2257" t="s">
        <v>1952</v>
      </c>
      <c r="M18" s="1046" t="s">
        <v>1953</v>
      </c>
      <c r="N18" s="1262" t="s">
        <v>1951</v>
      </c>
      <c r="O18" s="2257" t="s">
        <v>1952</v>
      </c>
      <c r="P18" s="1046" t="s">
        <v>1953</v>
      </c>
      <c r="R18" s="1247" t="s">
        <v>1954</v>
      </c>
      <c r="S18" s="1247" t="s">
        <v>1955</v>
      </c>
    </row>
    <row r="19" spans="1:19" ht="14.4">
      <c r="A19" s="2258"/>
      <c r="B19" s="50" t="s">
        <v>1928</v>
      </c>
      <c r="C19" s="2954" t="s">
        <v>3078</v>
      </c>
      <c r="D19" s="48">
        <f>ROUND($D$3*E19/$E$3,2)</f>
        <v>14193.33</v>
      </c>
      <c r="E19" s="56">
        <f t="shared" ref="E19:E26" si="1">SUM(F19:G19)</f>
        <v>102921.28</v>
      </c>
      <c r="F19" s="57">
        <f>'数据-基础表'!I5-'数据-基础表'!J5</f>
        <v>44299.360000000001</v>
      </c>
      <c r="G19" s="58">
        <f>'数据-基础表'!K5+'数据-基础表'!M18</f>
        <v>58621.919999999998</v>
      </c>
      <c r="H19" s="723">
        <f>ROUND($D$3*I19/$E$3,2)</f>
        <v>0</v>
      </c>
      <c r="I19" s="51">
        <f t="shared" ref="I19:I26" si="2">IF($I$17="自定义",P19,M19)</f>
        <v>0</v>
      </c>
      <c r="J19" s="1391"/>
      <c r="K19" s="1390">
        <f t="shared" ref="K19:K26" si="3">ROUND(E$28*E19/E$27,2)</f>
        <v>0</v>
      </c>
      <c r="L19" s="1247">
        <f t="shared" ref="L19:L26" si="4">ROUND(IF(COUNTIF(C19,"*住宅*")&gt;0,E$29*E19/E$32,0),2)</f>
        <v>0</v>
      </c>
      <c r="M19" s="1402">
        <f>K19+L19</f>
        <v>0</v>
      </c>
      <c r="N19" s="2260"/>
      <c r="O19" s="2261"/>
      <c r="P19" s="1402">
        <f>N19+O19</f>
        <v>0</v>
      </c>
      <c r="R19" s="1247">
        <f t="shared" ref="R19:S26" si="5">D19+H19</f>
        <v>14193.33</v>
      </c>
      <c r="S19" s="1248">
        <f t="shared" si="5"/>
        <v>102921.28</v>
      </c>
    </row>
    <row r="20" spans="1:19" ht="14.4">
      <c r="A20" s="2262"/>
      <c r="B20" s="50" t="s">
        <v>1956</v>
      </c>
      <c r="C20" s="2954"/>
      <c r="D20" s="48">
        <f t="shared" ref="D20:D26" si="6">ROUND($D$3*E20/$E$3,2)</f>
        <v>0</v>
      </c>
      <c r="E20" s="56">
        <f t="shared" si="1"/>
        <v>0</v>
      </c>
      <c r="F20" s="57"/>
      <c r="G20" s="58"/>
      <c r="H20" s="723">
        <f t="shared" ref="H20:H26" si="7">ROUND($D$3*I20/$E$3,2)</f>
        <v>0</v>
      </c>
      <c r="I20" s="51">
        <f t="shared" si="2"/>
        <v>0</v>
      </c>
      <c r="J20" s="1391"/>
      <c r="K20" s="1390">
        <f t="shared" si="3"/>
        <v>0</v>
      </c>
      <c r="L20" s="1247">
        <f t="shared" si="4"/>
        <v>0</v>
      </c>
      <c r="M20" s="1402">
        <f t="shared" ref="M20:M26" si="8">K20+L20</f>
        <v>0</v>
      </c>
      <c r="N20" s="2260"/>
      <c r="O20" s="2261"/>
      <c r="P20" s="1402">
        <f t="shared" ref="P20:P26" si="9">N20+O20</f>
        <v>0</v>
      </c>
      <c r="R20" s="1247">
        <f t="shared" si="5"/>
        <v>0</v>
      </c>
      <c r="S20" s="1248">
        <f t="shared" si="5"/>
        <v>0</v>
      </c>
    </row>
    <row r="21" spans="1:19" ht="14.4">
      <c r="A21" s="2262"/>
      <c r="B21" s="50" t="s">
        <v>1956</v>
      </c>
      <c r="C21" s="2259"/>
      <c r="D21" s="48">
        <f t="shared" si="6"/>
        <v>0</v>
      </c>
      <c r="E21" s="56">
        <f t="shared" si="1"/>
        <v>0</v>
      </c>
      <c r="F21" s="57"/>
      <c r="G21" s="58"/>
      <c r="H21" s="723">
        <f t="shared" si="7"/>
        <v>0</v>
      </c>
      <c r="I21" s="51">
        <f t="shared" si="2"/>
        <v>0</v>
      </c>
      <c r="J21" s="1391"/>
      <c r="K21" s="1390">
        <f t="shared" si="3"/>
        <v>0</v>
      </c>
      <c r="L21" s="1247">
        <f t="shared" si="4"/>
        <v>0</v>
      </c>
      <c r="M21" s="1402">
        <f t="shared" si="8"/>
        <v>0</v>
      </c>
      <c r="N21" s="2260"/>
      <c r="O21" s="2261"/>
      <c r="P21" s="1402">
        <f t="shared" si="9"/>
        <v>0</v>
      </c>
      <c r="R21" s="1247">
        <f t="shared" si="5"/>
        <v>0</v>
      </c>
      <c r="S21" s="1248">
        <f t="shared" si="5"/>
        <v>0</v>
      </c>
    </row>
    <row r="22" spans="1:19" ht="14.4">
      <c r="A22" s="2262"/>
      <c r="B22" s="50" t="s">
        <v>1956</v>
      </c>
      <c r="C22" s="60"/>
      <c r="D22" s="48">
        <f t="shared" si="6"/>
        <v>0</v>
      </c>
      <c r="E22" s="56">
        <f t="shared" si="1"/>
        <v>0</v>
      </c>
      <c r="F22" s="61"/>
      <c r="G22" s="62"/>
      <c r="H22" s="723">
        <f t="shared" si="7"/>
        <v>0</v>
      </c>
      <c r="I22" s="51">
        <f t="shared" si="2"/>
        <v>0</v>
      </c>
      <c r="J22" s="1391"/>
      <c r="K22" s="1390">
        <f t="shared" si="3"/>
        <v>0</v>
      </c>
      <c r="L22" s="1247">
        <f t="shared" si="4"/>
        <v>0</v>
      </c>
      <c r="M22" s="1402">
        <f t="shared" si="8"/>
        <v>0</v>
      </c>
      <c r="N22" s="2260"/>
      <c r="O22" s="2261"/>
      <c r="P22" s="1402">
        <f t="shared" si="9"/>
        <v>0</v>
      </c>
      <c r="R22" s="1247">
        <f t="shared" si="5"/>
        <v>0</v>
      </c>
      <c r="S22" s="1248">
        <f t="shared" si="5"/>
        <v>0</v>
      </c>
    </row>
    <row r="23" spans="1:19" ht="14.4">
      <c r="A23" s="2262"/>
      <c r="B23" s="50" t="s">
        <v>1956</v>
      </c>
      <c r="C23" s="60"/>
      <c r="D23" s="48">
        <f>ROUND($D$3*E23/$E$3,2)</f>
        <v>0</v>
      </c>
      <c r="E23" s="56">
        <f>SUM(F23:G23)</f>
        <v>0</v>
      </c>
      <c r="F23" s="61"/>
      <c r="G23" s="62"/>
      <c r="H23" s="723">
        <f>ROUND($D$3*I23/$E$3,2)</f>
        <v>0</v>
      </c>
      <c r="I23" s="51">
        <f t="shared" si="2"/>
        <v>0</v>
      </c>
      <c r="J23" s="1391"/>
      <c r="K23" s="1390">
        <f t="shared" si="3"/>
        <v>0</v>
      </c>
      <c r="L23" s="1247">
        <f t="shared" si="4"/>
        <v>0</v>
      </c>
      <c r="M23" s="1402">
        <f t="shared" si="8"/>
        <v>0</v>
      </c>
      <c r="N23" s="2260"/>
      <c r="O23" s="2261"/>
      <c r="P23" s="1402">
        <f t="shared" si="9"/>
        <v>0</v>
      </c>
      <c r="R23" s="1247">
        <f t="shared" si="5"/>
        <v>0</v>
      </c>
      <c r="S23" s="1248">
        <f t="shared" si="5"/>
        <v>0</v>
      </c>
    </row>
    <row r="24" spans="1:19" ht="14.4">
      <c r="A24" s="2262"/>
      <c r="B24" s="50" t="s">
        <v>1956</v>
      </c>
      <c r="C24" s="60"/>
      <c r="D24" s="48">
        <f>ROUND($D$3*E24/$E$3,2)</f>
        <v>0</v>
      </c>
      <c r="E24" s="56">
        <f>SUM(F24:G24)</f>
        <v>0</v>
      </c>
      <c r="F24" s="61"/>
      <c r="G24" s="62"/>
      <c r="H24" s="723">
        <f>ROUND($D$3*I24/$E$3,2)</f>
        <v>0</v>
      </c>
      <c r="I24" s="51">
        <f t="shared" si="2"/>
        <v>0</v>
      </c>
      <c r="J24" s="1391"/>
      <c r="K24" s="1390">
        <f t="shared" si="3"/>
        <v>0</v>
      </c>
      <c r="L24" s="1247">
        <f t="shared" si="4"/>
        <v>0</v>
      </c>
      <c r="M24" s="1402">
        <f t="shared" si="8"/>
        <v>0</v>
      </c>
      <c r="N24" s="2260"/>
      <c r="O24" s="2261"/>
      <c r="P24" s="1402">
        <f t="shared" si="9"/>
        <v>0</v>
      </c>
      <c r="R24" s="1247">
        <f t="shared" si="5"/>
        <v>0</v>
      </c>
      <c r="S24" s="1248">
        <f t="shared" si="5"/>
        <v>0</v>
      </c>
    </row>
    <row r="25" spans="1:19" ht="14.4">
      <c r="A25" s="2262"/>
      <c r="B25" s="50" t="s">
        <v>1956</v>
      </c>
      <c r="C25" s="60"/>
      <c r="D25" s="48">
        <f t="shared" si="6"/>
        <v>0</v>
      </c>
      <c r="E25" s="56">
        <f t="shared" si="1"/>
        <v>0</v>
      </c>
      <c r="F25" s="61"/>
      <c r="G25" s="62"/>
      <c r="H25" s="47">
        <f t="shared" si="7"/>
        <v>0</v>
      </c>
      <c r="I25" s="51">
        <f t="shared" si="2"/>
        <v>0</v>
      </c>
      <c r="J25" s="1391"/>
      <c r="K25" s="1390">
        <f t="shared" si="3"/>
        <v>0</v>
      </c>
      <c r="L25" s="1247">
        <f t="shared" si="4"/>
        <v>0</v>
      </c>
      <c r="M25" s="1402">
        <f t="shared" si="8"/>
        <v>0</v>
      </c>
      <c r="N25" s="2260"/>
      <c r="O25" s="2261"/>
      <c r="P25" s="1402">
        <f t="shared" si="9"/>
        <v>0</v>
      </c>
      <c r="R25" s="1247">
        <f t="shared" si="5"/>
        <v>0</v>
      </c>
      <c r="S25" s="1248">
        <f t="shared" si="5"/>
        <v>0</v>
      </c>
    </row>
    <row r="26" spans="1:19" ht="14.4">
      <c r="A26" s="2262"/>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7">
        <f t="shared" si="5"/>
        <v>0</v>
      </c>
      <c r="S26" s="1248">
        <f t="shared" si="5"/>
        <v>0</v>
      </c>
    </row>
    <row r="27" spans="1:19" ht="15" thickBot="1">
      <c r="A27" s="2262"/>
      <c r="B27" s="48"/>
      <c r="C27" s="2265" t="s">
        <v>1957</v>
      </c>
      <c r="D27" s="1392">
        <f>SUM(D19:D26)</f>
        <v>14193.33</v>
      </c>
      <c r="E27" s="1393">
        <f>IF(SUM(E19:E26)='数据-基础表'!BA5,SUM(E19:E26),IF(F27="地上面积有误","面积有误","地下面积有误"))</f>
        <v>102921.28</v>
      </c>
      <c r="F27" s="1392">
        <f>IF(SUM(F19:F26)=E8,SUM(F19:F26),"地上面积有误")</f>
        <v>44299.360000000001</v>
      </c>
      <c r="G27" s="1394">
        <f>SUM(G19:G26)</f>
        <v>58621.919999999998</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9">
        <f>IF(SUM(R19:R26)=$D$3,SUM(R19:R26),SUM(R19:R26)&amp;"误差"&amp;ROUND(SUM(R19:R26)-$D$3,2))</f>
        <v>14193.33</v>
      </c>
      <c r="S27" s="1247">
        <f>IF(SUM(S19:S26)=$E$3,SUM(S19:S26),SUM(S19:S26)&amp;"误差"&amp;ROUND(SUM(S19:S26)-E3,2))</f>
        <v>102921.28</v>
      </c>
    </row>
    <row r="28" spans="1:19" ht="14.4">
      <c r="A28" s="2262"/>
      <c r="B28" s="50" t="s">
        <v>1958</v>
      </c>
      <c r="C28" s="1259" t="s">
        <v>1959</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ht="14.4">
      <c r="A29" s="2262"/>
      <c r="B29" s="50" t="s">
        <v>1958</v>
      </c>
      <c r="C29" s="2266" t="s">
        <v>1960</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4.4">
      <c r="A30" s="2262"/>
      <c r="B30" s="50"/>
      <c r="C30" s="2267" t="s">
        <v>1957</v>
      </c>
      <c r="D30" s="1392">
        <f>SUM(D28:D29)</f>
        <v>0</v>
      </c>
      <c r="E30" s="1392">
        <f>SUM(E28:E29)</f>
        <v>0</v>
      </c>
      <c r="F30" s="1392">
        <f>SUM(F28:F29)</f>
        <v>0</v>
      </c>
      <c r="G30" s="1394">
        <f>SUM(G28:G29)</f>
        <v>0</v>
      </c>
      <c r="H30" s="1391"/>
      <c r="I30" s="1391"/>
      <c r="J30" s="1391"/>
      <c r="K30" s="1391"/>
      <c r="L30" s="1391"/>
      <c r="M30" s="1391"/>
      <c r="N30" s="1391"/>
      <c r="O30" s="1391"/>
      <c r="P30" s="1391"/>
    </row>
    <row r="31" spans="1:19" ht="15" thickBot="1">
      <c r="A31" s="2268"/>
      <c r="B31" s="2269"/>
      <c r="C31" s="1007" t="s">
        <v>1961</v>
      </c>
      <c r="D31" s="729">
        <f>D27+D30</f>
        <v>14193.33</v>
      </c>
      <c r="E31" s="729">
        <f>E27+E30</f>
        <v>102921.28</v>
      </c>
      <c r="F31" s="730">
        <f>F27+F30</f>
        <v>44299.360000000001</v>
      </c>
      <c r="G31" s="731">
        <f>G27+G30</f>
        <v>58621.919999999998</v>
      </c>
      <c r="H31" s="1391"/>
      <c r="I31" s="1391"/>
      <c r="J31" s="1391"/>
      <c r="K31" s="1391"/>
      <c r="L31" s="1391"/>
      <c r="M31" s="1391"/>
      <c r="N31" s="1391"/>
      <c r="O31" s="1391"/>
      <c r="P31" s="1391"/>
    </row>
    <row r="32" spans="1:19" ht="14.4">
      <c r="A32" s="2232"/>
      <c r="B32" s="2232" t="s">
        <v>1962</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K22" sqref="K22"/>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8"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10.77734375" style="2274" customWidth="1"/>
    <col min="22" max="22" width="6.33203125" style="2274" customWidth="1"/>
    <col min="23"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1963</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 thickBot="1">
      <c r="A2" s="2275" t="s">
        <v>1964</v>
      </c>
      <c r="B2" s="1266">
        <f>项目基本情况!D3</f>
        <v>43802</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4.4"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57.6">
      <c r="A5" s="2288" t="s">
        <v>1971</v>
      </c>
      <c r="B5" s="2289" t="s">
        <v>1972</v>
      </c>
      <c r="C5" s="2290" t="s">
        <v>1973</v>
      </c>
      <c r="D5" s="2291" t="s">
        <v>1974</v>
      </c>
      <c r="E5" s="1268" t="s">
        <v>1975</v>
      </c>
      <c r="F5" s="2292" t="s">
        <v>1976</v>
      </c>
      <c r="G5" s="1268" t="s">
        <v>1977</v>
      </c>
      <c r="H5" s="1268" t="s">
        <v>1978</v>
      </c>
      <c r="I5" s="1268" t="s">
        <v>1979</v>
      </c>
      <c r="J5" s="2293" t="s">
        <v>1980</v>
      </c>
      <c r="K5" s="2294" t="s">
        <v>1981</v>
      </c>
      <c r="L5" s="2295" t="s">
        <v>1982</v>
      </c>
      <c r="M5" s="2296" t="s">
        <v>1983</v>
      </c>
      <c r="N5" s="2297" t="s">
        <v>3113</v>
      </c>
      <c r="O5" s="2295" t="s">
        <v>1984</v>
      </c>
      <c r="P5" s="2298" t="s">
        <v>1985</v>
      </c>
      <c r="Q5" s="69" t="s">
        <v>1986</v>
      </c>
      <c r="R5" s="2299" t="s">
        <v>1987</v>
      </c>
      <c r="S5" s="2300" t="s">
        <v>1988</v>
      </c>
      <c r="T5" s="2301" t="s">
        <v>1989</v>
      </c>
      <c r="U5" s="1267" t="s">
        <v>1990</v>
      </c>
      <c r="V5" s="1268" t="s">
        <v>1991</v>
      </c>
      <c r="W5" s="1268" t="s">
        <v>1992</v>
      </c>
      <c r="X5" s="71"/>
      <c r="Y5" s="70" t="s">
        <v>1993</v>
      </c>
      <c r="Z5" s="2302" t="s">
        <v>1990</v>
      </c>
      <c r="AA5" s="1268" t="s">
        <v>1991</v>
      </c>
      <c r="AB5" s="1268" t="s">
        <v>1992</v>
      </c>
      <c r="AC5" s="71"/>
      <c r="AD5" s="71" t="s">
        <v>1993</v>
      </c>
      <c r="AE5" s="1267" t="s">
        <v>1994</v>
      </c>
      <c r="AF5" s="1268" t="s">
        <v>1995</v>
      </c>
      <c r="AG5" s="70" t="s">
        <v>1996</v>
      </c>
      <c r="AH5" s="1267" t="s">
        <v>1997</v>
      </c>
      <c r="AI5" s="2302" t="s">
        <v>1998</v>
      </c>
      <c r="AJ5" s="2302" t="s">
        <v>1999</v>
      </c>
      <c r="AK5" s="1268" t="s">
        <v>2000</v>
      </c>
      <c r="AL5" s="1268" t="s">
        <v>2001</v>
      </c>
      <c r="AM5" s="70" t="s">
        <v>2002</v>
      </c>
      <c r="AN5" s="2303" t="s">
        <v>2003</v>
      </c>
      <c r="AO5" s="2073" t="s">
        <v>2004</v>
      </c>
      <c r="AP5" s="1249"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3.8">
      <c r="A6" s="2305" t="str">
        <f>'数据-汇总表'!C19</f>
        <v>商业</v>
      </c>
      <c r="B6" s="2306" t="str">
        <f>IF(A6=0,"","经营性")</f>
        <v>经营性</v>
      </c>
      <c r="C6" s="2307" t="s">
        <v>1373</v>
      </c>
      <c r="D6" s="1051">
        <f>SUMIF(项目基本情况!D$12:I$12,C6,项目基本情况!D$14:I$14)</f>
        <v>40</v>
      </c>
      <c r="E6" s="1048">
        <f>IF(B6="","",SUMIF(项目基本情况!D$12:I$12,C6,项目基本情况!D$13:I$13))</f>
        <v>52837</v>
      </c>
      <c r="F6" s="72">
        <f>SUMIF(项目基本情况!D$12:I$12,C6,项目基本情况!D$15:I$15)</f>
        <v>24.75</v>
      </c>
      <c r="G6" s="73">
        <f>IF(ISERROR(ROUND(POWER(1+H6,D6-F6)*(POWER(1+H6,F6)-1)/(POWER(1+H6,D6)-1),3)),0,ROUND(POWER(1+H6,D6-F6)*(POWER(1+H6,F6)-1)/(POWER(1+H6,D6)-1),3))</f>
        <v>0.81699999999999995</v>
      </c>
      <c r="H6" s="802">
        <v>0.05</v>
      </c>
      <c r="I6" s="802">
        <v>5.5E-2</v>
      </c>
      <c r="J6" s="74">
        <v>8.5000000000000006E-2</v>
      </c>
      <c r="K6" s="1251">
        <f>SUMIF('数据-汇总表'!C$19:C$33,A6,'数据-汇总表'!E$19:E$33)</f>
        <v>102921.28</v>
      </c>
      <c r="L6" s="803">
        <v>6000</v>
      </c>
      <c r="M6" s="75">
        <f t="shared" ref="M6:M14" si="0">ROUND(K6*L6/10000,0)</f>
        <v>61753</v>
      </c>
      <c r="N6" s="80">
        <f>ROUND(1-(1-0%)*(2019-2009)/60,2)</f>
        <v>0.83</v>
      </c>
      <c r="O6" s="75" t="str">
        <f>IF($N$5="成新度","——",ROUND(M6*N6,0))</f>
        <v>——</v>
      </c>
      <c r="P6" s="76" t="str">
        <f>IF($N$5="成新度","——",M6-O6)</f>
        <v>——</v>
      </c>
      <c r="Q6" s="804">
        <v>0.3</v>
      </c>
      <c r="R6" s="77">
        <f ca="1">SUMIF('数据-汇总表'!C$19:C$33,A6,'数据-汇总表'!R$19:R$27)</f>
        <v>14193.33</v>
      </c>
      <c r="S6" s="54">
        <f>IF('数据-汇总表'!$I$17="按面积比例",SUMIF('数据-汇总表'!C$19:C$33,A6,'数据-汇总表'!K$19:K$33),SUMIF('数据-汇总表'!C$19:C$33,A6,'数据-汇总表'!N$19:N$33))</f>
        <v>0</v>
      </c>
      <c r="T6" s="1442">
        <f>ROUND($L$14*S6/10000,0)</f>
        <v>0</v>
      </c>
      <c r="U6" s="78">
        <f>W25</f>
        <v>10.62</v>
      </c>
      <c r="V6" s="79">
        <v>0.04</v>
      </c>
      <c r="W6" s="79">
        <v>0.1</v>
      </c>
      <c r="X6" s="1261"/>
      <c r="Y6" s="80">
        <f>ROUND(1-(1-0%)*(2019-2009)/60,2)</f>
        <v>0.83</v>
      </c>
      <c r="Z6" s="81"/>
      <c r="AA6" s="74"/>
      <c r="AB6" s="74"/>
      <c r="AC6" s="1261"/>
      <c r="AD6" s="82"/>
      <c r="AE6" s="1262">
        <f ca="1">IF(AN6="",0,SUMIF(INDIRECT("'"&amp;AN6&amp;"'"&amp;"!E:E"),$AE$5,INDIRECT("'"&amp;AN6&amp;"'"&amp;"!F:F")))</f>
        <v>24.75</v>
      </c>
      <c r="AF6" s="1803"/>
      <c r="AG6" s="147">
        <f>IF(AF6="",0,AE6-AF6)</f>
        <v>0</v>
      </c>
      <c r="AH6" s="83"/>
      <c r="AI6" s="85">
        <v>365</v>
      </c>
      <c r="AJ6" s="86"/>
      <c r="AK6" s="87">
        <v>1.4999999999999999E-2</v>
      </c>
      <c r="AL6" s="88">
        <v>1.5E-3</v>
      </c>
      <c r="AM6" s="89">
        <v>0.01</v>
      </c>
      <c r="AN6" s="2308" t="s">
        <v>3117</v>
      </c>
      <c r="AO6" s="55">
        <f ca="1">SUMIF(INDIRECT("'"&amp;AN6&amp;"'"&amp;"!A:A"),"总价",INDIRECT("'"&amp;AN6&amp;"'"&amp;"!B:B"))</f>
        <v>554386</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3.8">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1"/>
      <c r="Y7" s="80">
        <f>Y6</f>
        <v>0.83</v>
      </c>
      <c r="Z7" s="81"/>
      <c r="AA7" s="74"/>
      <c r="AB7" s="74"/>
      <c r="AC7" s="1261"/>
      <c r="AD7" s="82"/>
      <c r="AE7" s="1262">
        <f t="shared" ref="AE7:AE13" ca="1" si="6">IF(AN7="",0,SUMIF(INDIRECT("'"&amp;AN7&amp;"'"&amp;"!E:E"),$AE$5,INDIRECT("'"&amp;AN7&amp;"'"&amp;"!F:F")))</f>
        <v>0</v>
      </c>
      <c r="AF7" s="1803"/>
      <c r="AG7" s="147">
        <f t="shared" ref="AG7:AG13" si="7">IF(AF7="",0,AE7-AF7)</f>
        <v>0</v>
      </c>
      <c r="AH7" s="83">
        <v>558</v>
      </c>
      <c r="AI7" s="85"/>
      <c r="AJ7" s="86"/>
      <c r="AK7" s="87"/>
      <c r="AL7" s="88"/>
      <c r="AM7" s="89"/>
      <c r="AN7" s="2308" t="s">
        <v>3122</v>
      </c>
      <c r="AO7" s="55" t="e">
        <f t="shared" ref="AO7:AO13" ca="1" si="8">SUMIF(INDIRECT("'"&amp;AN7&amp;"'"&amp;"!A:A"),"总价",INDIRECT("'"&amp;AN7&amp;"'"&amp;"!B:B"))</f>
        <v>#DIV/0!</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3.8">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2">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3.8">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3.8">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3.8">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3.8">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3.8">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4">
      <c r="A14" s="2310" t="s">
        <v>2008</v>
      </c>
      <c r="B14" s="2306" t="s">
        <v>2009</v>
      </c>
      <c r="C14" s="2311"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2"/>
      <c r="U14" s="723"/>
      <c r="V14" s="1256"/>
      <c r="W14" s="1256"/>
      <c r="X14" s="1257"/>
      <c r="Y14" s="1258"/>
      <c r="Z14" s="1259"/>
      <c r="AA14" s="1260"/>
      <c r="AB14" s="1260"/>
      <c r="AC14" s="1261"/>
      <c r="AD14" s="1257"/>
      <c r="AE14" s="1262"/>
      <c r="AF14" s="55"/>
      <c r="AG14" s="147"/>
      <c r="AH14" s="1262"/>
      <c r="AI14" s="1814"/>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8.8">
      <c r="A15" s="2310" t="s">
        <v>2010</v>
      </c>
      <c r="B15" s="2306" t="s">
        <v>2009</v>
      </c>
      <c r="C15" s="2311" t="s">
        <v>2011</v>
      </c>
      <c r="D15" s="1051"/>
      <c r="E15" s="1048"/>
      <c r="F15" s="72"/>
      <c r="G15" s="73"/>
      <c r="H15" s="1250"/>
      <c r="I15" s="1250"/>
      <c r="J15" s="1250"/>
      <c r="K15" s="1251">
        <f>SUMIF('数据-汇总表'!C$19:C$33,A15,'数据-汇总表'!E$19:E$33)</f>
        <v>0</v>
      </c>
      <c r="L15" s="1252"/>
      <c r="M15" s="75"/>
      <c r="N15" s="1253"/>
      <c r="O15" s="75"/>
      <c r="P15" s="76"/>
      <c r="Q15" s="1254"/>
      <c r="R15" s="77"/>
      <c r="S15" s="54"/>
      <c r="T15" s="1442"/>
      <c r="U15" s="723"/>
      <c r="V15" s="1256"/>
      <c r="W15" s="1256"/>
      <c r="X15" s="1257"/>
      <c r="Y15" s="1258"/>
      <c r="Z15" s="1259"/>
      <c r="AA15" s="1260"/>
      <c r="AB15" s="1260"/>
      <c r="AC15" s="1261"/>
      <c r="AD15" s="1257"/>
      <c r="AE15" s="1262"/>
      <c r="AF15" s="55"/>
      <c r="AG15" s="147"/>
      <c r="AH15" s="1262"/>
      <c r="AI15" s="1814"/>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 thickBot="1">
      <c r="A16" s="2312" t="s">
        <v>2012</v>
      </c>
      <c r="B16" s="97"/>
      <c r="C16" s="1005"/>
      <c r="D16" s="2313"/>
      <c r="E16" s="97"/>
      <c r="F16" s="97"/>
      <c r="G16" s="98">
        <f>ROUND(SUMPRODUCT(G6:G13,K6:K13)/SUMPRODUCT((G6:G13&gt;0)*(K6:K13)),3)</f>
        <v>0.81699999999999995</v>
      </c>
      <c r="H16" s="99">
        <f>ROUND(SUMPRODUCT(H6:H13,K6:K13)/SUMPRODUCT((H6:H13&gt;0)*(K6:K13)),3)</f>
        <v>0.05</v>
      </c>
      <c r="I16" s="100"/>
      <c r="J16" s="100"/>
      <c r="K16" s="101">
        <f>SUM(K6:K15)</f>
        <v>102921.28</v>
      </c>
      <c r="L16" s="102">
        <f>ROUND(M16*10000/SUM(K6:K14),0)</f>
        <v>6000</v>
      </c>
      <c r="M16" s="102">
        <f>SUM(M6:M14)</f>
        <v>61753</v>
      </c>
      <c r="N16" s="103">
        <f>ROUND(SUMPRODUCT(M6:M14,N6:N14)/M16,3)</f>
        <v>0.83</v>
      </c>
      <c r="O16" s="102">
        <f>SUM(O6:O14)</f>
        <v>0</v>
      </c>
      <c r="P16" s="102">
        <f>SUM(P6:P14)</f>
        <v>0</v>
      </c>
      <c r="Q16" s="104">
        <f>ROUND(SUMPRODUCT(Q6:Q13,K6:K13)/SUMPRODUCT((Q6:Q13&gt;0)*(K6:K13)),2)</f>
        <v>0.3</v>
      </c>
      <c r="R16" s="1255">
        <f ca="1">SUM(R6:R13)</f>
        <v>14193.33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5" t="s">
        <v>2014</v>
      </c>
      <c r="B19" s="112">
        <v>0</v>
      </c>
      <c r="C19" s="2276" t="s">
        <v>2015</v>
      </c>
      <c r="D19" s="2277"/>
      <c r="E19" s="2276"/>
      <c r="F19" s="2276"/>
      <c r="G19" s="2276"/>
      <c r="H19" s="2276"/>
      <c r="I19" s="2276"/>
      <c r="J19" s="2276"/>
      <c r="K19" s="168"/>
      <c r="L19" s="168"/>
      <c r="M19" s="1580"/>
      <c r="N19" s="1580"/>
      <c r="O19" s="1580"/>
      <c r="P19" s="1580"/>
      <c r="Q19" s="1580"/>
      <c r="R19" s="1580"/>
      <c r="S19" s="1580"/>
      <c r="T19" s="1580"/>
      <c r="U19" s="2959" t="s">
        <v>3118</v>
      </c>
      <c r="V19" s="2959" t="s">
        <v>3120</v>
      </c>
      <c r="W19" s="2959" t="s">
        <v>3121</v>
      </c>
      <c r="X19" s="1580"/>
      <c r="Y19" s="1580"/>
      <c r="Z19" s="1580"/>
      <c r="AA19" s="1580"/>
      <c r="AB19" s="1580"/>
      <c r="AC19" s="1580"/>
      <c r="AD19" s="1580"/>
      <c r="AE19" s="1580"/>
      <c r="AF19" s="1580"/>
      <c r="AG19" s="1580"/>
      <c r="AH19" s="1580"/>
      <c r="AI19" s="1580"/>
      <c r="AJ19" s="1580"/>
      <c r="AK19" s="1580"/>
      <c r="AL19" s="1580"/>
      <c r="AM19" s="1580"/>
    </row>
    <row r="20" spans="1:67" ht="14.4">
      <c r="A20" s="2316" t="s">
        <v>2016</v>
      </c>
      <c r="B20" s="113">
        <v>2.5</v>
      </c>
      <c r="C20" s="2276" t="s">
        <v>2017</v>
      </c>
      <c r="D20" s="2277"/>
      <c r="E20" s="2276"/>
      <c r="F20" s="2276"/>
      <c r="G20" s="2276"/>
      <c r="H20" s="2276"/>
      <c r="I20" s="2276"/>
      <c r="J20" s="2276"/>
      <c r="K20" s="168"/>
      <c r="L20" s="168"/>
      <c r="M20" s="1580"/>
      <c r="N20" s="1580"/>
      <c r="O20" s="1580"/>
      <c r="P20" s="1580"/>
      <c r="Q20" s="1580"/>
      <c r="R20" s="1580"/>
      <c r="S20" s="1580"/>
      <c r="T20" s="1271" t="s">
        <v>3069</v>
      </c>
      <c r="U20" s="2213">
        <f>1257.09+13118.34-'数据-基础表'!J13</f>
        <v>14375.43</v>
      </c>
      <c r="V20" s="1580">
        <v>1</v>
      </c>
      <c r="W20" s="2961">
        <v>18</v>
      </c>
      <c r="X20" s="1580"/>
      <c r="Y20" s="1580">
        <f ca="1">结果表!G19*10000/('数据-取费表'!V20*'数据-取费表'!U20+'数据-取费表'!V21*'数据-取费表'!U21+'数据-取费表'!V22*'数据-取费表'!U22+'数据-取费表'!V23*'数据-取费表'!U23+'数据-取费表'!V24*'数据-取费表'!U24+'数据-取费表'!V27*'数据-取费表'!U27)</f>
        <v>91832.60893846261</v>
      </c>
      <c r="Z20" s="1580"/>
      <c r="AA20" s="1580"/>
      <c r="AB20" s="1580"/>
      <c r="AC20" s="1580"/>
      <c r="AD20" s="1580"/>
      <c r="AE20" s="1580"/>
      <c r="AF20" s="1580"/>
      <c r="AG20" s="1580"/>
      <c r="AH20" s="1580"/>
      <c r="AI20" s="1580"/>
      <c r="AJ20" s="1580"/>
      <c r="AK20" s="1580"/>
      <c r="AL20" s="1580"/>
      <c r="AM20" s="1580"/>
    </row>
    <row r="21" spans="1:67" ht="14.4">
      <c r="A21" s="2317" t="s">
        <v>2018</v>
      </c>
      <c r="B21" s="113">
        <f>B20</f>
        <v>2.5</v>
      </c>
      <c r="C21" s="2276"/>
      <c r="D21" s="2277"/>
      <c r="E21" s="2276"/>
      <c r="F21" s="2276"/>
      <c r="G21" s="2276"/>
      <c r="H21" s="2276"/>
      <c r="I21" s="2276"/>
      <c r="J21" s="2276"/>
      <c r="K21" s="168"/>
      <c r="L21" s="168"/>
      <c r="M21" s="1580"/>
      <c r="N21" s="1580"/>
      <c r="O21" s="1580"/>
      <c r="P21" s="1580"/>
      <c r="Q21" s="1580"/>
      <c r="R21" s="1580"/>
      <c r="S21" s="1580"/>
      <c r="T21" s="1271" t="s">
        <v>3070</v>
      </c>
      <c r="U21" s="2213">
        <v>15038.23</v>
      </c>
      <c r="V21" s="1580">
        <v>0.75</v>
      </c>
      <c r="W21" s="1580">
        <f>W20*V21</f>
        <v>13.5</v>
      </c>
      <c r="X21" s="1580"/>
      <c r="Y21" s="1580">
        <f ca="1">Y20*V21</f>
        <v>68874.456703846954</v>
      </c>
      <c r="Z21" s="1580"/>
      <c r="AA21" s="1580"/>
      <c r="AB21" s="1580"/>
      <c r="AC21" s="1580"/>
      <c r="AD21" s="1580"/>
      <c r="AE21" s="1580"/>
      <c r="AF21" s="1580"/>
      <c r="AG21" s="1580"/>
      <c r="AH21" s="1580"/>
      <c r="AI21" s="1580"/>
      <c r="AJ21" s="1580"/>
      <c r="AK21" s="1580"/>
      <c r="AL21" s="1580"/>
      <c r="AM21" s="1580"/>
    </row>
    <row r="22" spans="1:67" ht="14.4">
      <c r="A22" s="2316" t="s">
        <v>2019</v>
      </c>
      <c r="B22" s="114">
        <f>B19+B20</f>
        <v>2.5</v>
      </c>
      <c r="C22" s="2276"/>
      <c r="D22" s="2277"/>
      <c r="E22" s="2276"/>
      <c r="F22" s="2276"/>
      <c r="G22" s="2276"/>
      <c r="H22" s="2276"/>
      <c r="I22" s="2276"/>
      <c r="J22" s="2276"/>
      <c r="K22" s="168"/>
      <c r="L22" s="168"/>
      <c r="M22" s="1580"/>
      <c r="N22" s="1580"/>
      <c r="O22" s="1580"/>
      <c r="P22" s="1580"/>
      <c r="Q22" s="1580"/>
      <c r="R22" s="1580"/>
      <c r="S22" s="1580"/>
      <c r="T22" s="1271" t="s">
        <v>3071</v>
      </c>
      <c r="U22" s="2213">
        <v>15331.37</v>
      </c>
      <c r="V22" s="1580">
        <v>0.65</v>
      </c>
      <c r="W22" s="1580">
        <f>W20*V22</f>
        <v>11.700000000000001</v>
      </c>
      <c r="X22" s="1580"/>
      <c r="Y22" s="1580">
        <f ca="1">Y20*V22</f>
        <v>59691.195810000696</v>
      </c>
      <c r="Z22" s="1580"/>
      <c r="AA22" s="1580"/>
      <c r="AB22" s="1580"/>
      <c r="AC22" s="1580"/>
      <c r="AD22" s="1580"/>
      <c r="AE22" s="1580"/>
      <c r="AF22" s="1580"/>
      <c r="AG22" s="1580"/>
      <c r="AH22" s="1580"/>
      <c r="AI22" s="1580"/>
      <c r="AJ22" s="1580"/>
      <c r="AK22" s="1580"/>
      <c r="AL22" s="1580"/>
      <c r="AM22" s="1580"/>
    </row>
    <row r="23" spans="1:67" ht="14.4">
      <c r="A23" s="2317" t="s">
        <v>2020</v>
      </c>
      <c r="B23" s="114">
        <f>B19+B21</f>
        <v>2.5</v>
      </c>
      <c r="C23" s="2276"/>
      <c r="D23" s="2277"/>
      <c r="E23" s="2276"/>
      <c r="F23" s="2276"/>
      <c r="G23" s="2276"/>
      <c r="H23" s="2276"/>
      <c r="I23" s="2276"/>
      <c r="J23" s="2276"/>
      <c r="K23" s="168"/>
      <c r="L23" s="168"/>
      <c r="M23" s="1580"/>
      <c r="N23" s="1580"/>
      <c r="O23" s="1580"/>
      <c r="P23" s="1580"/>
      <c r="Q23" s="1580"/>
      <c r="R23" s="1580"/>
      <c r="S23" s="1580"/>
      <c r="T23" s="1271" t="s">
        <v>3073</v>
      </c>
      <c r="U23" s="2213">
        <v>14115.78</v>
      </c>
      <c r="V23" s="1580">
        <v>0.7</v>
      </c>
      <c r="W23" s="1580">
        <f>W20*V23</f>
        <v>12.6</v>
      </c>
      <c r="X23" s="1580"/>
      <c r="Y23" s="1580">
        <f ca="1">Y20*V23</f>
        <v>64282.826256923821</v>
      </c>
      <c r="Z23" s="1580"/>
      <c r="AA23" s="1580"/>
      <c r="AB23" s="1580"/>
      <c r="AC23" s="1580"/>
      <c r="AD23" s="1580"/>
      <c r="AE23" s="1580"/>
      <c r="AF23" s="1580"/>
      <c r="AG23" s="1580"/>
      <c r="AH23" s="1580"/>
      <c r="AI23" s="1580"/>
      <c r="AJ23" s="1580"/>
      <c r="AK23" s="1580"/>
      <c r="AL23" s="1580"/>
      <c r="AM23" s="1580"/>
    </row>
    <row r="24" spans="1:67" ht="15" thickBot="1">
      <c r="A24" s="2318" t="s">
        <v>2021</v>
      </c>
      <c r="B24" s="115">
        <f>B20-B21</f>
        <v>0</v>
      </c>
      <c r="C24" s="2276"/>
      <c r="D24" s="2277"/>
      <c r="E24" s="2276"/>
      <c r="F24" s="2276"/>
      <c r="G24" s="2276"/>
      <c r="H24" s="2276"/>
      <c r="I24" s="2276"/>
      <c r="J24" s="2276"/>
      <c r="K24" s="168"/>
      <c r="L24" s="168"/>
      <c r="M24" s="1580"/>
      <c r="N24" s="1580"/>
      <c r="O24" s="1580"/>
      <c r="P24" s="1580"/>
      <c r="Q24" s="1580"/>
      <c r="R24" s="1580"/>
      <c r="S24" s="1580"/>
      <c r="T24" s="1271" t="s">
        <v>3074</v>
      </c>
      <c r="U24" s="2213">
        <v>22925.94</v>
      </c>
      <c r="V24" s="1580">
        <v>0.55000000000000004</v>
      </c>
      <c r="W24" s="1580">
        <f>W20*V24</f>
        <v>9.9</v>
      </c>
      <c r="X24" s="1580"/>
      <c r="Y24" s="1580">
        <f ca="1">Y20*V24</f>
        <v>50507.934916154438</v>
      </c>
      <c r="Z24" s="1580"/>
      <c r="AA24" s="1580"/>
      <c r="AB24" s="1580"/>
      <c r="AC24" s="1580"/>
      <c r="AD24" s="1580"/>
      <c r="AE24" s="1580"/>
      <c r="AF24" s="1580"/>
      <c r="AG24" s="1580"/>
      <c r="AH24" s="1580"/>
      <c r="AI24" s="1580"/>
      <c r="AJ24" s="1580"/>
      <c r="AK24" s="1580"/>
      <c r="AL24" s="1580"/>
      <c r="AM24" s="1580"/>
    </row>
    <row r="25" spans="1:67" ht="14.4" thickBot="1">
      <c r="A25" s="2027"/>
      <c r="B25" s="2279"/>
      <c r="C25" s="2276"/>
      <c r="D25" s="2277"/>
      <c r="E25" s="2276"/>
      <c r="F25" s="2276"/>
      <c r="G25" s="2276"/>
      <c r="H25" s="2276"/>
      <c r="I25" s="2276"/>
      <c r="J25" s="2276"/>
      <c r="K25" s="168"/>
      <c r="L25" s="168"/>
      <c r="M25" s="1580"/>
      <c r="N25" s="1580"/>
      <c r="O25" s="1580"/>
      <c r="P25" s="1580"/>
      <c r="Q25" s="1580"/>
      <c r="R25" s="1580"/>
      <c r="S25" s="1580"/>
      <c r="T25" s="2959" t="s">
        <v>3119</v>
      </c>
      <c r="U25" s="2960">
        <f>SUM(U20:U24)</f>
        <v>81786.75</v>
      </c>
      <c r="V25" s="1580">
        <f>ROUND((U20*V20+U21*V21+U22*V22+U23*V23+U24*V24+U27*V27)/(U25+U27),2)</f>
        <v>0.59</v>
      </c>
      <c r="W25" s="1580">
        <f>W20*V25</f>
        <v>10.62</v>
      </c>
      <c r="X25" s="1580"/>
      <c r="Y25" s="1580"/>
      <c r="Z25" s="1580"/>
      <c r="AA25" s="1580"/>
      <c r="AB25" s="1580"/>
      <c r="AC25" s="1580"/>
      <c r="AD25" s="1580"/>
      <c r="AE25" s="1580"/>
      <c r="AF25" s="1580"/>
      <c r="AG25" s="1580"/>
      <c r="AH25" s="1580"/>
      <c r="AI25" s="1580"/>
      <c r="AJ25" s="1580"/>
      <c r="AK25" s="1580"/>
      <c r="AL25" s="1580"/>
      <c r="AM25" s="1580"/>
    </row>
    <row r="26" spans="1:67" ht="15" thickBot="1">
      <c r="A26" s="2275" t="s">
        <v>2022</v>
      </c>
      <c r="B26" s="2319" t="s">
        <v>2023</v>
      </c>
      <c r="C26" s="2320" t="s">
        <v>2024</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8.8">
      <c r="A27" s="2321" t="s">
        <v>2025</v>
      </c>
      <c r="B27" s="116">
        <v>160</v>
      </c>
      <c r="C27" s="1763" t="s">
        <v>2026</v>
      </c>
      <c r="D27" s="2322"/>
      <c r="E27" s="1426"/>
      <c r="F27" s="1426"/>
      <c r="G27" s="2276"/>
      <c r="H27" s="2276"/>
      <c r="I27" s="2276"/>
      <c r="J27" s="2276"/>
      <c r="K27" s="168"/>
      <c r="L27" s="168"/>
      <c r="M27" s="1580"/>
      <c r="N27" s="1580"/>
      <c r="O27" s="1580"/>
      <c r="P27" s="1580"/>
      <c r="Q27" s="1580"/>
      <c r="R27" s="1580"/>
      <c r="S27" s="1580"/>
      <c r="T27" s="2959" t="s">
        <v>3126</v>
      </c>
      <c r="U27" s="1580">
        <f>'数据-基础表'!M18</f>
        <v>21580.2</v>
      </c>
      <c r="V27" s="1580">
        <v>0.15</v>
      </c>
      <c r="W27" s="1580">
        <f>W20*V27</f>
        <v>2.6999999999999997</v>
      </c>
      <c r="X27" s="1580"/>
      <c r="Y27" s="1580">
        <f ca="1">Y20*V27</f>
        <v>13774.891340769391</v>
      </c>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8">
      <c r="A28" s="2324" t="s">
        <v>2027</v>
      </c>
      <c r="B28" s="119">
        <v>200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4" thickBot="1">
      <c r="A29" s="2326" t="s">
        <v>2028</v>
      </c>
      <c r="B29" s="121">
        <f>ROUND(B28*K16/10000,0)</f>
        <v>2058</v>
      </c>
      <c r="C29" s="1763" t="s">
        <v>2029</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8">
      <c r="A30" s="2327" t="s">
        <v>2030</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8">
      <c r="A31" s="2324" t="s">
        <v>2031</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9.4" thickBot="1">
      <c r="A32" s="2328" t="s">
        <v>2032</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4">
      <c r="A33" s="2321" t="s">
        <v>2033</v>
      </c>
      <c r="B33" s="726">
        <v>0.03</v>
      </c>
      <c r="C33" s="1762" t="s">
        <v>2034</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4">
      <c r="A34" s="2324" t="s">
        <v>2035</v>
      </c>
      <c r="B34" s="122">
        <v>0</v>
      </c>
      <c r="C34" s="1762" t="s">
        <v>2036</v>
      </c>
      <c r="D34" s="2277" t="s">
        <v>2037</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4">
      <c r="A35" s="2324" t="s">
        <v>2038</v>
      </c>
      <c r="B35" s="119">
        <v>200</v>
      </c>
      <c r="C35" s="1762" t="s">
        <v>2039</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2040</v>
      </c>
      <c r="B36" s="123">
        <v>1.4999999999999999E-2</v>
      </c>
      <c r="C36" s="1762" t="s">
        <v>2041</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7" t="s">
        <v>2042</v>
      </c>
      <c r="B37" s="124">
        <v>0.03</v>
      </c>
      <c r="C37" s="1762" t="s">
        <v>2043</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4" t="s">
        <v>2044</v>
      </c>
      <c r="B38" s="122">
        <v>0.03</v>
      </c>
      <c r="C38" s="1762" t="s">
        <v>2043</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8" t="s">
        <v>2045</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2046</v>
      </c>
      <c r="B40" s="1299">
        <f ca="1">存贷款利率!G1</f>
        <v>4.7500000000000001E-2</v>
      </c>
      <c r="C40" s="1762" t="s">
        <v>2047</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1" t="s">
        <v>2048</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9" t="s">
        <v>2049</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9" t="s">
        <v>2050</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1" t="s">
        <v>2051</v>
      </c>
      <c r="B44" s="128">
        <v>7.0000000000000007E-2</v>
      </c>
      <c r="C44" s="1762" t="s">
        <v>2052</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1" t="s">
        <v>2053</v>
      </c>
      <c r="B45" s="126">
        <v>0.03</v>
      </c>
      <c r="C45" s="1763" t="s">
        <v>2054</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1" t="s">
        <v>2055</v>
      </c>
      <c r="B46" s="126">
        <v>0.02</v>
      </c>
      <c r="C46" s="1763" t="s">
        <v>2056</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2057</v>
      </c>
      <c r="B47" s="129"/>
      <c r="C47" s="1763" t="s">
        <v>2058</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3" t="s">
        <v>2059</v>
      </c>
      <c r="B48" s="130">
        <v>0.03</v>
      </c>
      <c r="C48" s="1770" t="s">
        <v>2060</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2061</v>
      </c>
      <c r="B49" s="126">
        <v>5.0000000000000001E-4</v>
      </c>
      <c r="C49" s="1770" t="s">
        <v>2062</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4" t="s">
        <v>2063</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2064</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4" t="s">
        <v>2065</v>
      </c>
      <c r="B52" s="133">
        <f>SUMIF(A54:A63,B53,B54:B63)</f>
        <v>24</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4" t="s">
        <v>2066</v>
      </c>
      <c r="B53" s="2335" t="s">
        <v>269</v>
      </c>
      <c r="C53" s="1426" t="s">
        <v>2067</v>
      </c>
      <c r="D53" s="2336" t="s">
        <v>2068</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7" t="s">
        <v>2069</v>
      </c>
      <c r="B54" s="1426">
        <v>30</v>
      </c>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7" t="s">
        <v>2070</v>
      </c>
      <c r="B55" s="1426">
        <v>24</v>
      </c>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7" t="s">
        <v>2071</v>
      </c>
      <c r="B56" s="1426">
        <v>18</v>
      </c>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7" t="s">
        <v>2072</v>
      </c>
      <c r="B57" s="1426">
        <v>12</v>
      </c>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7" t="s">
        <v>2073</v>
      </c>
      <c r="B58" s="1426">
        <v>3</v>
      </c>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7" t="s">
        <v>2074</v>
      </c>
      <c r="B59" s="1426">
        <v>1.5</v>
      </c>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7" t="s">
        <v>2075</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7" t="s">
        <v>2076</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7" t="s">
        <v>2077</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2078</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53" t="s">
        <v>2079</v>
      </c>
      <c r="B1" s="3054"/>
      <c r="C1" s="3054"/>
      <c r="D1" s="3054"/>
      <c r="E1" s="3054"/>
      <c r="F1" s="3054"/>
      <c r="G1" s="3054"/>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2080</v>
      </c>
      <c r="D2" s="2364"/>
      <c r="E2" s="2365"/>
      <c r="F2" s="2285"/>
      <c r="G2" s="2363" t="s">
        <v>2081</v>
      </c>
      <c r="H2" s="2366"/>
      <c r="I2" s="2366"/>
      <c r="J2" s="2366"/>
      <c r="K2" s="2366"/>
      <c r="L2" s="2366"/>
      <c r="M2" s="2366"/>
      <c r="N2" s="2366"/>
      <c r="O2" s="2366"/>
      <c r="P2" s="2366"/>
      <c r="Q2" s="2366"/>
      <c r="R2" s="2366"/>
    </row>
    <row r="3" spans="1:29" ht="57.6">
      <c r="A3" s="415" t="s">
        <v>2082</v>
      </c>
      <c r="B3" s="1268" t="s">
        <v>2083</v>
      </c>
      <c r="C3" s="2368" t="s">
        <v>2084</v>
      </c>
      <c r="D3" s="2369"/>
      <c r="E3" s="431" t="s">
        <v>2082</v>
      </c>
      <c r="F3" s="2370" t="s">
        <v>2085</v>
      </c>
      <c r="G3" s="2371" t="s">
        <v>2086</v>
      </c>
      <c r="H3" s="2366"/>
      <c r="I3" s="2366"/>
      <c r="J3" s="2366"/>
      <c r="K3" s="2366"/>
      <c r="L3" s="2366"/>
      <c r="M3" s="2366"/>
      <c r="N3" s="2366"/>
      <c r="O3" s="2366"/>
      <c r="P3" s="2366"/>
      <c r="Q3" s="2366"/>
      <c r="R3" s="2366"/>
    </row>
    <row r="4" spans="1:29" ht="43.2">
      <c r="A4" s="431"/>
      <c r="B4" s="1794" t="s">
        <v>2087</v>
      </c>
      <c r="C4" s="2372" t="s">
        <v>2088</v>
      </c>
      <c r="D4" s="2369"/>
      <c r="E4" s="2373"/>
      <c r="F4" s="42" t="s">
        <v>2089</v>
      </c>
      <c r="G4" s="2374" t="s">
        <v>2090</v>
      </c>
      <c r="H4" s="2366"/>
      <c r="I4" s="2366"/>
      <c r="J4" s="2366"/>
      <c r="K4" s="2366"/>
      <c r="L4" s="2366"/>
      <c r="M4" s="2366"/>
      <c r="N4" s="2366"/>
      <c r="O4" s="2366"/>
      <c r="P4" s="2366"/>
      <c r="Q4" s="2366"/>
      <c r="R4" s="2366"/>
    </row>
    <row r="5" spans="1:29" ht="43.2">
      <c r="A5" s="431"/>
      <c r="B5" s="1794" t="s">
        <v>2091</v>
      </c>
      <c r="C5" s="2372" t="s">
        <v>2092</v>
      </c>
      <c r="D5" s="2369"/>
      <c r="E5" s="2373"/>
      <c r="F5" s="1794" t="s">
        <v>2093</v>
      </c>
      <c r="G5" s="2374" t="s">
        <v>2094</v>
      </c>
      <c r="H5" s="2366"/>
      <c r="I5" s="2366"/>
      <c r="J5" s="2366"/>
      <c r="K5" s="2366"/>
      <c r="L5" s="2366"/>
      <c r="M5" s="2366"/>
      <c r="N5" s="2366"/>
      <c r="O5" s="2366"/>
      <c r="P5" s="2366"/>
      <c r="Q5" s="2366"/>
      <c r="R5" s="2366"/>
    </row>
    <row r="6" spans="1:29" ht="57.6">
      <c r="A6" s="431"/>
      <c r="B6" s="1794" t="s">
        <v>2095</v>
      </c>
      <c r="C6" s="2374" t="s">
        <v>2090</v>
      </c>
      <c r="D6" s="2369"/>
      <c r="E6" s="2373"/>
      <c r="F6" s="1794" t="s">
        <v>2096</v>
      </c>
      <c r="G6" s="2374" t="s">
        <v>2097</v>
      </c>
      <c r="H6" s="2366"/>
      <c r="I6" s="2366"/>
      <c r="J6" s="2366"/>
      <c r="K6" s="2366"/>
      <c r="L6" s="2366"/>
      <c r="M6" s="2366"/>
      <c r="N6" s="2366"/>
      <c r="O6" s="2366"/>
      <c r="P6" s="2366"/>
      <c r="Q6" s="2366"/>
      <c r="R6" s="2366"/>
    </row>
    <row r="7" spans="1:29" ht="43.8" thickBot="1">
      <c r="A7" s="431"/>
      <c r="B7" s="1794" t="s">
        <v>2093</v>
      </c>
      <c r="C7" s="2374" t="s">
        <v>2094</v>
      </c>
      <c r="D7" s="2375"/>
      <c r="E7" s="2376"/>
      <c r="F7" s="2377" t="s">
        <v>2098</v>
      </c>
      <c r="G7" s="2378" t="s">
        <v>2099</v>
      </c>
      <c r="H7" s="2366"/>
      <c r="I7" s="2366"/>
      <c r="J7" s="2366"/>
      <c r="K7" s="2366"/>
      <c r="L7" s="2366"/>
      <c r="M7" s="2366"/>
      <c r="N7" s="2366"/>
      <c r="O7" s="2366"/>
      <c r="P7" s="2366"/>
      <c r="Q7" s="2366"/>
      <c r="R7" s="2366"/>
    </row>
    <row r="8" spans="1:29" ht="28.8">
      <c r="A8" s="431"/>
      <c r="B8" s="1794" t="s">
        <v>2096</v>
      </c>
      <c r="C8" s="2374" t="s">
        <v>2097</v>
      </c>
      <c r="D8" s="2375"/>
      <c r="E8" s="2375"/>
      <c r="F8" s="1133"/>
      <c r="G8" s="1133"/>
      <c r="H8" s="2366"/>
      <c r="I8" s="2366"/>
      <c r="J8" s="2366"/>
      <c r="K8" s="2366"/>
      <c r="L8" s="2366"/>
      <c r="M8" s="2366"/>
      <c r="N8" s="2366"/>
      <c r="O8" s="2366"/>
      <c r="P8" s="2366"/>
      <c r="Q8" s="2366"/>
      <c r="R8" s="2366"/>
    </row>
    <row r="9" spans="1:29" ht="43.2">
      <c r="A9" s="431"/>
      <c r="B9" s="1794" t="s">
        <v>2100</v>
      </c>
      <c r="C9" s="2372" t="s">
        <v>2101</v>
      </c>
      <c r="D9" s="2369"/>
      <c r="E9" s="2375"/>
      <c r="F9" s="1133"/>
      <c r="G9" s="1133"/>
      <c r="H9" s="2366"/>
      <c r="I9" s="2366"/>
      <c r="J9" s="2366"/>
      <c r="K9" s="2366"/>
      <c r="L9" s="2366"/>
      <c r="M9" s="2366"/>
      <c r="N9" s="2366"/>
      <c r="O9" s="2366"/>
      <c r="P9" s="2366"/>
      <c r="Q9" s="2366"/>
      <c r="R9" s="2366"/>
    </row>
    <row r="10" spans="1:29" s="117" customFormat="1" ht="15" thickBot="1">
      <c r="A10" s="2379"/>
      <c r="B10" s="2380" t="s">
        <v>2102</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2103</v>
      </c>
      <c r="B13" s="2386"/>
      <c r="C13" s="2386"/>
      <c r="D13" s="2393"/>
      <c r="E13" s="2386"/>
      <c r="F13" s="2386"/>
      <c r="G13" s="2386"/>
    </row>
    <row r="14" spans="1:29" ht="15" thickBot="1">
      <c r="A14" s="2397"/>
      <c r="B14" s="2398"/>
      <c r="C14" s="2399" t="s">
        <v>2104</v>
      </c>
      <c r="D14" s="2369"/>
      <c r="E14" s="2400"/>
      <c r="F14" s="2400"/>
      <c r="G14" s="2363" t="s">
        <v>2105</v>
      </c>
    </row>
    <row r="15" spans="1:29" ht="55.2">
      <c r="A15" s="68" t="s">
        <v>2106</v>
      </c>
      <c r="B15" s="1267" t="s">
        <v>2083</v>
      </c>
      <c r="C15" s="2401" t="str">
        <f>C3</f>
        <v>估价对象周边居住用地比例、居住小区规模和社区发展完善程度，综合评价居住社区成熟度一般</v>
      </c>
      <c r="D15" s="2369"/>
      <c r="E15" s="2402" t="s">
        <v>2107</v>
      </c>
      <c r="F15" s="1267" t="s">
        <v>2108</v>
      </c>
      <c r="G15" s="135" t="str">
        <f>G3</f>
        <v>估价对象位于XX开发区，园区建设成熟度XX，产业集聚程度XX</v>
      </c>
    </row>
    <row r="16" spans="1:29" ht="41.4">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1.4">
      <c r="A17" s="645"/>
      <c r="B17" s="2403" t="s">
        <v>2091</v>
      </c>
      <c r="C17" s="2404" t="str">
        <f>C5</f>
        <v>估价对象位于XX商圈，周边办公楼项目较多，入驻率高，办公集聚程度较好</v>
      </c>
      <c r="D17" s="2375"/>
      <c r="E17" s="2405"/>
      <c r="F17" s="2406" t="s">
        <v>2109</v>
      </c>
      <c r="G17" s="1568"/>
    </row>
    <row r="18" spans="1:18" ht="55.2">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7.6">
      <c r="A19" s="645"/>
      <c r="B19" s="2406" t="s">
        <v>2110</v>
      </c>
      <c r="C19" s="1568"/>
      <c r="D19" s="2369"/>
      <c r="E19" s="2405"/>
      <c r="F19" s="1794" t="s">
        <v>2093</v>
      </c>
      <c r="G19" s="136" t="str">
        <f>G5</f>
        <v>估价对象所在区域公共配套设施齐备情况</v>
      </c>
    </row>
    <row r="20" spans="1:18" ht="41.4">
      <c r="A20" s="645"/>
      <c r="B20" s="2406" t="s">
        <v>2111</v>
      </c>
      <c r="C20" s="2404" t="str">
        <f>C9</f>
        <v>区域自然环境：；人文环境；综合评价环境状况一般</v>
      </c>
      <c r="D20" s="2375"/>
      <c r="E20" s="2405"/>
      <c r="F20" s="1794" t="s">
        <v>2112</v>
      </c>
      <c r="G20" s="136" t="str">
        <f>G6</f>
        <v>估价对象所在区域基础设施水平</v>
      </c>
    </row>
    <row r="21" spans="1:18" ht="27.6">
      <c r="A21" s="645"/>
      <c r="B21" s="1794" t="s">
        <v>2093</v>
      </c>
      <c r="C21" s="136" t="str">
        <f>C7</f>
        <v>估价对象所在区域公共配套设施齐备情况</v>
      </c>
      <c r="D21" s="2369"/>
      <c r="E21" s="2405"/>
      <c r="F21" s="2406" t="s">
        <v>2113</v>
      </c>
      <c r="G21" s="2407"/>
    </row>
    <row r="22" spans="1:18" ht="13.5" customHeight="1">
      <c r="A22" s="645"/>
      <c r="B22" s="1794" t="s">
        <v>2096</v>
      </c>
      <c r="C22" s="136" t="str">
        <f>C8</f>
        <v>估价对象所在区域基础设施水平</v>
      </c>
      <c r="D22" s="2369"/>
      <c r="E22" s="2405"/>
      <c r="F22" s="2406" t="s">
        <v>2102</v>
      </c>
      <c r="G22" s="1568"/>
    </row>
    <row r="23" spans="1:18" s="2366" customFormat="1" ht="1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102921.28</v>
      </c>
      <c r="C1" s="1741"/>
      <c r="D1" s="1741"/>
      <c r="E1" s="1741"/>
      <c r="F1" s="1741"/>
      <c r="G1" s="1739"/>
    </row>
    <row r="2" spans="1:10" ht="16.2">
      <c r="A2" s="1742" t="s">
        <v>1349</v>
      </c>
      <c r="B2" s="1742">
        <f>SUM(C14:C23)</f>
        <v>14193.330000000002</v>
      </c>
      <c r="C2" s="1741"/>
      <c r="D2" s="1741"/>
      <c r="E2" s="1741"/>
      <c r="F2" s="1741"/>
      <c r="G2" s="1739"/>
    </row>
    <row r="3" spans="1:10" ht="15.6">
      <c r="A3" s="1742" t="s">
        <v>1358</v>
      </c>
      <c r="B3" s="1743">
        <f>项目基本情况!D3</f>
        <v>43802</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563364</v>
      </c>
      <c r="C5" s="1742">
        <f ca="1">ROUND(B5*10000/$B$1,0)</f>
        <v>54737</v>
      </c>
      <c r="D5" s="1742">
        <f ca="1">ROUND(B5*10000/$B$2,0)</f>
        <v>396922</v>
      </c>
      <c r="E5" s="1741"/>
      <c r="F5" s="1739"/>
      <c r="G5" s="1739"/>
    </row>
    <row r="6" spans="1:10" ht="15.6">
      <c r="A6" s="1742" t="s">
        <v>1352</v>
      </c>
      <c r="B6" s="1742">
        <f ca="1">SUM(G14:G23)</f>
        <v>563364</v>
      </c>
      <c r="C6" s="1742">
        <f ca="1">ROUND(B6*10000/$B$1,0)</f>
        <v>54737</v>
      </c>
      <c r="D6" s="1742">
        <f ca="1">ROUND(B6*10000/$B$2,0)</f>
        <v>396922</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102921.28</v>
      </c>
      <c r="C14" s="1740">
        <f>结果表!C118</f>
        <v>14193.330000000002</v>
      </c>
      <c r="D14" s="1740">
        <f ca="1">结果表!H118</f>
        <v>563364</v>
      </c>
      <c r="E14" s="1740">
        <f ca="1">ROUND(D14*10000/B14,0)</f>
        <v>54737</v>
      </c>
      <c r="F14" s="1740">
        <f ca="1">ROUND(D14*10000/C14,0)</f>
        <v>396922</v>
      </c>
      <c r="G14" s="1740">
        <f ca="1">结果表!D122</f>
        <v>563364</v>
      </c>
      <c r="H14" s="1740" t="str">
        <f>结果表!D124</f>
        <v>——</v>
      </c>
      <c r="I14" s="1740" t="str">
        <f>结果表!D126</f>
        <v>——</v>
      </c>
      <c r="J14" s="1739"/>
    </row>
    <row r="15" spans="1:10" ht="15.6">
      <c r="A15" s="1738" t="s">
        <v>1345</v>
      </c>
      <c r="B15" s="1745"/>
      <c r="C15" s="1745"/>
      <c r="D15" s="1745"/>
      <c r="E15" s="1740" t="e">
        <f t="shared" ref="E15:E23" si="0">ROUND(D15*10000/B15,0)</f>
        <v>#DIV/0!</v>
      </c>
      <c r="F15" s="1740" t="e">
        <f t="shared" ref="F15:F23" si="1">ROUND(D15*10000/C15,0)</f>
        <v>#DIV/0!</v>
      </c>
      <c r="G15" s="1746"/>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F118" sqref="F118"/>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4" t="s">
        <v>2116</v>
      </c>
      <c r="B1" s="2417"/>
      <c r="C1" s="2418"/>
      <c r="D1" s="2417"/>
      <c r="E1" s="2417"/>
      <c r="F1" s="2419" t="s">
        <v>2117</v>
      </c>
      <c r="G1" s="2069" t="s">
        <v>2118</v>
      </c>
      <c r="H1" s="2420" t="str">
        <f>IF(G1="现房","——","估价对象范围")</f>
        <v>估价对象范围</v>
      </c>
      <c r="I1" s="2421"/>
    </row>
    <row r="2" spans="1:12" ht="21.75" customHeight="1" thickBot="1">
      <c r="A2" s="3127" t="str">
        <f>项目基本情况!S2</f>
        <v>北京市出让国有建设用地使用权及在建建筑物房地产</v>
      </c>
      <c r="B2" s="3128"/>
      <c r="C2" s="3128"/>
      <c r="D2" s="3128"/>
      <c r="E2" s="3128"/>
      <c r="F2" s="3128"/>
      <c r="G2" s="3128"/>
      <c r="H2" s="3128"/>
      <c r="I2" s="3129"/>
    </row>
    <row r="3" spans="1:12" ht="13.2">
      <c r="A3" s="3130" t="s">
        <v>2119</v>
      </c>
      <c r="B3" s="3131"/>
      <c r="C3" s="3131"/>
      <c r="D3" s="3131"/>
      <c r="E3" s="3131"/>
      <c r="F3" s="3131"/>
      <c r="G3" s="3131"/>
      <c r="H3" s="3131"/>
      <c r="I3" s="3131"/>
    </row>
    <row r="4" spans="1:12" ht="14.4">
      <c r="A4" s="2424" t="s">
        <v>2120</v>
      </c>
      <c r="B4" s="2425" t="s">
        <v>2121</v>
      </c>
      <c r="C4" s="2426" t="s">
        <v>3116</v>
      </c>
      <c r="D4" s="2426" t="s">
        <v>3117</v>
      </c>
      <c r="E4" s="3111" t="s">
        <v>2122</v>
      </c>
      <c r="F4" s="3124"/>
      <c r="G4" s="3124"/>
      <c r="H4" s="3124"/>
      <c r="I4" s="3112"/>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3.2">
      <c r="A5" s="3102" t="s">
        <v>2123</v>
      </c>
      <c r="B5" s="3028">
        <v>25</v>
      </c>
      <c r="C5" s="3132"/>
      <c r="D5" s="3120"/>
      <c r="E5" s="140" t="s">
        <v>2124</v>
      </c>
      <c r="F5" s="2428"/>
      <c r="G5" s="2428"/>
      <c r="H5" s="2428"/>
      <c r="I5" s="1830"/>
    </row>
    <row r="6" spans="1:12" ht="13.2">
      <c r="A6" s="3102"/>
      <c r="B6" s="3028"/>
      <c r="C6" s="3134"/>
      <c r="D6" s="3120"/>
      <c r="E6" s="140" t="s">
        <v>2125</v>
      </c>
      <c r="F6" s="2428"/>
      <c r="G6" s="2428"/>
      <c r="H6" s="2428"/>
      <c r="I6" s="1830"/>
    </row>
    <row r="7" spans="1:12" ht="13.2">
      <c r="A7" s="3102"/>
      <c r="B7" s="3028"/>
      <c r="C7" s="3133"/>
      <c r="D7" s="3120"/>
      <c r="E7" s="140" t="s">
        <v>2126</v>
      </c>
      <c r="F7" s="2428"/>
      <c r="G7" s="2428"/>
      <c r="H7" s="2428"/>
      <c r="I7" s="1830"/>
    </row>
    <row r="8" spans="1:12" ht="13.2">
      <c r="A8" s="3102" t="s">
        <v>2127</v>
      </c>
      <c r="B8" s="3028">
        <v>15</v>
      </c>
      <c r="C8" s="3132"/>
      <c r="D8" s="3120"/>
      <c r="E8" s="140" t="s">
        <v>2128</v>
      </c>
      <c r="F8" s="2428"/>
      <c r="G8" s="2428"/>
      <c r="H8" s="2428"/>
      <c r="I8" s="1830"/>
    </row>
    <row r="9" spans="1:12" ht="13.2">
      <c r="A9" s="3102"/>
      <c r="B9" s="3028"/>
      <c r="C9" s="3133"/>
      <c r="D9" s="3120"/>
      <c r="E9" s="140" t="s">
        <v>2129</v>
      </c>
      <c r="F9" s="2428"/>
      <c r="G9" s="2428"/>
      <c r="H9" s="2428"/>
      <c r="I9" s="1830"/>
    </row>
    <row r="10" spans="1:12" ht="13.2">
      <c r="A10" s="3102" t="s">
        <v>2130</v>
      </c>
      <c r="B10" s="3028">
        <v>15</v>
      </c>
      <c r="C10" s="3132"/>
      <c r="D10" s="3120"/>
      <c r="E10" s="140" t="s">
        <v>2131</v>
      </c>
      <c r="F10" s="2428"/>
      <c r="G10" s="2428"/>
      <c r="H10" s="2428"/>
      <c r="I10" s="1830"/>
    </row>
    <row r="11" spans="1:12" ht="13.2">
      <c r="A11" s="3102"/>
      <c r="B11" s="3028"/>
      <c r="C11" s="3133"/>
      <c r="D11" s="3120"/>
      <c r="E11" s="140" t="s">
        <v>2132</v>
      </c>
      <c r="F11" s="2428"/>
      <c r="G11" s="2428"/>
      <c r="H11" s="2428"/>
      <c r="I11" s="1830"/>
    </row>
    <row r="12" spans="1:12" ht="13.2">
      <c r="A12" s="3102" t="s">
        <v>2133</v>
      </c>
      <c r="B12" s="3028">
        <v>15</v>
      </c>
      <c r="C12" s="3132"/>
      <c r="D12" s="3120"/>
      <c r="E12" s="140" t="s">
        <v>2134</v>
      </c>
      <c r="F12" s="2428"/>
      <c r="G12" s="2428"/>
      <c r="H12" s="2428"/>
      <c r="I12" s="1830"/>
    </row>
    <row r="13" spans="1:12" ht="13.2">
      <c r="A13" s="3102"/>
      <c r="B13" s="3028"/>
      <c r="C13" s="3133"/>
      <c r="D13" s="3120"/>
      <c r="E13" s="140" t="s">
        <v>2135</v>
      </c>
      <c r="F13" s="2428"/>
      <c r="G13" s="2428"/>
      <c r="H13" s="2428"/>
      <c r="I13" s="1830"/>
    </row>
    <row r="14" spans="1:12" ht="13.2">
      <c r="A14" s="3102" t="s">
        <v>2136</v>
      </c>
      <c r="B14" s="3028">
        <v>30</v>
      </c>
      <c r="C14" s="3132">
        <v>5</v>
      </c>
      <c r="D14" s="3120">
        <v>5</v>
      </c>
      <c r="E14" s="140" t="s">
        <v>2137</v>
      </c>
      <c r="F14" s="2428"/>
      <c r="G14" s="2428"/>
      <c r="H14" s="2428"/>
      <c r="I14" s="1830"/>
    </row>
    <row r="15" spans="1:12" ht="13.2">
      <c r="A15" s="3102"/>
      <c r="B15" s="3028"/>
      <c r="C15" s="3134"/>
      <c r="D15" s="3120"/>
      <c r="E15" s="140" t="s">
        <v>2138</v>
      </c>
      <c r="F15" s="2428"/>
      <c r="G15" s="2428"/>
      <c r="H15" s="2428"/>
      <c r="I15" s="1830"/>
    </row>
    <row r="16" spans="1:12" ht="13.2">
      <c r="A16" s="3102"/>
      <c r="B16" s="3028"/>
      <c r="C16" s="3133"/>
      <c r="D16" s="3120"/>
      <c r="E16" s="140" t="s">
        <v>2139</v>
      </c>
      <c r="F16" s="2428"/>
      <c r="G16" s="2428"/>
      <c r="H16" s="2428"/>
      <c r="I16" s="1830"/>
    </row>
    <row r="17" spans="1:35" ht="14.4">
      <c r="A17" s="2429" t="s">
        <v>2140</v>
      </c>
      <c r="B17" s="64"/>
      <c r="C17" s="141">
        <f>SUM(C5:C16)</f>
        <v>5</v>
      </c>
      <c r="D17" s="141">
        <f>SUM(D5:D16)</f>
        <v>5</v>
      </c>
      <c r="E17" s="138"/>
      <c r="F17" s="138"/>
      <c r="G17" s="138"/>
      <c r="H17" s="138"/>
      <c r="I17" s="138"/>
      <c r="K17" s="2427"/>
      <c r="L17" s="2430" t="s">
        <v>2141</v>
      </c>
      <c r="M17" s="2430" t="s">
        <v>2142</v>
      </c>
    </row>
    <row r="18" spans="1:35" ht="15" thickBot="1">
      <c r="A18" s="2431" t="s">
        <v>2143</v>
      </c>
      <c r="B18" s="2432"/>
      <c r="C18" s="142">
        <f>ROUND(C17/SUM(C17:D17),2)</f>
        <v>0.5</v>
      </c>
      <c r="D18" s="142">
        <f>1-C18</f>
        <v>0.5</v>
      </c>
      <c r="E18" s="138"/>
      <c r="F18" s="138"/>
      <c r="G18" s="138"/>
      <c r="H18" s="138"/>
      <c r="I18" s="138"/>
      <c r="K18" s="2427" t="s">
        <v>2144</v>
      </c>
      <c r="L18" s="2427">
        <f>IF(C1="",'数据-汇总表'!E3,SUMIF(项目类型,C1,'数据-汇总表'!E17:E26)+SUMIF(项目类型,C1,'数据-汇总表'!I17:I26))</f>
        <v>102921.28</v>
      </c>
      <c r="M18" s="2427">
        <f>IF(C1="",'数据-汇总表'!E3,SUMIF(项目类型,C1,'数据-汇总表'!E17:E26))</f>
        <v>102921.28</v>
      </c>
    </row>
    <row r="19" spans="1:35" ht="14.4">
      <c r="A19" s="2433" t="s">
        <v>2145</v>
      </c>
      <c r="B19" s="2434" t="s">
        <v>2146</v>
      </c>
      <c r="C19" s="143">
        <f ca="1">SUMIF(INDIRECT("'"&amp;C4&amp;"'"&amp;"!A:A"),结果表!B19,INDIRECT("'"&amp;C4&amp;"'"&amp;"!B:B"))</f>
        <v>572342</v>
      </c>
      <c r="D19" s="144">
        <f ca="1">SUMIF(INDIRECT("'"&amp;D4&amp;"'"&amp;"!A:A"),结果表!B19,INDIRECT("'"&amp;D4&amp;"'"&amp;"!B:B"))</f>
        <v>554386</v>
      </c>
      <c r="E19" s="2433" t="s">
        <v>2147</v>
      </c>
      <c r="F19" s="2434" t="s">
        <v>2146</v>
      </c>
      <c r="G19" s="145">
        <f ca="1">ROUND(C19*$C$18+D19*$D$18,0)</f>
        <v>563364</v>
      </c>
      <c r="H19" s="2435" t="s">
        <v>2148</v>
      </c>
      <c r="I19" s="138"/>
      <c r="K19" s="2427" t="s">
        <v>2149</v>
      </c>
      <c r="L19" s="2427">
        <f>IF(C1="",'数据-汇总表'!D3,SUMIF(项目类型,C1,'数据-汇总表'!D17:D26)+SUMIF(项目类型,C1,'数据-汇总表'!H17:H27))</f>
        <v>14193.330000000002</v>
      </c>
      <c r="M19" s="2427">
        <f>IF(C1="",'数据-汇总表'!D3,SUMIF(项目类型,C1,'数据-汇总表'!D17:D26))</f>
        <v>14193.330000000002</v>
      </c>
    </row>
    <row r="20" spans="1:35" ht="14.4">
      <c r="A20" s="2436"/>
      <c r="B20" s="1247" t="s">
        <v>2150</v>
      </c>
      <c r="C20" s="146">
        <f ca="1">SUMIF(INDIRECT("'"&amp;C4&amp;"'"&amp;"!A:A"),结果表!B20,INDIRECT("'"&amp;C4&amp;"'"&amp;"!B:B"))</f>
        <v>55610</v>
      </c>
      <c r="D20" s="147">
        <f ca="1">SUMIF(INDIRECT("'"&amp;D4&amp;"'"&amp;"!A:A"),结果表!B20,INDIRECT("'"&amp;D4&amp;"'"&amp;"!B:B"))</f>
        <v>53865</v>
      </c>
      <c r="E20" s="2436"/>
      <c r="F20" s="1247" t="s">
        <v>2150</v>
      </c>
      <c r="G20" s="148">
        <f ca="1">ROUND(C20*$C$18+D20*$D$18,0)</f>
        <v>54738</v>
      </c>
      <c r="H20" s="980" t="s">
        <v>2151</v>
      </c>
      <c r="I20" s="138"/>
    </row>
    <row r="21" spans="1:35" ht="15" customHeight="1" thickBot="1">
      <c r="A21" s="1000"/>
      <c r="B21" s="2437" t="s">
        <v>2152</v>
      </c>
      <c r="C21" s="789">
        <f ca="1">ROUND(C19*10000/L19,0)</f>
        <v>403247</v>
      </c>
      <c r="D21" s="790">
        <f ca="1">ROUND(D19*10000/L19,0)</f>
        <v>390596</v>
      </c>
      <c r="E21" s="1000"/>
      <c r="F21" s="2437" t="s">
        <v>2152</v>
      </c>
      <c r="G21" s="149">
        <f ca="1">ROUND(G19*10000/L19,0)</f>
        <v>396922</v>
      </c>
      <c r="H21" s="2438" t="s">
        <v>2151</v>
      </c>
      <c r="I21" s="138"/>
    </row>
    <row r="22" spans="1:35" ht="15" thickBot="1">
      <c r="A22" s="2280" t="s">
        <v>2153</v>
      </c>
      <c r="B22" s="2439"/>
      <c r="C22" s="2440"/>
      <c r="D22" s="791">
        <f ca="1">IF(C19&lt;D19,D19/C19-1,C19/D19-1)</f>
        <v>3.2388985291836425E-2</v>
      </c>
      <c r="E22" s="138"/>
      <c r="F22" s="138"/>
      <c r="G22" s="138"/>
      <c r="H22" s="138"/>
      <c r="I22" s="138"/>
    </row>
    <row r="23" spans="1:35" ht="13.8" thickBot="1">
      <c r="A23" s="2417"/>
      <c r="B23" s="2417"/>
      <c r="C23" s="2417"/>
      <c r="D23" s="2417"/>
      <c r="E23" s="138"/>
      <c r="F23" s="138"/>
      <c r="G23" s="138"/>
      <c r="H23" s="138"/>
      <c r="I23" s="138"/>
      <c r="K23" s="795">
        <f ca="1">G19/'数据-汇总表'!F27</f>
        <v>12.717204040871019</v>
      </c>
    </row>
    <row r="24" spans="1:35" ht="14.4">
      <c r="A24" s="3141" t="s">
        <v>2154</v>
      </c>
      <c r="B24" s="2434" t="s">
        <v>2146</v>
      </c>
      <c r="C24" s="145">
        <f>IF(B30=0,0,D30)</f>
        <v>0</v>
      </c>
      <c r="D24" s="2441"/>
      <c r="E24" s="138"/>
      <c r="F24" s="138"/>
      <c r="G24" s="138"/>
      <c r="H24" s="138"/>
      <c r="I24" s="138"/>
    </row>
    <row r="25" spans="1:35" ht="14.4">
      <c r="A25" s="3142"/>
      <c r="B25" s="1247" t="s">
        <v>2150</v>
      </c>
      <c r="C25" s="150">
        <f>IF(B30=0,0,C30)</f>
        <v>0</v>
      </c>
      <c r="D25" s="2442"/>
      <c r="E25" s="138"/>
      <c r="F25" s="138"/>
      <c r="G25" s="138"/>
      <c r="H25" s="138"/>
      <c r="I25" s="138"/>
    </row>
    <row r="26" spans="1:35" ht="13.5" customHeight="1">
      <c r="A26" s="2443" t="s">
        <v>2155</v>
      </c>
      <c r="B26" s="151" t="s">
        <v>2156</v>
      </c>
      <c r="C26" s="151" t="s">
        <v>2157</v>
      </c>
      <c r="D26" s="152" t="s">
        <v>2158</v>
      </c>
      <c r="E26" s="138"/>
      <c r="F26" s="138"/>
      <c r="G26" s="138"/>
      <c r="H26" s="138"/>
      <c r="I26" s="138"/>
    </row>
    <row r="27" spans="1:35" ht="13.8">
      <c r="A27" s="2443"/>
      <c r="B27" s="151">
        <v>0</v>
      </c>
      <c r="C27" s="151">
        <v>0</v>
      </c>
      <c r="D27" s="152">
        <f>ROUND(C27*B27/10000,0)</f>
        <v>0</v>
      </c>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2159</v>
      </c>
      <c r="B30" s="151"/>
      <c r="C30" s="151"/>
      <c r="D30" s="151"/>
      <c r="E30" s="2916" t="s">
        <v>3035</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2160</v>
      </c>
      <c r="B32" s="2447"/>
      <c r="C32" s="153">
        <f ca="1">IF(D32="总价",G19-C24,G20-C25)</f>
        <v>563364</v>
      </c>
      <c r="D32" s="2448" t="s">
        <v>2161</v>
      </c>
      <c r="E32" s="138"/>
      <c r="F32" s="138"/>
      <c r="G32" s="138"/>
      <c r="H32" s="138"/>
      <c r="I32" s="138"/>
    </row>
    <row r="33" spans="1:15" ht="14.4">
      <c r="A33" s="957" t="s">
        <v>2162</v>
      </c>
      <c r="B33" s="2449"/>
      <c r="C33" s="2450" t="s">
        <v>3134</v>
      </c>
      <c r="D33" s="2451" t="s">
        <v>3116</v>
      </c>
      <c r="E33" s="2452" t="s">
        <v>2163</v>
      </c>
      <c r="F33" s="2453" t="str">
        <f>IF(D32="楼面单价","取值（单价）","取值（总价）")</f>
        <v>取值（总价）</v>
      </c>
      <c r="G33" s="138"/>
      <c r="H33" s="138"/>
      <c r="I33" s="138"/>
    </row>
    <row r="34" spans="1:15" ht="14.4">
      <c r="A34" s="2454"/>
      <c r="B34" s="2455" t="s">
        <v>2164</v>
      </c>
      <c r="C34" s="157">
        <f ca="1">IF(C33="自定义",F34,C32-C35)</f>
        <v>479423</v>
      </c>
      <c r="D34" s="1055">
        <f ca="1">IF(C33="自定义",ROUND(C34/C32,3),IF(C33="收益比率",SUMIF(INDIRECT("'"&amp;D33&amp;"'"&amp;"!b:b"),"土地收益比率",INDIRECT("'"&amp;D33&amp;"'"&amp;"!c:c")),SUMIF(INDIRECT("'"&amp;D33&amp;"'"&amp;"!b:b"),"土地成本比率",INDIRECT("'"&amp;D33&amp;"'"&amp;"!c:c"))))</f>
        <v>0.85099999999999998</v>
      </c>
      <c r="E34" s="2456" t="s">
        <v>2165</v>
      </c>
      <c r="F34" s="1735"/>
      <c r="G34" s="138"/>
      <c r="H34" s="138"/>
      <c r="I34" s="138"/>
    </row>
    <row r="35" spans="1:15" ht="15" thickBot="1">
      <c r="A35" s="2457"/>
      <c r="B35" s="2458" t="s">
        <v>2166</v>
      </c>
      <c r="C35" s="1440">
        <f ca="1">IF(C33="自定义",F35,ROUND(C32*D35,0))</f>
        <v>83941</v>
      </c>
      <c r="D35" s="1441">
        <f ca="1">IF(C33="自定义",ROUND(C35/C32,3),IF(C33="收益比率",SUMIF(INDIRECT("'"&amp;D33&amp;"'"&amp;"!b:b"),"建筑物收益比率",INDIRECT("'"&amp;D33&amp;"'"&amp;"!c:c")),SUMIF(INDIRECT("'"&amp;D33&amp;"'"&amp;"!b:b"),"建筑物成本比率",INDIRECT("'"&amp;D33&amp;"'"&amp;"!c:c"))))</f>
        <v>0.14899999999999999</v>
      </c>
      <c r="E35" s="2459" t="s">
        <v>2167</v>
      </c>
      <c r="F35" s="163"/>
      <c r="G35" s="138"/>
      <c r="H35" s="138"/>
      <c r="I35" s="138"/>
    </row>
    <row r="36" spans="1:15" ht="15" thickBot="1">
      <c r="A36" s="3121" t="s">
        <v>2168</v>
      </c>
      <c r="B36" s="2460" t="s">
        <v>2169</v>
      </c>
      <c r="C36" s="154"/>
      <c r="D36" s="2461"/>
      <c r="E36" s="2462"/>
      <c r="F36" s="2463"/>
      <c r="G36" s="138"/>
      <c r="H36" s="138"/>
      <c r="I36" s="138"/>
    </row>
    <row r="37" spans="1:15" ht="15" thickBot="1">
      <c r="A37" s="3122"/>
      <c r="B37" s="2266" t="s">
        <v>2170</v>
      </c>
      <c r="C37" s="156"/>
      <c r="D37" s="1391"/>
      <c r="E37" s="1391"/>
      <c r="F37" s="2463"/>
      <c r="G37" s="138"/>
      <c r="H37" s="138"/>
      <c r="I37" s="138"/>
    </row>
    <row r="38" spans="1:15" ht="15" thickBot="1">
      <c r="A38" s="3123"/>
      <c r="B38" s="2464" t="s">
        <v>2171</v>
      </c>
      <c r="C38" s="727"/>
      <c r="D38" s="2465" t="s">
        <v>2172</v>
      </c>
      <c r="E38" s="1391"/>
      <c r="F38" s="2463"/>
      <c r="G38" s="138"/>
      <c r="H38" s="138"/>
      <c r="I38" s="138"/>
    </row>
    <row r="39" spans="1:15" ht="14.4">
      <c r="A39" s="2436" t="s">
        <v>2173</v>
      </c>
      <c r="B39" s="2466" t="s">
        <v>2174</v>
      </c>
      <c r="C39" s="2467" t="s">
        <v>2175</v>
      </c>
      <c r="D39" s="2467" t="s">
        <v>2176</v>
      </c>
      <c r="E39" s="2468" t="s">
        <v>2177</v>
      </c>
      <c r="F39" s="2463"/>
      <c r="G39" s="138"/>
      <c r="H39" s="138"/>
      <c r="I39" s="138"/>
    </row>
    <row r="40" spans="1:15" ht="13.8">
      <c r="A40" s="2469" t="s">
        <v>2178</v>
      </c>
      <c r="B40" s="158"/>
      <c r="C40" s="159"/>
      <c r="D40" s="159"/>
      <c r="E40" s="160"/>
      <c r="F40" s="2463"/>
      <c r="G40" s="138"/>
      <c r="H40" s="138"/>
      <c r="I40" s="138"/>
    </row>
    <row r="41" spans="1:15" ht="13.8">
      <c r="A41" s="2469" t="s">
        <v>2179</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4"/>
      <c r="B43" s="2164"/>
      <c r="C43" s="2164"/>
      <c r="D43" s="2164"/>
      <c r="E43" s="2164"/>
      <c r="F43" s="2471"/>
      <c r="G43" s="2471"/>
      <c r="H43" s="2471"/>
      <c r="I43" s="2472"/>
    </row>
    <row r="44" spans="1:15" ht="17.399999999999999">
      <c r="A44" s="2473" t="s">
        <v>2180</v>
      </c>
      <c r="B44" s="2474"/>
      <c r="C44" s="2474"/>
      <c r="D44" s="2475"/>
      <c r="E44" s="2475"/>
      <c r="F44" s="2476"/>
      <c r="G44" s="2476"/>
      <c r="H44" s="2476"/>
      <c r="I44" s="2476"/>
      <c r="J44" s="2477" t="s">
        <v>2181</v>
      </c>
      <c r="K44" s="2478"/>
      <c r="L44" s="2478"/>
      <c r="M44" s="2478"/>
      <c r="N44" s="2478"/>
      <c r="O44" s="2478"/>
    </row>
    <row r="45" spans="1:15" ht="14.25" customHeight="1" thickBot="1">
      <c r="A45" s="3138" t="s">
        <v>2182</v>
      </c>
      <c r="B45" s="3139"/>
      <c r="C45" s="3140"/>
      <c r="D45" s="164">
        <f ca="1">ROUND(H101*F45,0)</f>
        <v>563364</v>
      </c>
      <c r="E45" s="165" t="s">
        <v>2183</v>
      </c>
      <c r="F45" s="166">
        <v>1</v>
      </c>
      <c r="G45" s="167" t="s">
        <v>2184</v>
      </c>
      <c r="H45" s="138"/>
      <c r="I45" s="138"/>
      <c r="J45" s="3057" t="s">
        <v>2185</v>
      </c>
      <c r="K45" s="3057"/>
      <c r="L45" s="3057"/>
      <c r="M45" s="3057"/>
      <c r="N45" s="3057"/>
      <c r="O45" s="3057"/>
    </row>
    <row r="46" spans="1:15" ht="14.25" customHeight="1">
      <c r="A46" s="3135" t="s">
        <v>2186</v>
      </c>
      <c r="B46" s="3136"/>
      <c r="C46" s="3136"/>
      <c r="D46" s="3136"/>
      <c r="E46" s="3136"/>
      <c r="F46" s="3136"/>
      <c r="G46" s="3137"/>
      <c r="H46" s="2479"/>
      <c r="I46" s="168"/>
      <c r="J46" s="1808">
        <v>1</v>
      </c>
      <c r="K46" s="3057" t="s">
        <v>2187</v>
      </c>
      <c r="L46" s="3057"/>
      <c r="M46" s="3058"/>
      <c r="N46" s="3058"/>
      <c r="O46" s="3058"/>
    </row>
    <row r="47" spans="1:15" ht="12" customHeight="1">
      <c r="A47" s="169" t="s">
        <v>2188</v>
      </c>
      <c r="B47" s="170"/>
      <c r="C47" s="171"/>
      <c r="D47" s="172" t="s">
        <v>2189</v>
      </c>
      <c r="E47" s="24" t="s">
        <v>2190</v>
      </c>
      <c r="F47" s="173" t="s">
        <v>2191</v>
      </c>
      <c r="G47" s="174" t="s">
        <v>2192</v>
      </c>
      <c r="H47" s="2479"/>
      <c r="I47" s="168"/>
      <c r="J47" s="1808">
        <v>2</v>
      </c>
      <c r="K47" s="3057" t="s">
        <v>2193</v>
      </c>
      <c r="L47" s="3057"/>
      <c r="M47" s="3059">
        <f>'数据-取费表'!B2</f>
        <v>43802</v>
      </c>
      <c r="N47" s="3059"/>
      <c r="O47" s="3059"/>
    </row>
    <row r="48" spans="1:15" ht="26.4">
      <c r="A48" s="3125" t="s">
        <v>2194</v>
      </c>
      <c r="B48" s="3126"/>
      <c r="C48" s="3126"/>
      <c r="D48" s="140">
        <f>IF(H48="情况1",0,IF(H48="情况2",D52,IF(H48="情况3",D53,IF(H48="情况4",D54))))</f>
        <v>0</v>
      </c>
      <c r="E48" s="1797" t="str">
        <f>IF(H48="情况4","(销售额-原购置价)×税（费）率","销售额×税（费）率")</f>
        <v>销售额×税（费）率</v>
      </c>
      <c r="F48" s="175" t="str">
        <f>IF(H48="情况1","免征",'数据-取费表'!B41)</f>
        <v>免征</v>
      </c>
      <c r="G48" s="2480" t="s">
        <v>2195</v>
      </c>
      <c r="H48" s="2481" t="s">
        <v>2196</v>
      </c>
      <c r="I48" s="2479"/>
      <c r="J48" s="1808">
        <v>3</v>
      </c>
      <c r="K48" s="3057" t="s">
        <v>2197</v>
      </c>
      <c r="L48" s="3057"/>
      <c r="M48" s="3060">
        <f ca="1">H101</f>
        <v>563364</v>
      </c>
      <c r="N48" s="3060"/>
      <c r="O48" s="3060"/>
    </row>
    <row r="49" spans="1:35" ht="25.5" customHeight="1">
      <c r="A49" s="176" t="s">
        <v>2198</v>
      </c>
      <c r="B49" s="3105" t="s">
        <v>2199</v>
      </c>
      <c r="C49" s="3105"/>
      <c r="D49" s="177">
        <v>0</v>
      </c>
      <c r="E49" s="23" t="s">
        <v>2200</v>
      </c>
      <c r="F49" s="28" t="s">
        <v>34</v>
      </c>
      <c r="G49" s="3086"/>
      <c r="H49" s="138"/>
      <c r="I49" s="2482"/>
      <c r="J49" s="1808">
        <v>4</v>
      </c>
      <c r="K49" s="3057" t="str">
        <f>IF(项目基本情况!E8="房地产抵押价值","房地产抵押价值","抵押担保权已注销时的房地产抵押价值")</f>
        <v>抵押担保权已注销时的房地产抵押价值</v>
      </c>
      <c r="L49" s="3057"/>
      <c r="M49" s="3060" t="str">
        <f>IF(项目基本情况!E8="房地产抵押价值",H107,H109)</f>
        <v>——</v>
      </c>
      <c r="N49" s="3060"/>
      <c r="O49" s="3060"/>
    </row>
    <row r="50" spans="1:35" ht="25.5" customHeight="1">
      <c r="A50" s="178"/>
      <c r="B50" s="3105" t="s">
        <v>2201</v>
      </c>
      <c r="C50" s="3105"/>
      <c r="D50" s="179"/>
      <c r="E50" s="31"/>
      <c r="F50" s="180"/>
      <c r="G50" s="3087"/>
      <c r="H50" s="138"/>
      <c r="I50" s="2482"/>
      <c r="J50" s="3057" t="s">
        <v>2202</v>
      </c>
      <c r="K50" s="3057"/>
      <c r="L50" s="3057"/>
      <c r="M50" s="3057"/>
      <c r="N50" s="3057"/>
      <c r="O50" s="3057"/>
    </row>
    <row r="51" spans="1:35" ht="12" customHeight="1">
      <c r="A51" s="181"/>
      <c r="B51" s="3105" t="s">
        <v>2203</v>
      </c>
      <c r="C51" s="3105"/>
      <c r="D51" s="182"/>
      <c r="E51" s="30"/>
      <c r="F51" s="180"/>
      <c r="G51" s="3088"/>
      <c r="H51" s="138"/>
      <c r="I51" s="2482"/>
      <c r="J51" s="2483" t="s">
        <v>2204</v>
      </c>
      <c r="K51" s="3057" t="s">
        <v>2205</v>
      </c>
      <c r="L51" s="3057"/>
      <c r="M51" s="2483" t="s">
        <v>2206</v>
      </c>
      <c r="N51" s="2483" t="s">
        <v>2207</v>
      </c>
      <c r="O51" s="2483" t="s">
        <v>2208</v>
      </c>
    </row>
    <row r="52" spans="1:35" ht="24" customHeight="1">
      <c r="A52" s="183" t="s">
        <v>2209</v>
      </c>
      <c r="B52" s="3105" t="s">
        <v>2210</v>
      </c>
      <c r="C52" s="3105"/>
      <c r="D52" s="182">
        <f ca="1">ROUND(D45*'数据-取费表'!B41/(1+'数据-取费表'!C42),0)</f>
        <v>30046</v>
      </c>
      <c r="E52" s="11" t="s">
        <v>2211</v>
      </c>
      <c r="F52" s="184">
        <f>'数据-取费表'!B41</f>
        <v>5.6000000000000001E-2</v>
      </c>
      <c r="G52" s="2484"/>
      <c r="H52" s="138"/>
      <c r="I52" s="2482"/>
      <c r="J52" s="1808">
        <v>1</v>
      </c>
      <c r="K52" s="3080" t="s">
        <v>2212</v>
      </c>
      <c r="L52" s="3080"/>
      <c r="M52" s="1750">
        <f>D48</f>
        <v>0</v>
      </c>
      <c r="N52" s="1808" t="str">
        <f>E48</f>
        <v>销售额×税（费）率</v>
      </c>
      <c r="O52" s="1751" t="str">
        <f>F48</f>
        <v>免征</v>
      </c>
    </row>
    <row r="53" spans="1:35" ht="12" customHeight="1">
      <c r="A53" s="183" t="s">
        <v>2213</v>
      </c>
      <c r="B53" s="3106" t="s">
        <v>2214</v>
      </c>
      <c r="C53" s="3107"/>
      <c r="D53" s="182">
        <f ca="1">ROUND(D45*'数据-取费表'!B41/(1+'数据-取费表'!C42),0)</f>
        <v>30046</v>
      </c>
      <c r="E53" s="11" t="s">
        <v>2211</v>
      </c>
      <c r="F53" s="184">
        <f>'数据-取费表'!B41</f>
        <v>5.6000000000000001E-2</v>
      </c>
      <c r="G53" s="2484"/>
      <c r="H53" s="138"/>
      <c r="I53" s="2482"/>
      <c r="J53" s="1808">
        <v>2</v>
      </c>
      <c r="K53" s="3080" t="s">
        <v>2215</v>
      </c>
      <c r="L53" s="3080"/>
      <c r="M53" s="1750">
        <f t="shared" ref="M53:O54" ca="1" si="0">D55</f>
        <v>282</v>
      </c>
      <c r="N53" s="1808" t="str">
        <f t="shared" si="0"/>
        <v>销售额×税（费）率</v>
      </c>
      <c r="O53" s="1751">
        <f t="shared" si="0"/>
        <v>5.0000000000000001E-4</v>
      </c>
    </row>
    <row r="54" spans="1:35" ht="12" customHeight="1">
      <c r="A54" s="183" t="s">
        <v>2216</v>
      </c>
      <c r="B54" s="3106" t="s">
        <v>2217</v>
      </c>
      <c r="C54" s="3107"/>
      <c r="D54" s="182">
        <f ca="1">C68</f>
        <v>30046</v>
      </c>
      <c r="E54" s="30" t="s">
        <v>2218</v>
      </c>
      <c r="F54" s="184">
        <f>'数据-取费表'!B41</f>
        <v>5.6000000000000001E-2</v>
      </c>
      <c r="G54" s="2484"/>
      <c r="H54" s="2485"/>
      <c r="I54" s="2482"/>
      <c r="J54" s="1808">
        <v>3</v>
      </c>
      <c r="K54" s="3080" t="s">
        <v>2219</v>
      </c>
      <c r="L54" s="3080"/>
      <c r="M54" s="1750">
        <f t="shared" ca="1" si="0"/>
        <v>318864</v>
      </c>
      <c r="N54" s="1808" t="str">
        <f t="shared" si="0"/>
        <v>增值额×税（费）率</v>
      </c>
      <c r="O54" s="1752" t="str">
        <f t="shared" si="0"/>
        <v>——</v>
      </c>
    </row>
    <row r="55" spans="1:35" ht="24" customHeight="1">
      <c r="A55" s="3144" t="s">
        <v>2220</v>
      </c>
      <c r="B55" s="3126"/>
      <c r="C55" s="3126"/>
      <c r="D55" s="185">
        <f ca="1">IF(H55="个人住宅",0,ROUND(D45*I55,0))</f>
        <v>282</v>
      </c>
      <c r="E55" s="11" t="s">
        <v>2221</v>
      </c>
      <c r="F55" s="184">
        <f>IF(H55="正常",I55,"免征")</f>
        <v>5.0000000000000001E-4</v>
      </c>
      <c r="G55" s="2484"/>
      <c r="H55" s="2481" t="s">
        <v>2222</v>
      </c>
      <c r="I55" s="186">
        <f>'数据-取费表'!B49</f>
        <v>5.0000000000000001E-4</v>
      </c>
      <c r="J55" s="1808" t="str">
        <f>IF(H59="非个人房产","",4)</f>
        <v/>
      </c>
      <c r="K55" s="3080" t="str">
        <f>IF(H59="非个人房产","——","个人所得税")</f>
        <v>——</v>
      </c>
      <c r="L55" s="3080"/>
      <c r="M55" s="1753" t="str">
        <f>D59</f>
        <v>——</v>
      </c>
      <c r="N55" s="1806" t="str">
        <f>E59</f>
        <v>——</v>
      </c>
      <c r="O55" s="1754" t="str">
        <f>F59</f>
        <v>——</v>
      </c>
    </row>
    <row r="56" spans="1:35" ht="25.2">
      <c r="A56" s="3144" t="s">
        <v>2223</v>
      </c>
      <c r="B56" s="3126"/>
      <c r="C56" s="3126"/>
      <c r="D56" s="185">
        <f ca="1">IF(H56="个人住宅",D57,D58)</f>
        <v>318864</v>
      </c>
      <c r="E56" s="11" t="s">
        <v>2224</v>
      </c>
      <c r="F56" s="184" t="str">
        <f>IF(H56="正常",F58,"免征")</f>
        <v>——</v>
      </c>
      <c r="G56" s="2486" t="s">
        <v>2225</v>
      </c>
      <c r="H56" s="2487" t="s">
        <v>2222</v>
      </c>
      <c r="I56" s="2488"/>
      <c r="J56" s="1808" t="str">
        <f>IF(项目基本情况!K6="上海银行",IF(J55="",4,J55+1),"")</f>
        <v/>
      </c>
      <c r="K56" s="3063" t="str">
        <f>IF(项目基本情况!K6="上海银行","其他处置费用","")</f>
        <v/>
      </c>
      <c r="L56" s="3064"/>
      <c r="M56" s="1750" t="str">
        <f>IF(项目基本情况!K6="上海银行",M69,"")</f>
        <v/>
      </c>
      <c r="N56" s="3066" t="str">
        <f>IF(项目基本情况!K6="上海银行","包含处置中涉及的律师、诉讼、拍卖、评估等费用","")</f>
        <v/>
      </c>
      <c r="O56" s="3067"/>
    </row>
    <row r="57" spans="1:35" ht="13.2">
      <c r="A57" s="183" t="s">
        <v>2198</v>
      </c>
      <c r="B57" s="3111" t="s">
        <v>2226</v>
      </c>
      <c r="C57" s="3112"/>
      <c r="D57" s="187">
        <v>0</v>
      </c>
      <c r="E57" s="23" t="s">
        <v>2200</v>
      </c>
      <c r="F57" s="155"/>
      <c r="G57" s="2484"/>
      <c r="H57" s="2488"/>
      <c r="I57" s="2488"/>
      <c r="J57" s="3080">
        <f>IF(AND(J55="",J56=""),4,IF(项目基本情况!K6="上海银行",结果表!J56+1,结果表!J55+1))</f>
        <v>4</v>
      </c>
      <c r="K57" s="3080" t="s">
        <v>2227</v>
      </c>
      <c r="L57" s="2489" t="s">
        <v>2228</v>
      </c>
      <c r="M57" s="1755"/>
      <c r="N57" s="1756">
        <f ca="1">SUMIF(M52:M56,"&lt;9e307")</f>
        <v>319146</v>
      </c>
      <c r="O57" s="2490"/>
      <c r="P57" s="1749" t="e">
        <f ca="1">N57/M49</f>
        <v>#VALUE!</v>
      </c>
    </row>
    <row r="58" spans="1:35" ht="25.2">
      <c r="A58" s="183" t="s">
        <v>2209</v>
      </c>
      <c r="B58" s="3111" t="s">
        <v>2229</v>
      </c>
      <c r="C58" s="3124"/>
      <c r="D58" s="185">
        <f ca="1">IF(H58="转让取得",C81,C97)</f>
        <v>318864</v>
      </c>
      <c r="E58" s="11" t="s">
        <v>2224</v>
      </c>
      <c r="F58" s="24" t="s">
        <v>34</v>
      </c>
      <c r="G58" s="2484"/>
      <c r="H58" s="2487" t="s">
        <v>2230</v>
      </c>
      <c r="I58" s="2488"/>
      <c r="J58" s="3080"/>
      <c r="K58" s="3080"/>
      <c r="L58" s="2489" t="s">
        <v>2231</v>
      </c>
      <c r="M58" s="1757"/>
      <c r="N58" s="2491" t="str">
        <f ca="1">NUMBERSTRING(INT(N57*10000),2)&amp;"元整"</f>
        <v>叁拾壹亿玖仟壹佰肆拾陆万元整</v>
      </c>
      <c r="O58" s="2492"/>
    </row>
    <row r="59" spans="1:35" ht="24.6" thickBot="1">
      <c r="A59" s="3084" t="s">
        <v>2232</v>
      </c>
      <c r="B59" s="3085"/>
      <c r="C59" s="3085"/>
      <c r="D59" s="188" t="str">
        <f>IF(H59="非个人房产","——",IF(H59="个人住宅",0,ROUND(D45*I59,0)))</f>
        <v>——</v>
      </c>
      <c r="E59" s="189" t="str">
        <f>IF(H59="非个人房产","——","销售额×税（费）率")</f>
        <v>——</v>
      </c>
      <c r="F59" s="190" t="str">
        <f>IF(H59="非个人房产","——",IF(H59="个人住宅","免征",I59))</f>
        <v>——</v>
      </c>
      <c r="G59" s="2493" t="s">
        <v>2225</v>
      </c>
      <c r="H59" s="2487" t="s">
        <v>2233</v>
      </c>
      <c r="I59" s="191">
        <v>0.01</v>
      </c>
      <c r="J59" s="3082">
        <f>J57+1</f>
        <v>5</v>
      </c>
      <c r="K59" s="3080" t="s">
        <v>2234</v>
      </c>
      <c r="L59" s="1808" t="s">
        <v>2228</v>
      </c>
      <c r="M59" s="1758"/>
      <c r="N59" s="1759" t="e">
        <f ca="1">M49-N57</f>
        <v>#VALUE!</v>
      </c>
      <c r="O59" s="2494"/>
    </row>
    <row r="60" spans="1:35" ht="12" customHeight="1">
      <c r="A60" s="2495"/>
      <c r="B60" s="2417"/>
      <c r="C60" s="2417"/>
      <c r="D60" s="2417"/>
      <c r="E60" s="2165"/>
      <c r="F60" s="2488"/>
      <c r="G60" s="2488"/>
      <c r="H60" s="2496"/>
      <c r="I60" s="138"/>
      <c r="J60" s="3083"/>
      <c r="K60" s="3080"/>
      <c r="L60" s="2489" t="s">
        <v>2231</v>
      </c>
      <c r="M60" s="1757"/>
      <c r="N60" s="2491" t="e">
        <f ca="1">NUMBERSTRING(INT(N59*10000),2)&amp;"元整"</f>
        <v>#VALUE!</v>
      </c>
      <c r="O60" s="2492"/>
    </row>
    <row r="61" spans="1:35" ht="13.8" thickBot="1">
      <c r="A61" s="3143" t="s">
        <v>2235</v>
      </c>
      <c r="B61" s="3143"/>
      <c r="C61" s="3143"/>
      <c r="D61" s="3143"/>
      <c r="E61" s="3143"/>
      <c r="F61" s="2488"/>
      <c r="G61" s="2488"/>
      <c r="H61" s="2496"/>
      <c r="I61" s="138"/>
      <c r="J61" s="1808">
        <f>J59+1</f>
        <v>6</v>
      </c>
      <c r="K61" s="3080" t="s">
        <v>2236</v>
      </c>
      <c r="L61" s="3080"/>
      <c r="M61" s="1760"/>
      <c r="N61" s="1761" t="e">
        <f ca="1">ROUND(N59*10000/'数据-汇总表'!E3,0)</f>
        <v>#VALUE!</v>
      </c>
      <c r="O61" s="2497"/>
    </row>
    <row r="62" spans="1:35" ht="13.2">
      <c r="A62" s="3100" t="s">
        <v>2237</v>
      </c>
      <c r="B62" s="3101"/>
      <c r="C62" s="1800"/>
      <c r="D62" s="1800" t="s">
        <v>2238</v>
      </c>
      <c r="E62" s="192" t="s">
        <v>2239</v>
      </c>
      <c r="F62" s="2488"/>
      <c r="G62" s="2488"/>
      <c r="H62" s="2496"/>
      <c r="I62" s="138"/>
    </row>
    <row r="63" spans="1:35" ht="13.2">
      <c r="A63" s="203" t="s">
        <v>775</v>
      </c>
      <c r="B63" s="193" t="s">
        <v>2240</v>
      </c>
      <c r="C63" s="194">
        <f ca="1">ROUND((C64+C65)/(1+'数据-取费表'!C42),0)</f>
        <v>536537</v>
      </c>
      <c r="D63" s="195"/>
      <c r="E63" s="196"/>
      <c r="F63" s="2488"/>
      <c r="G63" s="2488"/>
      <c r="H63" s="2496"/>
      <c r="I63" s="138"/>
      <c r="J63" s="3065" t="s">
        <v>2241</v>
      </c>
      <c r="K63" s="2498" t="s">
        <v>2242</v>
      </c>
      <c r="L63" s="1748" t="e">
        <f>IF(M49&gt;10000,M49*0.5%,IF(AND(M49&gt;1000,M49&lt;=10000),M49*1%,IF(AND(M49&gt;100,M49&lt;=1000),M49*3%,IF(AND(M49&gt;10,M49&lt;=100),M49*5%,M49*8%))))</f>
        <v>#VALUE!</v>
      </c>
      <c r="M63" s="24" t="e">
        <f>ROUND(L63,1)</f>
        <v>#VALUE!</v>
      </c>
      <c r="Z63" s="2422"/>
      <c r="AI63" s="2423"/>
    </row>
    <row r="64" spans="1:35" ht="14.25" customHeight="1">
      <c r="A64" s="197" t="s">
        <v>770</v>
      </c>
      <c r="B64" s="198" t="s">
        <v>2243</v>
      </c>
      <c r="C64" s="199">
        <f ca="1">D45</f>
        <v>563364</v>
      </c>
      <c r="D64" s="200" t="s">
        <v>32</v>
      </c>
      <c r="E64" s="201"/>
      <c r="F64" s="2488"/>
      <c r="G64" s="2488"/>
      <c r="H64" s="2496"/>
      <c r="I64" s="138"/>
      <c r="J64" s="3065"/>
      <c r="K64" s="2498" t="s">
        <v>2244</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2245</v>
      </c>
      <c r="Z64" s="2422"/>
      <c r="AI64" s="2423"/>
    </row>
    <row r="65" spans="1:35" ht="14.25" customHeight="1">
      <c r="A65" s="197" t="s">
        <v>771</v>
      </c>
      <c r="B65" s="198" t="s">
        <v>2246</v>
      </c>
      <c r="C65" s="202"/>
      <c r="D65" s="200"/>
      <c r="E65" s="201"/>
      <c r="F65" s="2488"/>
      <c r="G65" s="2488"/>
      <c r="H65" s="2496"/>
      <c r="I65" s="138"/>
      <c r="J65" s="3065"/>
      <c r="K65" s="2498" t="s">
        <v>2247</v>
      </c>
      <c r="L65" s="1748" t="e">
        <f>IF(M49&gt;1000,M49*0.1%,IF(AND(M49&gt;500,M49&lt;=1000),M49*0.5%,IF(AND(M49&gt;50,M49&lt;=500),M49*1%,IF(AND(M49&gt;1,M49&lt;=50),M49*1.5%))))</f>
        <v>#VALUE!</v>
      </c>
      <c r="M65" s="24" t="e">
        <f t="shared" si="1"/>
        <v>#VALUE!</v>
      </c>
      <c r="N65" s="138" t="s">
        <v>2245</v>
      </c>
      <c r="Z65" s="2422"/>
      <c r="AI65" s="2423"/>
    </row>
    <row r="66" spans="1:35" ht="14.25" customHeight="1">
      <c r="A66" s="203" t="s">
        <v>772</v>
      </c>
      <c r="B66" s="204" t="s">
        <v>2248</v>
      </c>
      <c r="C66" s="205"/>
      <c r="D66" s="206" t="s">
        <v>32</v>
      </c>
      <c r="E66" s="1772" t="s">
        <v>1367</v>
      </c>
      <c r="F66" s="2488"/>
      <c r="G66" s="2488"/>
      <c r="H66" s="2496"/>
      <c r="I66" s="138"/>
      <c r="J66" s="3065"/>
      <c r="K66" s="2498" t="s">
        <v>2249</v>
      </c>
      <c r="L66" s="1748" t="e">
        <f>M49*0.5%</f>
        <v>#VALUE!</v>
      </c>
      <c r="M66" s="24" t="e">
        <f>IF(L66&gt;0.5,0.5,ROUND(L66,0))</f>
        <v>#VALUE!</v>
      </c>
      <c r="N66" s="138" t="s">
        <v>2250</v>
      </c>
      <c r="Z66" s="2422"/>
      <c r="AI66" s="2423"/>
    </row>
    <row r="67" spans="1:35" ht="14.25" customHeight="1">
      <c r="A67" s="203" t="s">
        <v>773</v>
      </c>
      <c r="B67" s="204" t="s">
        <v>2251</v>
      </c>
      <c r="C67" s="207">
        <f ca="1">C63-C66</f>
        <v>536537</v>
      </c>
      <c r="D67" s="200" t="s">
        <v>32</v>
      </c>
      <c r="E67" s="201"/>
      <c r="F67" s="2488"/>
      <c r="G67" s="2488"/>
      <c r="H67" s="2496"/>
      <c r="I67" s="138"/>
      <c r="J67" s="3065"/>
      <c r="K67" s="2498" t="s">
        <v>2252</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2253</v>
      </c>
      <c r="C68" s="210">
        <f ca="1">IF(C67&lt;=0,0,ROUND(C67*D68,0))</f>
        <v>30046</v>
      </c>
      <c r="D68" s="211">
        <f>'数据-取费表'!B41</f>
        <v>5.6000000000000001E-2</v>
      </c>
      <c r="E68" s="212"/>
      <c r="F68" s="2488"/>
      <c r="G68" s="2488"/>
      <c r="H68" s="2496"/>
      <c r="I68" s="138"/>
      <c r="J68" s="3065"/>
      <c r="K68" s="2498" t="s">
        <v>2254</v>
      </c>
      <c r="L68" s="1748"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065"/>
      <c r="K69" s="2498" t="s">
        <v>2255</v>
      </c>
      <c r="L69" s="2504"/>
      <c r="M69" s="24" t="e">
        <f>ROUND(SUM(M63:M68),0)</f>
        <v>#VALUE!</v>
      </c>
      <c r="N69" s="1749"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09" t="s">
        <v>2256</v>
      </c>
      <c r="B70" s="3110"/>
      <c r="C70" s="3110"/>
      <c r="D70" s="3110"/>
      <c r="E70" s="3110"/>
      <c r="F70" s="3110"/>
      <c r="G70" s="3110"/>
      <c r="H70" s="3110"/>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00" t="s">
        <v>2237</v>
      </c>
      <c r="B71" s="3101"/>
      <c r="C71" s="1800"/>
      <c r="D71" s="1800" t="s">
        <v>2238</v>
      </c>
      <c r="E71" s="213" t="s">
        <v>2239</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2257</v>
      </c>
      <c r="C72" s="207">
        <f ca="1">ROUND(D45/(1+'数据-取费表'!C42),0)</f>
        <v>536537</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2258</v>
      </c>
      <c r="C73" s="207">
        <f ca="1">C74+C78</f>
        <v>3219</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2259</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2260</v>
      </c>
      <c r="C75" s="218"/>
      <c r="D75" s="200" t="s">
        <v>32</v>
      </c>
      <c r="E75" s="219" t="s">
        <v>2261</v>
      </c>
      <c r="F75" s="2510" t="s">
        <v>2262</v>
      </c>
      <c r="G75" s="219" t="s">
        <v>2263</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2264</v>
      </c>
      <c r="C76" s="200">
        <f>IF(F75="购房发票",ROUND(C75*H75*D76,0),0)</f>
        <v>0</v>
      </c>
      <c r="D76" s="222">
        <v>0.05</v>
      </c>
      <c r="E76" s="3106" t="s">
        <v>2265</v>
      </c>
      <c r="F76" s="3105"/>
      <c r="G76" s="3105"/>
      <c r="H76" s="3108"/>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2" t="s">
        <v>2268</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2269</v>
      </c>
      <c r="C78" s="225">
        <f ca="1">ROUND(D45*D78/(1+'数据-取费表'!C42),0)</f>
        <v>3219</v>
      </c>
      <c r="D78" s="226">
        <f>'数据-取费表'!B43</f>
        <v>6.000000000000001E-3</v>
      </c>
      <c r="E78" s="3097" t="s">
        <v>2270</v>
      </c>
      <c r="F78" s="3098"/>
      <c r="G78" s="3098"/>
      <c r="H78" s="3099"/>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2271</v>
      </c>
      <c r="C79" s="207">
        <f ca="1">C72-C73</f>
        <v>533318</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2272</v>
      </c>
      <c r="C80" s="227">
        <f ca="1">IF(C79&lt;=0,0,C79/C73)</f>
        <v>165.67816091954023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2273</v>
      </c>
      <c r="C81" s="228">
        <f ca="1">ROUND(IF(C79&lt;=0,0,IF(C80&gt;=200%,C79*60%-C73*35%,IF(C80&gt;=100%,C79*50%-C73*15%,IF(C80&gt;=50%,C79*40%-C73*5%,IF(C80&lt;50%,C79*30%,0))))),0)</f>
        <v>318864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09" t="s">
        <v>2274</v>
      </c>
      <c r="B83" s="3110"/>
      <c r="C83" s="3110"/>
      <c r="D83" s="3110"/>
      <c r="E83" s="3110"/>
      <c r="F83" s="3110"/>
      <c r="G83" s="3110"/>
      <c r="H83" s="3110"/>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00" t="s">
        <v>2237</v>
      </c>
      <c r="B84" s="3101"/>
      <c r="C84" s="1800"/>
      <c r="D84" s="1800" t="s">
        <v>2238</v>
      </c>
      <c r="E84" s="213" t="s">
        <v>2239</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2257</v>
      </c>
      <c r="C85" s="207">
        <f ca="1">ROUND(D45/(1+'数据-取费表'!C42),0)</f>
        <v>536537</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2258</v>
      </c>
      <c r="C86" s="207">
        <f ca="1">IF(H88="仅含出让金",C87+C90+C91+C92+C93+C94,C87+C91+C92+C93+C94)</f>
        <v>3219</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2275</v>
      </c>
      <c r="C87" s="225">
        <f>C88+C89</f>
        <v>0</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2276</v>
      </c>
      <c r="C88" s="236"/>
      <c r="D88" s="226"/>
      <c r="E88" s="237" t="s">
        <v>2277</v>
      </c>
      <c r="F88" s="1796"/>
      <c r="G88" s="238" t="s">
        <v>2278</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2266</v>
      </c>
      <c r="C89" s="225">
        <f>ROUND(C88*D89,0)</f>
        <v>0</v>
      </c>
      <c r="D89" s="226">
        <f>'数据-取费表'!B48+'数据-取费表'!B49</f>
        <v>3.0499999999999999E-2</v>
      </c>
      <c r="E89" s="237" t="s">
        <v>2279</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2280</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2281</v>
      </c>
      <c r="B91" s="198" t="s">
        <v>2282</v>
      </c>
      <c r="C91" s="225">
        <f>IF(H91="——",成本法!C33,I91)</f>
        <v>0</v>
      </c>
      <c r="D91" s="226"/>
      <c r="E91" s="3097" t="s">
        <v>2283</v>
      </c>
      <c r="F91" s="3098"/>
      <c r="G91" s="3098"/>
      <c r="H91" s="2517" t="s">
        <v>2284</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2285</v>
      </c>
      <c r="B92" s="198" t="s">
        <v>2286</v>
      </c>
      <c r="C92" s="225">
        <f>ROUND((C87+C90+C91)*D92,0)</f>
        <v>0</v>
      </c>
      <c r="D92" s="226">
        <v>0.1</v>
      </c>
      <c r="E92" s="3097" t="s">
        <v>2287</v>
      </c>
      <c r="F92" s="3098"/>
      <c r="G92" s="3098"/>
      <c r="H92" s="3099"/>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2288</v>
      </c>
      <c r="B93" s="198" t="s">
        <v>2269</v>
      </c>
      <c r="C93" s="225">
        <f ca="1">ROUND(D45*D93/(1+'数据-取费表'!C42),0)</f>
        <v>3219</v>
      </c>
      <c r="D93" s="226">
        <f>'数据-取费表'!B43</f>
        <v>6.000000000000001E-3</v>
      </c>
      <c r="E93" s="3097" t="s">
        <v>2270</v>
      </c>
      <c r="F93" s="3098"/>
      <c r="G93" s="3098"/>
      <c r="H93" s="3099"/>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2289</v>
      </c>
      <c r="B94" s="198" t="s">
        <v>2290</v>
      </c>
      <c r="C94" s="236">
        <f>ROUND((C87+C90+C91)*D94,0)</f>
        <v>0</v>
      </c>
      <c r="D94" s="226">
        <v>0.2</v>
      </c>
      <c r="E94" s="3145" t="s">
        <v>2291</v>
      </c>
      <c r="F94" s="3146"/>
      <c r="G94" s="3146"/>
      <c r="H94" s="3147"/>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2271</v>
      </c>
      <c r="C95" s="207">
        <f ca="1">ROUND(C85-C86,0)</f>
        <v>533318</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2272</v>
      </c>
      <c r="C96" s="227">
        <f ca="1">IF(C95&lt;=0,0,C95/C86)</f>
        <v>165.67816091954023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2273</v>
      </c>
      <c r="C97" s="228">
        <f ca="1">ROUND(IF(C95&lt;=0,0,IF(C96&gt;=200%,C95*60%-C86*35%,IF(C96&gt;=100%,C95*50%-C86*15%,IF(C96&gt;=50%,C95*40%-C86*5%,IF(C96&lt;50%,C95*30%,0))))),0)</f>
        <v>318864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2292</v>
      </c>
      <c r="B99" s="2417"/>
      <c r="C99" s="2417"/>
      <c r="D99" s="2417"/>
      <c r="E99" s="2165"/>
      <c r="F99" s="2165"/>
      <c r="G99" s="2165"/>
      <c r="H99" s="2164"/>
      <c r="I99" s="138"/>
    </row>
    <row r="100" spans="1:35" ht="18.75" customHeight="1">
      <c r="A100" s="3049" t="s">
        <v>2293</v>
      </c>
      <c r="B100" s="3050"/>
      <c r="C100" s="3050"/>
      <c r="D100" s="3081"/>
      <c r="E100" s="3050" t="s">
        <v>2294</v>
      </c>
      <c r="F100" s="3050"/>
      <c r="G100" s="3050"/>
      <c r="H100" s="3081"/>
      <c r="I100" s="138"/>
    </row>
    <row r="101" spans="1:35" ht="18.75" customHeight="1">
      <c r="A101" s="3089" t="s">
        <v>2295</v>
      </c>
      <c r="B101" s="3090"/>
      <c r="C101" s="736" t="str">
        <f>C4</f>
        <v>成本法</v>
      </c>
      <c r="D101" s="737" t="str">
        <f>D4</f>
        <v>收益法</v>
      </c>
      <c r="E101" s="3061" t="s">
        <v>2296</v>
      </c>
      <c r="F101" s="3062"/>
      <c r="G101" s="2519" t="s">
        <v>2297</v>
      </c>
      <c r="H101" s="1045">
        <f ca="1">H118</f>
        <v>563364</v>
      </c>
      <c r="I101" s="138"/>
    </row>
    <row r="102" spans="1:35" ht="18.75" customHeight="1">
      <c r="A102" s="3091" t="s">
        <v>2298</v>
      </c>
      <c r="B102" s="2519" t="s">
        <v>2297</v>
      </c>
      <c r="C102" s="736">
        <f ca="1">C19</f>
        <v>572342</v>
      </c>
      <c r="D102" s="737">
        <f ca="1">D19</f>
        <v>554386</v>
      </c>
      <c r="E102" s="3061"/>
      <c r="F102" s="3062"/>
      <c r="G102" s="2519" t="s">
        <v>2299</v>
      </c>
      <c r="H102" s="371">
        <f ca="1">I118</f>
        <v>54737</v>
      </c>
      <c r="I102" s="138"/>
    </row>
    <row r="103" spans="1:35" ht="42.75" customHeight="1">
      <c r="A103" s="3091"/>
      <c r="B103" s="2519" t="s">
        <v>2299</v>
      </c>
      <c r="C103" s="738">
        <f ca="1">C20</f>
        <v>55610</v>
      </c>
      <c r="D103" s="739">
        <f ca="1">D20</f>
        <v>53865</v>
      </c>
      <c r="E103" s="3055" t="s">
        <v>2300</v>
      </c>
      <c r="F103" s="3056"/>
      <c r="G103" s="2520" t="s">
        <v>2301</v>
      </c>
      <c r="H103" s="1045">
        <f>IF(D36="正常操作",H104+H105+H106,H105+H106)</f>
        <v>0</v>
      </c>
      <c r="I103" s="138"/>
    </row>
    <row r="104" spans="1:35" ht="18.75" customHeight="1">
      <c r="A104" s="3091" t="s">
        <v>2302</v>
      </c>
      <c r="B104" s="2521" t="s">
        <v>2297</v>
      </c>
      <c r="C104" s="740">
        <f ca="1">H118</f>
        <v>563364</v>
      </c>
      <c r="D104" s="741"/>
      <c r="E104" s="2266" t="s">
        <v>2303</v>
      </c>
      <c r="F104" s="2257"/>
      <c r="G104" s="2520" t="s">
        <v>2301</v>
      </c>
      <c r="H104" s="1046">
        <f>IF(D36="同一抵押权人同一抵押物续贷",C36&amp;"（未扣减，详见特别提示）",C36)</f>
        <v>0</v>
      </c>
      <c r="I104" s="138"/>
    </row>
    <row r="105" spans="1:35" ht="18.75" customHeight="1" thickBot="1">
      <c r="A105" s="3103"/>
      <c r="B105" s="2522" t="s">
        <v>2299</v>
      </c>
      <c r="C105" s="742">
        <f ca="1">I118</f>
        <v>54737</v>
      </c>
      <c r="D105" s="743"/>
      <c r="E105" s="2266" t="s">
        <v>2304</v>
      </c>
      <c r="F105" s="2257"/>
      <c r="G105" s="2520" t="s">
        <v>2301</v>
      </c>
      <c r="H105" s="1046">
        <f>C37</f>
        <v>0</v>
      </c>
      <c r="I105" s="138"/>
    </row>
    <row r="106" spans="1:35" ht="18.75" customHeight="1">
      <c r="A106" s="2417" t="s">
        <v>2305</v>
      </c>
      <c r="B106" s="2417"/>
      <c r="C106" s="2417"/>
      <c r="D106" s="2417"/>
      <c r="E106" s="2523" t="s">
        <v>2306</v>
      </c>
      <c r="F106" s="2257"/>
      <c r="G106" s="2520" t="s">
        <v>2301</v>
      </c>
      <c r="H106" s="1046">
        <f>C38</f>
        <v>0</v>
      </c>
      <c r="I106" s="138"/>
    </row>
    <row r="107" spans="1:35" ht="18.75" customHeight="1">
      <c r="A107" s="138"/>
      <c r="B107" s="138"/>
      <c r="C107" s="138"/>
      <c r="D107" s="138"/>
      <c r="E107" s="3092" t="str">
        <f>IF(项目基本情况!E8="已注销","——","3.房地产抵押价值")</f>
        <v>3.房地产抵押价值</v>
      </c>
      <c r="F107" s="3062"/>
      <c r="G107" s="2519" t="s">
        <v>2297</v>
      </c>
      <c r="H107" s="1045">
        <f ca="1">IF(E107="——","——",H101-H103)</f>
        <v>563364</v>
      </c>
      <c r="I107" s="138"/>
    </row>
    <row r="108" spans="1:35" ht="18.75" customHeight="1">
      <c r="A108" s="138"/>
      <c r="B108" s="138"/>
      <c r="C108" s="138"/>
      <c r="D108" s="138"/>
      <c r="E108" s="3092"/>
      <c r="F108" s="3062"/>
      <c r="G108" s="2519" t="s">
        <v>2299</v>
      </c>
      <c r="H108" s="371">
        <f ca="1">ROUND(H107*10000/'数据-汇总表'!E3,0)</f>
        <v>54737</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v>
      </c>
      <c r="F109" s="3062"/>
      <c r="G109" s="2519" t="s">
        <v>2297</v>
      </c>
      <c r="H109" s="348" t="str">
        <f>IF(E109="——","——",H101-H105-H106)</f>
        <v>——</v>
      </c>
      <c r="I109" s="138"/>
    </row>
    <row r="110" spans="1:35" ht="18.75" customHeight="1">
      <c r="A110" s="138"/>
      <c r="B110" s="138"/>
      <c r="C110" s="138"/>
      <c r="D110" s="138"/>
      <c r="E110" s="3092"/>
      <c r="F110" s="3062"/>
      <c r="G110" s="2519" t="s">
        <v>2299</v>
      </c>
      <c r="H110" s="371" t="str">
        <f>IF(H109="——","——",ROUND(H109*10000/'数据-汇总表'!E3,0))</f>
        <v>——</v>
      </c>
      <c r="I110" s="138"/>
    </row>
    <row r="111" spans="1:35" ht="18.75" customHeight="1">
      <c r="A111" s="138"/>
      <c r="B111" s="138"/>
      <c r="C111" s="138"/>
      <c r="D111" s="138"/>
      <c r="E111" s="3093" t="str">
        <f>IF(项目基本情况!E9="抵押净值",IF(OR(项目基本情况!E8="已注销",项目基本情况!E8="房地产抵押价值"),"4.抵押净值","5.抵押净值"),"——")</f>
        <v>——</v>
      </c>
      <c r="F111" s="3094"/>
      <c r="G111" s="2519" t="s">
        <v>2297</v>
      </c>
      <c r="H111" s="1045" t="str">
        <f>IF(E111="——","——",N59)</f>
        <v>——</v>
      </c>
      <c r="I111" s="138"/>
    </row>
    <row r="112" spans="1:35" ht="18.75" customHeight="1" thickBot="1">
      <c r="A112" s="138"/>
      <c r="B112" s="138"/>
      <c r="C112" s="138"/>
      <c r="D112" s="138"/>
      <c r="E112" s="3095"/>
      <c r="F112" s="3096"/>
      <c r="G112" s="2524" t="s">
        <v>2299</v>
      </c>
      <c r="H112" s="790" t="str">
        <f>IF(E111="——","——",N61)</f>
        <v>——</v>
      </c>
      <c r="I112" s="138"/>
    </row>
    <row r="113" spans="1:11" ht="18.75" customHeight="1">
      <c r="A113" s="138"/>
      <c r="B113" s="138"/>
      <c r="C113" s="138"/>
      <c r="D113" s="138"/>
      <c r="E113" s="3104" t="s">
        <v>2305</v>
      </c>
      <c r="F113" s="3104"/>
      <c r="G113" s="3104"/>
      <c r="H113" s="3104"/>
      <c r="I113" s="138"/>
    </row>
    <row r="114" spans="1:11" ht="3.75" customHeight="1">
      <c r="A114" s="2417"/>
      <c r="B114" s="2417"/>
      <c r="C114" s="2417"/>
      <c r="D114" s="2417"/>
      <c r="E114" s="2495"/>
      <c r="F114" s="2495"/>
      <c r="G114" s="2495"/>
      <c r="H114" s="2495"/>
      <c r="I114" s="2417"/>
    </row>
    <row r="115" spans="1:11" ht="18.75" customHeight="1">
      <c r="A115" s="3117" t="s">
        <v>2307</v>
      </c>
      <c r="B115" s="3118"/>
      <c r="C115" s="3118"/>
      <c r="D115" s="3118"/>
      <c r="E115" s="3118"/>
      <c r="F115" s="3118"/>
      <c r="G115" s="3118"/>
      <c r="H115" s="3118"/>
      <c r="I115" s="3119"/>
    </row>
    <row r="116" spans="1:11" ht="27" customHeight="1">
      <c r="A116" s="3028" t="s">
        <v>2308</v>
      </c>
      <c r="B116" s="3071" t="s">
        <v>2309</v>
      </c>
      <c r="C116" s="3071" t="s">
        <v>2310</v>
      </c>
      <c r="D116" s="3077" t="s">
        <v>2311</v>
      </c>
      <c r="E116" s="3078"/>
      <c r="F116" s="3113" t="s">
        <v>2312</v>
      </c>
      <c r="G116" s="3113"/>
      <c r="H116" s="3028" t="s">
        <v>2313</v>
      </c>
      <c r="I116" s="3028"/>
    </row>
    <row r="117" spans="1:11" ht="18.75" customHeight="1">
      <c r="A117" s="3028"/>
      <c r="B117" s="3072"/>
      <c r="C117" s="3072"/>
      <c r="D117" s="1794" t="s">
        <v>2314</v>
      </c>
      <c r="E117" s="1794" t="s">
        <v>2315</v>
      </c>
      <c r="F117" s="1794" t="s">
        <v>2314</v>
      </c>
      <c r="G117" s="1794" t="s">
        <v>2316</v>
      </c>
      <c r="H117" s="1794" t="s">
        <v>2314</v>
      </c>
      <c r="I117" s="1794" t="s">
        <v>2316</v>
      </c>
    </row>
    <row r="118" spans="1:11" ht="24.75" customHeight="1">
      <c r="A118" s="2525" t="str">
        <f>项目基本情况!S2</f>
        <v>北京市出让国有建设用地使用权及在建建筑物房地产</v>
      </c>
      <c r="B118" s="1794">
        <f>M18</f>
        <v>102921.28</v>
      </c>
      <c r="C118" s="1794">
        <f>M19</f>
        <v>14193.330000000002</v>
      </c>
      <c r="D118" s="1794">
        <f ca="1">ROUND(IF(D32="总价",C34,E118*B118/10000),0)</f>
        <v>479423</v>
      </c>
      <c r="E118" s="1794">
        <f ca="1">ROUND(IF(C33="自定义",IF(D32="楼面单价",C34,D118*10000/B118),I118-G118),0)</f>
        <v>46581</v>
      </c>
      <c r="F118" s="1794">
        <f ca="1">ROUND(IF(D32="总价",C35,G118*B118/10000),0)</f>
        <v>83941</v>
      </c>
      <c r="G118" s="1794">
        <f ca="1">ROUND(IF(D32="楼面单价",C35,F118*10000/B118),0)</f>
        <v>8156</v>
      </c>
      <c r="H118" s="1794">
        <f ca="1">ROUND(IF(D32="总价",C32,I118*B118/10000),0)</f>
        <v>563364</v>
      </c>
      <c r="I118" s="1794">
        <f ca="1">ROUND(IF(D32="楼面单价",C32,H118*10000/B118),0)</f>
        <v>54737</v>
      </c>
    </row>
    <row r="119" spans="1:11" ht="18.75" customHeight="1">
      <c r="A119" s="3028" t="s">
        <v>2317</v>
      </c>
      <c r="B119" s="3028"/>
      <c r="C119" s="3028"/>
      <c r="D119" s="3073" t="str">
        <f ca="1">NUMBERSTRING(INT(D118*10000),2)&amp;"元整"</f>
        <v>肆拾柒亿玖仟肆佰贰拾叁万元整</v>
      </c>
      <c r="E119" s="3074"/>
      <c r="F119" s="3073" t="str">
        <f ca="1">NUMBERSTRING(INT(F118*10000),2)&amp;"元整"</f>
        <v>捌亿叁仟玖佰肆拾壹万元整</v>
      </c>
      <c r="G119" s="3074"/>
      <c r="H119" s="3073" t="str">
        <f ca="1">NUMBERSTRING(INT(H118*10000),2)&amp;"元整"</f>
        <v>伍拾陆亿叁仟叁佰陆拾肆万元整</v>
      </c>
      <c r="I119" s="3074"/>
    </row>
    <row r="120" spans="1:11" ht="18.75" customHeight="1">
      <c r="A120" s="3068" t="str">
        <f>IF(项目基本情况!B9="房地产市场价值","",MID(E103,3,LEN(E103)-2))</f>
        <v>估价师知悉的法定优先受偿款</v>
      </c>
      <c r="B120" s="3069"/>
      <c r="C120" s="3070"/>
      <c r="D120" s="3068">
        <f>H103</f>
        <v>0</v>
      </c>
      <c r="E120" s="3069"/>
      <c r="F120" s="3069"/>
      <c r="G120" s="3069"/>
      <c r="H120" s="3069"/>
      <c r="I120" s="3070"/>
      <c r="K120" s="2422" t="str">
        <f>IF(D120=0,"故，本次评估不存在"&amp;A120,"故，本次评估"&amp;A120&amp;"为人民币"&amp;D120&amp;"万元整。")</f>
        <v>故，本次评估不存在估价师知悉的法定优先受偿款</v>
      </c>
    </row>
    <row r="121" spans="1:11" ht="18.75" customHeight="1">
      <c r="A121" s="3114" t="s">
        <v>2317</v>
      </c>
      <c r="B121" s="3115"/>
      <c r="C121" s="3116"/>
      <c r="D121" s="3073" t="str">
        <f>IF(D120=0,"零元整",NUMBERSTRING(INT(D120*10000),2)&amp;"元整")</f>
        <v>零元整</v>
      </c>
      <c r="E121" s="3075"/>
      <c r="F121" s="3075"/>
      <c r="G121" s="3075"/>
      <c r="H121" s="3075"/>
      <c r="I121" s="3074"/>
    </row>
    <row r="122" spans="1:11" ht="18.75" customHeight="1">
      <c r="A122" s="3079" t="str">
        <f>IF(项目基本情况!B9="房地产市场价值","",MID(E107,3,LEN(E107)-2))</f>
        <v>房地产抵押价值</v>
      </c>
      <c r="B122" s="3079"/>
      <c r="C122" s="3079"/>
      <c r="D122" s="3068">
        <f ca="1">H107</f>
        <v>563364</v>
      </c>
      <c r="E122" s="3069"/>
      <c r="F122" s="3069"/>
      <c r="G122" s="3069"/>
      <c r="H122" s="3069"/>
      <c r="I122" s="3070"/>
    </row>
    <row r="123" spans="1:11" ht="18.75" customHeight="1">
      <c r="A123" s="3028" t="s">
        <v>2317</v>
      </c>
      <c r="B123" s="3028"/>
      <c r="C123" s="3028"/>
      <c r="D123" s="3073" t="str">
        <f ca="1">NUMBERSTRING(INT(D122*10000),2)&amp;"元整"</f>
        <v>伍拾陆亿叁仟叁佰陆拾肆万元整</v>
      </c>
      <c r="E123" s="3075"/>
      <c r="F123" s="3075"/>
      <c r="G123" s="3075"/>
      <c r="H123" s="3075"/>
      <c r="I123" s="3074"/>
    </row>
    <row r="124" spans="1:11" ht="18.75" customHeight="1">
      <c r="A124" s="3079" t="str">
        <f>IF(项目基本情况!B9="房地产市场价值","",MID(E109,3,LEN(E109)-2))</f>
        <v/>
      </c>
      <c r="B124" s="3079"/>
      <c r="C124" s="3079"/>
      <c r="D124" s="3068" t="str">
        <f>H109</f>
        <v>——</v>
      </c>
      <c r="E124" s="3069"/>
      <c r="F124" s="3069"/>
      <c r="G124" s="3069"/>
      <c r="H124" s="3069"/>
      <c r="I124" s="3070"/>
    </row>
    <row r="125" spans="1:11" ht="18.75" customHeight="1">
      <c r="A125" s="3028" t="s">
        <v>2317</v>
      </c>
      <c r="B125" s="3028"/>
      <c r="C125" s="3028"/>
      <c r="D125" s="3073" t="e">
        <f>NUMBERSTRING(INT(D124*10000),2)&amp;"元整"</f>
        <v>#VALUE!</v>
      </c>
      <c r="E125" s="3075"/>
      <c r="F125" s="3075"/>
      <c r="G125" s="3075"/>
      <c r="H125" s="3075"/>
      <c r="I125" s="3074"/>
    </row>
    <row r="126" spans="1:11" ht="18.75" customHeight="1">
      <c r="A126" s="3079" t="str">
        <f>IF(项目基本情况!B9="房地产市场价值","",MID(E111,3,LEN(E111)-2))</f>
        <v/>
      </c>
      <c r="B126" s="3079"/>
      <c r="C126" s="3079"/>
      <c r="D126" s="3068" t="str">
        <f>H111</f>
        <v>——</v>
      </c>
      <c r="E126" s="3069"/>
      <c r="F126" s="3069"/>
      <c r="G126" s="3069"/>
      <c r="H126" s="3069"/>
      <c r="I126" s="3070"/>
    </row>
    <row r="127" spans="1:11" ht="18.75" customHeight="1">
      <c r="A127" s="3028" t="s">
        <v>2317</v>
      </c>
      <c r="B127" s="3028"/>
      <c r="C127" s="3028"/>
      <c r="D127" s="3073" t="e">
        <f>NUMBERSTRING(INT(D126*10000),2)&amp;"元整"</f>
        <v>#VALUE!</v>
      </c>
      <c r="E127" s="3075"/>
      <c r="F127" s="3075"/>
      <c r="G127" s="3075"/>
      <c r="H127" s="3075"/>
      <c r="I127" s="3074"/>
    </row>
    <row r="128" spans="1:11" ht="21.75" customHeight="1">
      <c r="A128" s="3076" t="s">
        <v>2318</v>
      </c>
      <c r="B128" s="3076"/>
      <c r="C128" s="3076"/>
      <c r="D128" s="3076"/>
      <c r="E128" s="3076"/>
      <c r="F128" s="3076"/>
      <c r="G128" s="3076"/>
      <c r="H128" s="3076"/>
      <c r="I128" s="3076"/>
    </row>
    <row r="129" spans="1:35" ht="21.75" customHeight="1">
      <c r="A129" s="2526" t="s">
        <v>2319</v>
      </c>
      <c r="B129" s="2527"/>
      <c r="C129" s="2528" t="s">
        <v>2320</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2321</v>
      </c>
      <c r="G135" s="2543"/>
      <c r="H135" s="2543"/>
      <c r="I135" s="2544" t="s">
        <v>2322</v>
      </c>
    </row>
    <row r="136" spans="1:35" ht="21.75" customHeight="1">
      <c r="A136" s="795"/>
      <c r="B136" s="2545"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2324</v>
      </c>
    </row>
    <row r="139" spans="1:35" ht="21.75" customHeight="1">
      <c r="A139" s="795"/>
      <c r="B139" s="2545" t="s">
        <v>2325</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2324</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45" sqref="G4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35"/>
      <c r="C1" s="242"/>
      <c r="D1" s="242"/>
      <c r="E1" s="242"/>
      <c r="F1" s="242"/>
      <c r="G1" s="1378">
        <f>MATCH(B1,'数据-取费表'!A6:A16,0)+5</f>
        <v>7</v>
      </c>
    </row>
    <row r="2" spans="1:9" s="244" customFormat="1" ht="18" customHeight="1">
      <c r="A2" s="245" t="s">
        <v>2327</v>
      </c>
      <c r="B2" s="246">
        <f ca="1">IF(D2="——",C52,C52-E2)</f>
        <v>572342</v>
      </c>
      <c r="C2" s="243" t="s">
        <v>2328</v>
      </c>
      <c r="D2" s="2548" t="s">
        <v>70</v>
      </c>
      <c r="E2" s="1439" t="e">
        <f ca="1">SUMIF(INDIRECT("'"&amp;G2&amp;"'"&amp;"!A:A"),"承租人权益价值",INDIRECT("'"&amp;G2&amp;"'"&amp;"!c:c"))</f>
        <v>#REF!</v>
      </c>
      <c r="F2" s="2549" t="s">
        <v>2328</v>
      </c>
      <c r="G2" s="2550"/>
    </row>
    <row r="3" spans="1:9" s="244" customFormat="1" ht="18" customHeight="1" thickBot="1">
      <c r="A3" s="247" t="s">
        <v>2329</v>
      </c>
      <c r="B3" s="248">
        <f ca="1">ROUND(B2*10000/(IF(B1="",'数据-汇总表'!E3,INDIRECT("'数据-取费表'!k"&amp;$G$1))),0)</f>
        <v>55610</v>
      </c>
      <c r="C3" s="243" t="s">
        <v>2330</v>
      </c>
      <c r="D3" s="243"/>
      <c r="E3" s="243"/>
      <c r="F3" s="243"/>
      <c r="G3" s="243"/>
    </row>
    <row r="4" spans="1:9" s="252" customFormat="1" ht="16.2">
      <c r="A4" s="249" t="s">
        <v>2331</v>
      </c>
      <c r="B4" s="250"/>
      <c r="C4" s="250"/>
      <c r="D4" s="250"/>
      <c r="E4" s="250"/>
      <c r="F4" s="250"/>
      <c r="G4" s="251"/>
    </row>
    <row r="5" spans="1:9" s="258" customFormat="1" ht="13.5" customHeight="1">
      <c r="A5" s="299" t="s">
        <v>2332</v>
      </c>
      <c r="B5" s="254" t="s">
        <v>2333</v>
      </c>
      <c r="C5" s="255">
        <f ca="1">C6+C7+C8</f>
        <v>301323</v>
      </c>
      <c r="D5" s="255" t="s">
        <v>2334</v>
      </c>
      <c r="E5" s="256" t="s">
        <v>2335</v>
      </c>
      <c r="F5" s="256" t="s">
        <v>2336</v>
      </c>
      <c r="G5" s="257"/>
    </row>
    <row r="6" spans="1:9" s="258" customFormat="1" ht="13.5" customHeight="1">
      <c r="A6" s="949" t="s">
        <v>2337</v>
      </c>
      <c r="B6" s="259" t="s">
        <v>2338</v>
      </c>
      <c r="C6" s="260">
        <f ca="1">基准地价修正!P33</f>
        <v>292405</v>
      </c>
      <c r="D6" s="261"/>
      <c r="E6" s="262"/>
      <c r="F6" s="262"/>
      <c r="G6" s="263"/>
    </row>
    <row r="7" spans="1:9" s="258" customFormat="1" ht="13.5" customHeight="1">
      <c r="A7" s="949" t="s">
        <v>2339</v>
      </c>
      <c r="B7" s="259" t="s">
        <v>2340</v>
      </c>
      <c r="C7" s="264">
        <f ca="1">ROUND(C6*F7,0)</f>
        <v>8918</v>
      </c>
      <c r="D7" s="264"/>
      <c r="E7" s="262"/>
      <c r="F7" s="265">
        <f>IF(项目基本情况!B8="出让",0,'数据-取费表'!B48+'数据-取费表'!B49)</f>
        <v>3.0499999999999999E-2</v>
      </c>
      <c r="G7" s="263"/>
    </row>
    <row r="8" spans="1:9" s="267" customFormat="1">
      <c r="A8" s="949" t="s">
        <v>2341</v>
      </c>
      <c r="B8" s="259" t="s">
        <v>2342</v>
      </c>
      <c r="C8" s="264" t="str">
        <f>IF(G8="已包含在土地购买价格中","0",IF(B1="",'数据-取费表'!B29,IF(G9="全部缴纳",C9+C10,H9)))</f>
        <v>0</v>
      </c>
      <c r="D8" s="266"/>
      <c r="E8" s="264"/>
      <c r="F8" s="265"/>
      <c r="G8" s="2551" t="s">
        <v>1145</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160</v>
      </c>
      <c r="F9" s="265"/>
      <c r="G9" s="2552" t="s">
        <v>3114</v>
      </c>
      <c r="H9" s="1389"/>
      <c r="I9" s="2553" t="s">
        <v>2344</v>
      </c>
    </row>
    <row r="10" spans="1:9" s="258" customFormat="1" ht="13.5" customHeight="1">
      <c r="A10" s="950" t="s">
        <v>801</v>
      </c>
      <c r="B10" s="268" t="s">
        <v>2345</v>
      </c>
      <c r="C10" s="269">
        <f ca="1">ROUND(D10*E10/10000,0)</f>
        <v>2058</v>
      </c>
      <c r="D10" s="1032">
        <f ca="1">IF(B1="",'数据-汇总表'!E6,IF(INDIRECT("'数据-取费表'!c"&amp;$G$1)="住宅",INDIRECT("'数据-取费表'!s"&amp;$G$1),INDIRECT("'数据-取费表'!k"&amp;$G$1)+INDIRECT("'数据-取费表'!s"&amp;$G$1)))</f>
        <v>102921.28</v>
      </c>
      <c r="E10" s="269">
        <f>'数据-取费表'!B28</f>
        <v>200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102921.28</v>
      </c>
      <c r="E19" s="255">
        <f>'数据-取费表'!B31</f>
        <v>200</v>
      </c>
      <c r="F19" s="275"/>
      <c r="G19" s="2551" t="s">
        <v>3115</v>
      </c>
    </row>
    <row r="20" spans="1:7" s="258" customFormat="1" ht="13.5" customHeight="1">
      <c r="A20" s="299" t="s">
        <v>2358</v>
      </c>
      <c r="B20" s="254" t="s">
        <v>2359</v>
      </c>
      <c r="C20" s="276">
        <f ca="1">ROUND((C5+C19)*F20,0)</f>
        <v>9040</v>
      </c>
      <c r="D20" s="276"/>
      <c r="E20" s="276"/>
      <c r="F20" s="277">
        <f>'数据-取费表'!B37</f>
        <v>0.03</v>
      </c>
      <c r="G20" s="278" t="s">
        <v>2360</v>
      </c>
    </row>
    <row r="21" spans="1:7" s="258" customFormat="1" ht="13.5" customHeight="1">
      <c r="A21" s="299" t="s">
        <v>2361</v>
      </c>
      <c r="B21" s="254" t="s">
        <v>2362</v>
      </c>
      <c r="C21" s="279">
        <f>F21</f>
        <v>0.03</v>
      </c>
      <c r="D21" s="280" t="s">
        <v>2363</v>
      </c>
      <c r="E21" s="276"/>
      <c r="F21" s="277">
        <f>'数据-取费表'!B38</f>
        <v>0.03</v>
      </c>
      <c r="G21" s="278" t="s">
        <v>2364</v>
      </c>
    </row>
    <row r="22" spans="1:7" s="258" customFormat="1" ht="13.5" customHeight="1">
      <c r="A22" s="299" t="s">
        <v>2365</v>
      </c>
      <c r="B22" s="254" t="s">
        <v>2366</v>
      </c>
      <c r="C22" s="1353">
        <f ca="1">ROUND(SUM(C23:C25),0)</f>
        <v>37607</v>
      </c>
      <c r="D22" s="279">
        <f ca="1">C26</f>
        <v>1.8E-3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4">
        <f ca="1">ROUND(IF('数据-取费表'!B22&lt;=1,C5*F22*'数据-取费表'!B23,C5*(POWER((1+F22),'数据-取费表'!B23)-1)),0)</f>
        <v>37067</v>
      </c>
      <c r="D23" s="282"/>
      <c r="E23" s="282"/>
      <c r="F23" s="283"/>
      <c r="G23" s="284" t="s">
        <v>2369</v>
      </c>
    </row>
    <row r="24" spans="1:7" s="258" customFormat="1" ht="13.5" customHeight="1">
      <c r="A24" s="951" t="s">
        <v>2370</v>
      </c>
      <c r="B24" s="259" t="s">
        <v>2371</v>
      </c>
      <c r="C24" s="1354">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4">
        <f ca="1">ROUND(IF('数据-取费表'!B22&lt;=1,C20*F22*'数据-取费表'!B23/2,C20*(POWER((1+F22),'数据-取费表'!B23/2)-1)),0)</f>
        <v>540</v>
      </c>
      <c r="D25" s="282"/>
      <c r="E25" s="285"/>
      <c r="F25" s="283"/>
      <c r="G25" s="286" t="s">
        <v>2375</v>
      </c>
    </row>
    <row r="26" spans="1:7" s="258" customFormat="1">
      <c r="A26" s="951" t="s">
        <v>795</v>
      </c>
      <c r="B26" s="259" t="s">
        <v>2376</v>
      </c>
      <c r="C26" s="282">
        <f ca="1">ROUND(IF('数据-取费表'!B22&lt;=1,F21*F22*'数据-取费表'!B23/2,F21*(POWER((1+F22),'数据-取费表'!B23/2)-1)),4)</f>
        <v>1.8E-3</v>
      </c>
      <c r="D26" s="282"/>
      <c r="E26" s="285"/>
      <c r="F26" s="283"/>
      <c r="G26" s="287"/>
    </row>
    <row r="27" spans="1:7" s="258" customFormat="1" ht="26.4">
      <c r="A27" s="299" t="s">
        <v>2377</v>
      </c>
      <c r="B27" s="288" t="s">
        <v>2378</v>
      </c>
      <c r="C27" s="289">
        <f ca="1">C28</f>
        <v>93109</v>
      </c>
      <c r="D27" s="279">
        <f ca="1">C29</f>
        <v>8.9999999999999993E-3</v>
      </c>
      <c r="E27" s="280" t="s">
        <v>2379</v>
      </c>
      <c r="F27" s="290">
        <f ca="1">IF(B1="",'数据-取费表'!Q16,INDIRECT("'数据-取费表'!q"&amp;$G$1))</f>
        <v>0.3</v>
      </c>
      <c r="G27" s="291" t="s">
        <v>2380</v>
      </c>
    </row>
    <row r="28" spans="1:7" s="258" customFormat="1" ht="13.5" customHeight="1">
      <c r="A28" s="951" t="s">
        <v>791</v>
      </c>
      <c r="B28" s="292" t="s">
        <v>2381</v>
      </c>
      <c r="C28" s="293">
        <f ca="1">ROUND((C5+C19+C20)*F27*'数据-取费表'!B21/'数据-取费表'!B20,0)</f>
        <v>93109</v>
      </c>
      <c r="D28" s="279"/>
      <c r="E28" s="280"/>
      <c r="F28" s="290"/>
      <c r="G28" s="291"/>
    </row>
    <row r="29" spans="1:7" s="258" customFormat="1" ht="13.5" customHeight="1">
      <c r="A29" s="951" t="s">
        <v>792</v>
      </c>
      <c r="B29" s="292" t="s">
        <v>2382</v>
      </c>
      <c r="C29" s="282">
        <f ca="1">ROUND(C21*F27*'数据-取费表'!B21/'数据-取费表'!B20,4)</f>
        <v>8.9999999999999993E-3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486896</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66590</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61753</v>
      </c>
      <c r="D34" s="261"/>
      <c r="E34" s="264"/>
      <c r="F34" s="301">
        <f ca="1">IF('数据-取费表'!B24=0,1,IF(B1="",'数据-取费表'!N16,INDIRECT("'数据-取费表'!n"&amp;$G$1)))</f>
        <v>1</v>
      </c>
      <c r="G34" s="263" t="s">
        <v>2391</v>
      </c>
    </row>
    <row r="35" spans="1:7" ht="13.5" customHeight="1">
      <c r="A35" s="951" t="s">
        <v>796</v>
      </c>
      <c r="B35" s="259" t="s">
        <v>2392</v>
      </c>
      <c r="C35" s="264">
        <f ca="1">ROUND(C34*F35,0)</f>
        <v>1853</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1" t="s">
        <v>798</v>
      </c>
      <c r="B37" s="259" t="s">
        <v>2396</v>
      </c>
      <c r="C37" s="293">
        <f ca="1">ROUND(E37*D37*F34/10000,0)</f>
        <v>2058</v>
      </c>
      <c r="D37" s="261">
        <f ca="1">D19</f>
        <v>102921.28</v>
      </c>
      <c r="E37" s="293">
        <f>'数据-取费表'!B35</f>
        <v>200</v>
      </c>
      <c r="F37" s="303"/>
      <c r="G37" s="305" t="s">
        <v>2397</v>
      </c>
    </row>
    <row r="38" spans="1:7" ht="13.5" customHeight="1">
      <c r="A38" s="951" t="s">
        <v>799</v>
      </c>
      <c r="B38" s="259" t="s">
        <v>2398</v>
      </c>
      <c r="C38" s="264">
        <f ca="1">ROUND(C34*F38,0)</f>
        <v>926</v>
      </c>
      <c r="D38" s="264"/>
      <c r="E38" s="264"/>
      <c r="F38" s="303">
        <f>'数据-取费表'!B36</f>
        <v>1.4999999999999999E-2</v>
      </c>
      <c r="G38" s="263" t="s">
        <v>2393</v>
      </c>
    </row>
    <row r="39" spans="1:7" s="258" customFormat="1" ht="13.5" customHeight="1">
      <c r="A39" s="299" t="s">
        <v>2399</v>
      </c>
      <c r="B39" s="254" t="s">
        <v>2400</v>
      </c>
      <c r="C39" s="276">
        <f ca="1">ROUND(C33*F20,0)</f>
        <v>1998</v>
      </c>
      <c r="D39" s="276"/>
      <c r="E39" s="276"/>
      <c r="F39" s="277"/>
      <c r="G39" s="278" t="s">
        <v>2401</v>
      </c>
    </row>
    <row r="40" spans="1:7" s="258" customFormat="1" ht="13.5" customHeight="1">
      <c r="A40" s="299" t="s">
        <v>2402</v>
      </c>
      <c r="B40" s="254" t="s">
        <v>2403</v>
      </c>
      <c r="C40" s="1727">
        <f>F21</f>
        <v>0.03</v>
      </c>
      <c r="D40" s="280" t="s">
        <v>2404</v>
      </c>
      <c r="E40" s="276"/>
      <c r="F40" s="277"/>
      <c r="G40" s="278" t="s">
        <v>2405</v>
      </c>
    </row>
    <row r="41" spans="1:7" s="258" customFormat="1" ht="13.5" customHeight="1">
      <c r="A41" s="299" t="s">
        <v>2406</v>
      </c>
      <c r="B41" s="254" t="s">
        <v>2407</v>
      </c>
      <c r="C41" s="276">
        <f ca="1">ROUND(SUM(C42:C43),0)</f>
        <v>4096</v>
      </c>
      <c r="D41" s="279">
        <f ca="1">C44</f>
        <v>1.8E-3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3977</v>
      </c>
      <c r="D42" s="282"/>
      <c r="E42" s="282"/>
      <c r="F42" s="283"/>
      <c r="G42" s="3148" t="s">
        <v>2409</v>
      </c>
    </row>
    <row r="43" spans="1:7" ht="13.5" customHeight="1">
      <c r="A43" s="951" t="s">
        <v>792</v>
      </c>
      <c r="B43" s="259" t="s">
        <v>2410</v>
      </c>
      <c r="C43" s="282">
        <f ca="1">ROUND(IF('数据-取费表'!B22&lt;=1,C39*F22*'数据-取费表'!B21/2,C39*(POWER((1+F22),'数据-取费表'!B21/2)-1)),0)</f>
        <v>119</v>
      </c>
      <c r="D43" s="282"/>
      <c r="E43" s="282"/>
      <c r="F43" s="283"/>
      <c r="G43" s="3149"/>
    </row>
    <row r="44" spans="1:7" ht="13.5" customHeight="1">
      <c r="A44" s="951" t="s">
        <v>793</v>
      </c>
      <c r="B44" s="259" t="s">
        <v>2411</v>
      </c>
      <c r="C44" s="282">
        <f ca="1">ROUND(IF('数据-取费表'!B22&lt;=1,C40*F22*'数据-取费表'!B21/2,C40*(POWER((1+F22),'数据-取费表'!B21/2)-1)),4)</f>
        <v>1.8E-3</v>
      </c>
      <c r="D44" s="282"/>
      <c r="E44" s="282"/>
      <c r="F44" s="283"/>
      <c r="G44" s="3150"/>
    </row>
    <row r="45" spans="1:7" s="258" customFormat="1" ht="13.5" customHeight="1">
      <c r="A45" s="299" t="s">
        <v>2412</v>
      </c>
      <c r="B45" s="288" t="s">
        <v>2378</v>
      </c>
      <c r="C45" s="289">
        <f ca="1">C46</f>
        <v>20576</v>
      </c>
      <c r="D45" s="279">
        <f ca="1">C47</f>
        <v>8.9999999999999993E-3</v>
      </c>
      <c r="E45" s="280" t="s">
        <v>2404</v>
      </c>
      <c r="F45" s="290"/>
      <c r="G45" s="291" t="s">
        <v>2413</v>
      </c>
    </row>
    <row r="46" spans="1:7" s="258" customFormat="1" ht="13.5" customHeight="1">
      <c r="A46" s="951" t="s">
        <v>791</v>
      </c>
      <c r="B46" s="292" t="s">
        <v>2414</v>
      </c>
      <c r="C46" s="293">
        <f ca="1">ROUND((C33+C39)*F27,0)</f>
        <v>20576</v>
      </c>
      <c r="D46" s="307"/>
      <c r="E46" s="280"/>
      <c r="F46" s="290"/>
      <c r="G46" s="291"/>
    </row>
    <row r="47" spans="1:7" s="258" customFormat="1" ht="13.5" customHeight="1">
      <c r="A47" s="951" t="s">
        <v>792</v>
      </c>
      <c r="B47" s="292" t="s">
        <v>2415</v>
      </c>
      <c r="C47" s="282">
        <f ca="1">ROUND(C40*F27,4)</f>
        <v>8.9999999999999993E-3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102947</v>
      </c>
      <c r="D49" s="276"/>
      <c r="E49" s="276"/>
      <c r="F49" s="308"/>
      <c r="G49" s="278" t="s">
        <v>2419</v>
      </c>
    </row>
    <row r="50" spans="1:7" s="302" customFormat="1" ht="24">
      <c r="A50" s="299" t="s">
        <v>2420</v>
      </c>
      <c r="B50" s="254" t="s">
        <v>2421</v>
      </c>
      <c r="C50" s="276"/>
      <c r="D50" s="276"/>
      <c r="E50" s="276"/>
      <c r="F50" s="308">
        <f>IF('数据-取费表'!B24=0,'数据-取费表'!N16,1)</f>
        <v>0.83</v>
      </c>
      <c r="G50" s="291" t="s">
        <v>2422</v>
      </c>
    </row>
    <row r="51" spans="1:7" ht="16.5" customHeight="1">
      <c r="A51" s="299" t="s">
        <v>2423</v>
      </c>
      <c r="B51" s="254" t="s">
        <v>2424</v>
      </c>
      <c r="C51" s="276">
        <f ca="1">ROUND(C49*F50,0)</f>
        <v>85446</v>
      </c>
      <c r="D51" s="276"/>
      <c r="E51" s="276"/>
      <c r="F51" s="308"/>
      <c r="G51" s="278" t="s">
        <v>2425</v>
      </c>
    </row>
    <row r="52" spans="1:7" s="252" customFormat="1" ht="16.8" thickBot="1">
      <c r="A52" s="309" t="s">
        <v>2426</v>
      </c>
      <c r="B52" s="310"/>
      <c r="C52" s="311">
        <f ca="1">C31+C51</f>
        <v>572342</v>
      </c>
      <c r="D52" s="310"/>
      <c r="E52" s="310"/>
      <c r="F52" s="310"/>
      <c r="G52" s="312"/>
    </row>
    <row r="55" spans="1:7" ht="15">
      <c r="B55" s="314" t="s">
        <v>2427</v>
      </c>
      <c r="C55" s="315"/>
    </row>
    <row r="56" spans="1:7">
      <c r="B56" s="317" t="s">
        <v>1508</v>
      </c>
      <c r="C56" s="319">
        <f ca="1">1-C57</f>
        <v>0.85099999999999998</v>
      </c>
    </row>
    <row r="57" spans="1:7">
      <c r="B57" s="317" t="s">
        <v>1509</v>
      </c>
      <c r="C57" s="318">
        <f ca="1">ROUND(C51/C52,3)</f>
        <v>0.14899999999999999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24" sqref="F24"/>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2326</v>
      </c>
      <c r="B1" s="1935"/>
      <c r="C1" s="2554" t="s">
        <v>2428</v>
      </c>
      <c r="D1" s="242"/>
      <c r="E1" s="242"/>
      <c r="F1" s="242"/>
      <c r="G1" s="1378">
        <f>MATCH(B1,'数据-取费表'!A6:A16,0)+5</f>
        <v>7</v>
      </c>
      <c r="H1" s="1281" t="str">
        <f>IF(ISERROR(FIND("住宅",B1)),"非住宅","住宅")</f>
        <v>非住宅</v>
      </c>
    </row>
    <row r="2" spans="1:8" s="244" customFormat="1" ht="18" customHeight="1">
      <c r="A2" s="245" t="s">
        <v>2327</v>
      </c>
      <c r="B2" s="246">
        <f ca="1">ROUND(IF(D2="——",C52/10000,C52/10000-E2),0)</f>
        <v>92099</v>
      </c>
      <c r="C2" s="243" t="s">
        <v>2328</v>
      </c>
      <c r="D2" s="2548" t="s">
        <v>70</v>
      </c>
      <c r="E2" s="1439" t="e">
        <f ca="1">SUMIF(INDIRECT("'"&amp;G2&amp;"'"&amp;"!A:A"),"承租人权益价值",INDIRECT("'"&amp;G2&amp;"'"&amp;"!c:c"))</f>
        <v>#REF!</v>
      </c>
      <c r="F2" s="2549" t="s">
        <v>2328</v>
      </c>
      <c r="G2" s="2550"/>
    </row>
    <row r="3" spans="1:8" s="244" customFormat="1" ht="18" customHeight="1" thickBot="1">
      <c r="A3" s="247" t="s">
        <v>2329</v>
      </c>
      <c r="B3" s="248">
        <f ca="1">ROUND(B2*10000/(IF(B1="",'数据-汇总表'!E3,INDIRECT("'数据-取费表'!k"&amp;$G$1))),0)</f>
        <v>8948</v>
      </c>
      <c r="C3" s="243" t="s">
        <v>2330</v>
      </c>
      <c r="D3" s="243"/>
      <c r="E3" s="243"/>
      <c r="F3" s="243"/>
      <c r="G3" s="243"/>
    </row>
    <row r="4" spans="1:8" s="252" customFormat="1" ht="16.2">
      <c r="A4" s="249" t="s">
        <v>2331</v>
      </c>
      <c r="B4" s="250"/>
      <c r="C4" s="250"/>
      <c r="D4" s="250"/>
      <c r="E4" s="250"/>
      <c r="F4" s="250"/>
      <c r="G4" s="251"/>
    </row>
    <row r="5" spans="1:8" s="258" customFormat="1" ht="13.5" customHeight="1">
      <c r="A5" s="299" t="s">
        <v>2332</v>
      </c>
      <c r="B5" s="254" t="s">
        <v>2333</v>
      </c>
      <c r="C5" s="255">
        <f ca="1">C6+C7+C8</f>
        <v>20584256</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20584256</v>
      </c>
      <c r="D8" s="266"/>
      <c r="E8" s="264"/>
      <c r="F8" s="265"/>
      <c r="G8" s="2551"/>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2345</v>
      </c>
      <c r="C10" s="269">
        <f ca="1">ROUND(D10*E10,0)</f>
        <v>20584256</v>
      </c>
      <c r="D10" s="1032">
        <f ca="1">IF(B1="",'数据-汇总表'!E6,IF(INDIRECT("'数据-取费表'!c"&amp;$G$1)="住宅",INDIRECT("'数据-取费表'!s"&amp;$G$1),INDIRECT("'数据-取费表'!k"&amp;$G$1)+INDIRECT("'数据-取费表'!s"&amp;$G$1)))</f>
        <v>102921.28</v>
      </c>
      <c r="E10" s="269">
        <f>'数据-取费表'!B28</f>
        <v>200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20584256</v>
      </c>
      <c r="D19" s="1036">
        <f ca="1">D9+D10</f>
        <v>102921.28</v>
      </c>
      <c r="E19" s="255">
        <f>'数据-取费表'!B31</f>
        <v>200</v>
      </c>
      <c r="F19" s="275"/>
      <c r="G19" s="2551"/>
    </row>
    <row r="20" spans="1:7" s="258" customFormat="1" ht="13.5" customHeight="1">
      <c r="A20" s="299" t="s">
        <v>2439</v>
      </c>
      <c r="B20" s="254" t="s">
        <v>2440</v>
      </c>
      <c r="C20" s="276">
        <f ca="1">ROUND((C5+C19)*F20,0)</f>
        <v>1235055</v>
      </c>
      <c r="D20" s="276"/>
      <c r="E20" s="276"/>
      <c r="F20" s="277">
        <f>'数据-取费表'!B37</f>
        <v>0.03</v>
      </c>
      <c r="G20" s="278" t="s">
        <v>2441</v>
      </c>
    </row>
    <row r="21" spans="1:7" s="258" customFormat="1" ht="13.5" customHeight="1">
      <c r="A21" s="299" t="s">
        <v>2442</v>
      </c>
      <c r="B21" s="254" t="s">
        <v>2443</v>
      </c>
      <c r="C21" s="279">
        <f>F21</f>
        <v>0.03</v>
      </c>
      <c r="D21" s="280" t="s">
        <v>2444</v>
      </c>
      <c r="E21" s="276"/>
      <c r="F21" s="277">
        <f>'数据-取费表'!B38</f>
        <v>0.03</v>
      </c>
      <c r="G21" s="278" t="s">
        <v>2445</v>
      </c>
    </row>
    <row r="22" spans="1:7" s="258" customFormat="1" ht="13.5" customHeight="1">
      <c r="A22" s="299" t="s">
        <v>2446</v>
      </c>
      <c r="B22" s="254" t="s">
        <v>2447</v>
      </c>
      <c r="C22" s="1379">
        <f ca="1">ROUND(SUM(C23:C25),0)</f>
        <v>5138056</v>
      </c>
      <c r="D22" s="279">
        <f ca="1">C26</f>
        <v>1.8E-3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0">
        <f ca="1">ROUND(IF('数据-取费表'!B22&lt;=1,C5*F22*'数据-取费表'!B22,C5*(POWER((1+F22),'数据-取费表'!B22)-1)),0)</f>
        <v>2532147</v>
      </c>
      <c r="D23" s="282"/>
      <c r="E23" s="282"/>
      <c r="F23" s="283"/>
      <c r="G23" s="284" t="s">
        <v>2449</v>
      </c>
    </row>
    <row r="24" spans="1:7" s="258" customFormat="1" ht="13.5" customHeight="1">
      <c r="A24" s="951" t="s">
        <v>2339</v>
      </c>
      <c r="B24" s="259" t="s">
        <v>2450</v>
      </c>
      <c r="C24" s="1380">
        <f ca="1">ROUND(IF('数据-取费表'!B22&lt;=1,C19*F22*('数据-取费表'!B19/2+'数据-取费表'!B20),C19*(POWER((1+F22),('数据-取费表'!B19/2+'数据-取费表'!B20))-1)),0)</f>
        <v>2532147</v>
      </c>
      <c r="D24" s="282"/>
      <c r="E24" s="282"/>
      <c r="F24" s="283"/>
      <c r="G24" s="284" t="s">
        <v>2451</v>
      </c>
    </row>
    <row r="25" spans="1:7" s="258" customFormat="1" ht="24">
      <c r="A25" s="951" t="s">
        <v>2341</v>
      </c>
      <c r="B25" s="259" t="s">
        <v>2452</v>
      </c>
      <c r="C25" s="1380">
        <f ca="1">ROUND(IF('数据-取费表'!B22&lt;=1,C20*F22*'数据-取费表'!B22/2,C20*(POWER((1+F22),'数据-取费表'!B22/2)-1)),0)</f>
        <v>73762</v>
      </c>
      <c r="D25" s="282"/>
      <c r="E25" s="285"/>
      <c r="F25" s="283"/>
      <c r="G25" s="286" t="s">
        <v>2453</v>
      </c>
    </row>
    <row r="26" spans="1:7" s="258" customFormat="1">
      <c r="A26" s="951" t="s">
        <v>795</v>
      </c>
      <c r="B26" s="259" t="s">
        <v>2376</v>
      </c>
      <c r="C26" s="282">
        <f ca="1">ROUND(IF('数据-取费表'!B22&lt;=1,F21*F22*'数据-取费表'!B22/2,F21*(POWER((1+F22),'数据-取费表'!B22/2)-1)),4)</f>
        <v>1.8E-3</v>
      </c>
      <c r="D26" s="282"/>
      <c r="E26" s="285"/>
      <c r="F26" s="283"/>
      <c r="G26" s="287"/>
    </row>
    <row r="27" spans="1:7" s="258" customFormat="1" ht="26.4">
      <c r="A27" s="299" t="s">
        <v>2377</v>
      </c>
      <c r="B27" s="288" t="s">
        <v>2378</v>
      </c>
      <c r="C27" s="289">
        <f ca="1">C28</f>
        <v>12721070</v>
      </c>
      <c r="D27" s="279">
        <f ca="1">C29</f>
        <v>8.9999999999999993E-3</v>
      </c>
      <c r="E27" s="280" t="s">
        <v>2379</v>
      </c>
      <c r="F27" s="290">
        <f ca="1">IF(B1="",'数据-取费表'!Q16,INDIRECT("'数据-取费表'!q"&amp;$G$1))</f>
        <v>0.3</v>
      </c>
      <c r="G27" s="291" t="s">
        <v>2380</v>
      </c>
    </row>
    <row r="28" spans="1:7" s="258" customFormat="1" ht="13.5" customHeight="1">
      <c r="A28" s="951" t="s">
        <v>791</v>
      </c>
      <c r="B28" s="292" t="s">
        <v>2381</v>
      </c>
      <c r="C28" s="293">
        <f ca="1">ROUND((C5+C19+C20)*F27,0)</f>
        <v>12721070</v>
      </c>
      <c r="D28" s="279"/>
      <c r="E28" s="280"/>
      <c r="F28" s="290"/>
      <c r="G28" s="291"/>
    </row>
    <row r="29" spans="1:7" s="258" customFormat="1" ht="13.5" customHeight="1">
      <c r="A29" s="951" t="s">
        <v>792</v>
      </c>
      <c r="B29" s="292" t="s">
        <v>2382</v>
      </c>
      <c r="C29" s="282">
        <f ca="1">ROUND(C21*F27,4)</f>
        <v>8.9999999999999993E-3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66522456</v>
      </c>
      <c r="D31" s="274"/>
      <c r="E31" s="255"/>
      <c r="F31" s="294"/>
      <c r="G31" s="278" t="s">
        <v>2387</v>
      </c>
    </row>
    <row r="32" spans="1:7" s="252" customFormat="1" ht="16.2">
      <c r="A32" s="296" t="s">
        <v>2454</v>
      </c>
      <c r="B32" s="297"/>
      <c r="C32" s="297"/>
      <c r="D32" s="297"/>
      <c r="E32" s="297"/>
      <c r="F32" s="297"/>
      <c r="G32" s="298"/>
    </row>
    <row r="33" spans="1:7" s="258" customFormat="1" ht="13.5" customHeight="1">
      <c r="A33" s="299" t="s">
        <v>782</v>
      </c>
      <c r="B33" s="254" t="s">
        <v>2455</v>
      </c>
      <c r="C33" s="300">
        <f ca="1">SUM(C34:C38)</f>
        <v>665900681</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617527680</v>
      </c>
      <c r="D34" s="261"/>
      <c r="E34" s="264"/>
      <c r="F34" s="301"/>
      <c r="G34" s="263"/>
    </row>
    <row r="35" spans="1:7" ht="13.5" customHeight="1">
      <c r="A35" s="951" t="s">
        <v>796</v>
      </c>
      <c r="B35" s="259" t="s">
        <v>2392</v>
      </c>
      <c r="C35" s="264">
        <f ca="1">ROUND(C34*F35,0)</f>
        <v>18525830</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1" t="s">
        <v>798</v>
      </c>
      <c r="B37" s="259" t="s">
        <v>2396</v>
      </c>
      <c r="C37" s="293">
        <f ca="1">ROUND(E37*D37,0)</f>
        <v>20584256</v>
      </c>
      <c r="D37" s="261">
        <f ca="1">D19</f>
        <v>102921.28</v>
      </c>
      <c r="E37" s="293">
        <f>'数据-取费表'!B35</f>
        <v>200</v>
      </c>
      <c r="F37" s="303"/>
      <c r="G37" s="305"/>
    </row>
    <row r="38" spans="1:7" ht="13.5" customHeight="1">
      <c r="A38" s="951" t="s">
        <v>799</v>
      </c>
      <c r="B38" s="259" t="s">
        <v>2398</v>
      </c>
      <c r="C38" s="264">
        <f ca="1">ROUND(C34*F38,0)</f>
        <v>9262915</v>
      </c>
      <c r="D38" s="264"/>
      <c r="E38" s="264"/>
      <c r="F38" s="303">
        <f>'数据-取费表'!B36</f>
        <v>1.4999999999999999E-2</v>
      </c>
      <c r="G38" s="263" t="s">
        <v>2393</v>
      </c>
    </row>
    <row r="39" spans="1:7" s="258" customFormat="1" ht="13.5" customHeight="1">
      <c r="A39" s="299" t="s">
        <v>2399</v>
      </c>
      <c r="B39" s="254" t="s">
        <v>2400</v>
      </c>
      <c r="C39" s="276">
        <f ca="1">ROUND(C33*F20,0)</f>
        <v>19977020</v>
      </c>
      <c r="D39" s="276"/>
      <c r="E39" s="276"/>
      <c r="F39" s="277"/>
      <c r="G39" s="278" t="s">
        <v>2401</v>
      </c>
    </row>
    <row r="40" spans="1:7" s="258" customFormat="1" ht="13.5" customHeight="1">
      <c r="A40" s="299" t="s">
        <v>2402</v>
      </c>
      <c r="B40" s="254" t="s">
        <v>2403</v>
      </c>
      <c r="C40" s="1727">
        <f>F21</f>
        <v>0.03</v>
      </c>
      <c r="D40" s="280" t="s">
        <v>2404</v>
      </c>
      <c r="E40" s="276"/>
      <c r="F40" s="277"/>
      <c r="G40" s="278" t="s">
        <v>2405</v>
      </c>
    </row>
    <row r="41" spans="1:7" s="258" customFormat="1" ht="13.5" customHeight="1">
      <c r="A41" s="299" t="s">
        <v>2406</v>
      </c>
      <c r="B41" s="254" t="s">
        <v>2407</v>
      </c>
      <c r="C41" s="276">
        <f ca="1">ROUND(SUM(C42:C43),0)</f>
        <v>40962974</v>
      </c>
      <c r="D41" s="279">
        <f ca="1">C44</f>
        <v>1.8E-3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39769878</v>
      </c>
      <c r="D42" s="282"/>
      <c r="E42" s="282"/>
      <c r="F42" s="283"/>
      <c r="G42" s="3148" t="s">
        <v>2456</v>
      </c>
    </row>
    <row r="43" spans="1:7" ht="13.5" customHeight="1">
      <c r="A43" s="951" t="s">
        <v>792</v>
      </c>
      <c r="B43" s="259" t="s">
        <v>2410</v>
      </c>
      <c r="C43" s="282">
        <f ca="1">ROUND(IF('数据-取费表'!B22&lt;=1,C39*F22*'数据-取费表'!B20/2,C39*(POWER((1+F22),'数据-取费表'!B20/2)-1)),0)</f>
        <v>1193096</v>
      </c>
      <c r="D43" s="282"/>
      <c r="E43" s="282"/>
      <c r="F43" s="283"/>
      <c r="G43" s="3149"/>
    </row>
    <row r="44" spans="1:7" ht="13.5" customHeight="1">
      <c r="A44" s="951" t="s">
        <v>793</v>
      </c>
      <c r="B44" s="259" t="s">
        <v>2411</v>
      </c>
      <c r="C44" s="282">
        <f ca="1">ROUND(IF('数据-取费表'!B22&lt;=1,C40*F22*'数据-取费表'!B20/2,C40*(POWER((1+F22),'数据-取费表'!B20/2)-1)),4)</f>
        <v>1.8E-3</v>
      </c>
      <c r="D44" s="282"/>
      <c r="E44" s="282"/>
      <c r="F44" s="283"/>
      <c r="G44" s="3150"/>
    </row>
    <row r="45" spans="1:7" s="258" customFormat="1" ht="13.5" customHeight="1">
      <c r="A45" s="299" t="s">
        <v>2412</v>
      </c>
      <c r="B45" s="288" t="s">
        <v>2378</v>
      </c>
      <c r="C45" s="289">
        <f ca="1">C46</f>
        <v>205763310</v>
      </c>
      <c r="D45" s="279">
        <f ca="1">C47</f>
        <v>8.9999999999999993E-3</v>
      </c>
      <c r="E45" s="280" t="s">
        <v>2404</v>
      </c>
      <c r="F45" s="290"/>
      <c r="G45" s="291" t="s">
        <v>2413</v>
      </c>
    </row>
    <row r="46" spans="1:7" s="258" customFormat="1" ht="13.5" customHeight="1">
      <c r="A46" s="951" t="s">
        <v>791</v>
      </c>
      <c r="B46" s="292" t="s">
        <v>2414</v>
      </c>
      <c r="C46" s="293">
        <f ca="1">ROUND((C33+C39)*F27,0)</f>
        <v>205763310</v>
      </c>
      <c r="D46" s="307"/>
      <c r="E46" s="280"/>
      <c r="F46" s="290"/>
      <c r="G46" s="291"/>
    </row>
    <row r="47" spans="1:7" s="258" customFormat="1" ht="13.5" customHeight="1">
      <c r="A47" s="951" t="s">
        <v>792</v>
      </c>
      <c r="B47" s="292" t="s">
        <v>2415</v>
      </c>
      <c r="C47" s="282">
        <f ca="1">ROUND(C40*F27,4)</f>
        <v>8.9999999999999993E-3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1029477851</v>
      </c>
      <c r="D49" s="276"/>
      <c r="E49" s="276"/>
      <c r="F49" s="308"/>
      <c r="G49" s="278" t="s">
        <v>2419</v>
      </c>
    </row>
    <row r="50" spans="1:7" s="302" customFormat="1">
      <c r="A50" s="299" t="s">
        <v>2420</v>
      </c>
      <c r="B50" s="254" t="s">
        <v>2421</v>
      </c>
      <c r="C50" s="276"/>
      <c r="D50" s="276"/>
      <c r="E50" s="276"/>
      <c r="F50" s="308">
        <f>IF('数据-取费表'!B24=0,'数据-取费表'!N16,1)</f>
        <v>0.83</v>
      </c>
      <c r="G50" s="291"/>
    </row>
    <row r="51" spans="1:7" ht="16.5" customHeight="1">
      <c r="A51" s="299" t="s">
        <v>2423</v>
      </c>
      <c r="B51" s="254" t="s">
        <v>2458</v>
      </c>
      <c r="C51" s="276">
        <f ca="1">ROUND(C49*F50,0)</f>
        <v>854466616</v>
      </c>
      <c r="D51" s="276"/>
      <c r="E51" s="276"/>
      <c r="F51" s="308"/>
      <c r="G51" s="278" t="s">
        <v>2425</v>
      </c>
    </row>
    <row r="52" spans="1:7" s="252" customFormat="1" ht="16.8" thickBot="1">
      <c r="A52" s="309" t="s">
        <v>2426</v>
      </c>
      <c r="B52" s="310"/>
      <c r="C52" s="311">
        <f ca="1">C31+C51</f>
        <v>920989072</v>
      </c>
      <c r="D52" s="310"/>
      <c r="E52" s="310"/>
      <c r="F52" s="310"/>
      <c r="G52" s="312"/>
    </row>
    <row r="55" spans="1:7" ht="15">
      <c r="B55" s="314" t="s">
        <v>2427</v>
      </c>
      <c r="C55" s="315"/>
    </row>
    <row r="56" spans="1:7">
      <c r="B56" s="317" t="s">
        <v>1508</v>
      </c>
      <c r="C56" s="319">
        <f ca="1">1-C57</f>
        <v>7.1999999999999953E-2</v>
      </c>
    </row>
    <row r="57" spans="1:7">
      <c r="B57" s="317" t="s">
        <v>1509</v>
      </c>
      <c r="C57" s="318">
        <f ca="1">ROUND(C51/C52,3)</f>
        <v>0.92800000000000005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2459</v>
      </c>
      <c r="B1" s="1580"/>
      <c r="C1" s="1581"/>
      <c r="D1" s="1579"/>
      <c r="E1" s="320"/>
      <c r="F1" s="320"/>
      <c r="G1" s="1580"/>
      <c r="H1" s="320"/>
      <c r="I1" s="320"/>
      <c r="J1" s="320"/>
      <c r="K1" s="320">
        <f>MATCH(C1,'数据-取费表'!A6:A16,0)+5</f>
        <v>7</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5.2">
      <c r="A5" s="957" t="s">
        <v>2463</v>
      </c>
      <c r="B5" s="958" t="s">
        <v>2464</v>
      </c>
      <c r="C5" s="2555" t="s">
        <v>2465</v>
      </c>
      <c r="D5" s="2555" t="s">
        <v>2466</v>
      </c>
      <c r="E5" s="2555" t="s">
        <v>2467</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102921.28</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0</v>
      </c>
      <c r="D17" s="1033">
        <f ca="1">D14</f>
        <v>102921.28</v>
      </c>
      <c r="E17" s="24">
        <f>'数据-取费表'!B32</f>
        <v>0</v>
      </c>
      <c r="F17" s="978"/>
      <c r="G17" s="140" t="s">
        <v>2491</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0</v>
      </c>
      <c r="D18" s="1033"/>
      <c r="E18" s="24"/>
      <c r="F18" s="976"/>
      <c r="G18" s="2557"/>
      <c r="H18" s="1576"/>
      <c r="I18" s="2558"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160</v>
      </c>
      <c r="F19" s="976"/>
      <c r="G19" s="15"/>
      <c r="H19" s="1578"/>
      <c r="I19" s="981"/>
      <c r="J19" s="981"/>
      <c r="K19" s="982"/>
    </row>
    <row r="20" spans="1:33" s="975" customFormat="1" ht="13.5" customHeight="1">
      <c r="A20" s="971" t="s">
        <v>806</v>
      </c>
      <c r="B20" s="972" t="s">
        <v>2495</v>
      </c>
      <c r="C20" s="24">
        <f ca="1">ROUND(D20*E20/10000,0)</f>
        <v>2058</v>
      </c>
      <c r="D20" s="1033">
        <f ca="1">IF(C1="",'数据-汇总表'!E6,IF(INDIRECT("'数据-取费表'!c"&amp;$K$1)="住宅",INDIRECT("'数据-取费表'!s"&amp;$K$1),INDIRECT("'数据-取费表'!k"&amp;$K$1)+INDIRECT("'数据-取费表'!s"&amp;$K$1)))</f>
        <v>102921.28</v>
      </c>
      <c r="E20" s="24">
        <f>'数据-取费表'!B28</f>
        <v>200</v>
      </c>
      <c r="F20" s="976"/>
      <c r="G20" s="15"/>
      <c r="H20" s="981"/>
      <c r="I20" s="981"/>
      <c r="J20" s="981"/>
      <c r="K20" s="982"/>
    </row>
    <row r="21" spans="1:33" s="975" customFormat="1" ht="13.5" customHeight="1">
      <c r="A21" s="961" t="s">
        <v>802</v>
      </c>
      <c r="B21" s="985" t="s">
        <v>2496</v>
      </c>
      <c r="C21" s="986">
        <f ca="1">C16+C17+C18</f>
        <v>0</v>
      </c>
      <c r="D21" s="987"/>
      <c r="E21" s="325"/>
      <c r="F21" s="325"/>
      <c r="G21" s="140" t="s">
        <v>2497</v>
      </c>
      <c r="H21" s="979"/>
      <c r="I21" s="979"/>
      <c r="J21" s="979"/>
      <c r="K21" s="980"/>
    </row>
    <row r="22" spans="1:33" s="975" customFormat="1" ht="13.5" customHeight="1">
      <c r="A22" s="961" t="s">
        <v>2469</v>
      </c>
      <c r="B22" s="985" t="s">
        <v>2498</v>
      </c>
      <c r="C22" s="986">
        <f ca="1">ROUND(C21*F22,0)</f>
        <v>0</v>
      </c>
      <c r="D22" s="325"/>
      <c r="E22" s="325"/>
      <c r="F22" s="988">
        <f>'数据-取费表'!B37</f>
        <v>0.03</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0.03</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6">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7">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2509</v>
      </c>
      <c r="B28" s="2560" t="s">
        <v>2510</v>
      </c>
      <c r="C28" s="331">
        <f ca="1">C30</f>
        <v>0</v>
      </c>
      <c r="D28" s="324">
        <f ca="1">C29</f>
        <v>0</v>
      </c>
      <c r="E28" s="326" t="s">
        <v>15</v>
      </c>
      <c r="F28" s="332">
        <f ca="1">IF(C1="",'数据-取费表'!Q16,INDIRECT("'数据-取费表'!q"&amp;$K$1))</f>
        <v>0.3</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0</v>
      </c>
      <c r="D30" s="328"/>
      <c r="E30" s="329"/>
      <c r="F30" s="334"/>
      <c r="G30" s="140"/>
      <c r="H30" s="979"/>
      <c r="I30" s="979"/>
      <c r="J30" s="979"/>
      <c r="K30" s="980"/>
    </row>
    <row r="31" spans="1:33" s="975" customFormat="1" ht="13.5" customHeight="1" thickBot="1">
      <c r="A31" s="2561" t="s">
        <v>2514</v>
      </c>
      <c r="B31" s="1005" t="s">
        <v>2515</v>
      </c>
      <c r="C31" s="1006">
        <f>ROUND(C4*F31/(1+'数据-取费表'!C42),0)</f>
        <v>0</v>
      </c>
      <c r="D31" s="1007"/>
      <c r="E31" s="1008"/>
      <c r="F31" s="1009">
        <f>'数据-取费表'!B41</f>
        <v>5.6000000000000001E-2</v>
      </c>
      <c r="G31" s="1010" t="s">
        <v>2516</v>
      </c>
      <c r="H31" s="1011"/>
      <c r="I31" s="1011"/>
      <c r="J31" s="1011"/>
      <c r="K31" s="1012"/>
    </row>
    <row r="32" spans="1:33" s="970" customFormat="1" ht="13.5" customHeight="1" thickBot="1">
      <c r="A32" s="1000" t="s">
        <v>2517</v>
      </c>
      <c r="B32" s="1001"/>
      <c r="C32" s="1002">
        <f ca="1">ROUND((C4-C21-C22-C23-C25-C28-C31)/(1+C24+D25+D28),0)</f>
        <v>0</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42" sqref="F4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2"/>
      <c r="C1" s="1836" t="s">
        <v>1373</v>
      </c>
      <c r="D1" s="1819" t="s">
        <v>70</v>
      </c>
      <c r="E1" s="1820" t="s">
        <v>1382</v>
      </c>
      <c r="F1" s="1282">
        <f ca="1">J53</f>
        <v>24.75</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554386</v>
      </c>
      <c r="C2" s="1844" t="s">
        <v>1511</v>
      </c>
      <c r="D2" s="1844"/>
      <c r="E2" s="1845"/>
      <c r="F2" s="1846"/>
      <c r="G2" s="1847"/>
      <c r="H2" s="1839"/>
      <c r="I2" s="1839"/>
      <c r="J2" s="1839"/>
      <c r="K2" s="1840"/>
      <c r="L2" s="1839"/>
      <c r="M2" s="1839"/>
    </row>
    <row r="3" spans="1:37" ht="18" customHeight="1" thickBot="1">
      <c r="A3" s="1848" t="s">
        <v>1512</v>
      </c>
      <c r="B3" s="1849">
        <f ca="1">IF(ISERROR(B2*10000/F43),0,ROUND(B2*10000/F43,0))</f>
        <v>53865</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f ca="1">C6+C10+C12</f>
        <v>35951</v>
      </c>
      <c r="D5" s="1821" t="s">
        <v>1397</v>
      </c>
      <c r="E5" s="1292"/>
      <c r="F5" s="1293"/>
      <c r="G5" s="1850"/>
      <c r="H5" s="344">
        <v>1</v>
      </c>
      <c r="I5" s="345" t="s">
        <v>1396</v>
      </c>
      <c r="J5" s="1291">
        <f ca="1">J6+J10+J12</f>
        <v>0</v>
      </c>
      <c r="K5" s="1821" t="s">
        <v>1397</v>
      </c>
      <c r="L5" s="1292"/>
      <c r="M5" s="1293"/>
    </row>
    <row r="6" spans="1:37" ht="18" customHeight="1">
      <c r="A6" s="1290" t="s">
        <v>1032</v>
      </c>
      <c r="B6" s="3153" t="s">
        <v>1398</v>
      </c>
      <c r="C6" s="1295">
        <f ca="1">ROUND(F6*F8*F7*(1-F9)/10000,0)</f>
        <v>35906</v>
      </c>
      <c r="D6" s="164" t="s">
        <v>3031</v>
      </c>
      <c r="E6" s="347" t="s">
        <v>1400</v>
      </c>
      <c r="F6" s="348">
        <f ca="1">INDIRECT("'数据-取费表'!u"&amp;$G$1)</f>
        <v>10.62</v>
      </c>
      <c r="G6" s="1850"/>
      <c r="H6" s="1290" t="s">
        <v>1032</v>
      </c>
      <c r="I6" s="3153" t="s">
        <v>1398</v>
      </c>
      <c r="J6" s="346">
        <f ca="1">ROUND(M6*M8*M7*(1-M9)/10000,0)</f>
        <v>0</v>
      </c>
      <c r="K6" s="164" t="s">
        <v>3030</v>
      </c>
      <c r="L6" s="347" t="s">
        <v>1400</v>
      </c>
      <c r="M6" s="348">
        <f ca="1">INDIRECT("'数据-取费表'!z"&amp;$G$1)</f>
        <v>0</v>
      </c>
    </row>
    <row r="7" spans="1:37" ht="18" customHeight="1">
      <c r="A7" s="1294"/>
      <c r="B7" s="3154"/>
      <c r="C7" s="1296"/>
      <c r="D7" s="352"/>
      <c r="E7" s="1297" t="s">
        <v>1401</v>
      </c>
      <c r="F7" s="348">
        <f ca="1">IF(INDIRECT("'数据-取费表'!ah"&amp;$G$1)="",INDIRECT("'数据-取费表'!k"&amp;$G$1),INDIRECT("'数据-取费表'!ah"&amp;$G$1))</f>
        <v>102921.28</v>
      </c>
      <c r="G7" s="1850"/>
      <c r="H7" s="349"/>
      <c r="I7" s="3154"/>
      <c r="J7" s="351"/>
      <c r="K7" s="352"/>
      <c r="L7" s="347" t="s">
        <v>1401</v>
      </c>
      <c r="M7" s="348">
        <f ca="1">F7</f>
        <v>102921.28</v>
      </c>
    </row>
    <row r="8" spans="1:37" ht="18" customHeight="1">
      <c r="A8" s="349"/>
      <c r="B8" s="3154"/>
      <c r="C8" s="351"/>
      <c r="D8" s="352"/>
      <c r="E8" s="347" t="s">
        <v>1402</v>
      </c>
      <c r="F8" s="348">
        <f ca="1">INDIRECT("'数据-取费表'!ai"&amp;$G$1)</f>
        <v>365</v>
      </c>
      <c r="G8" s="1850"/>
      <c r="H8" s="349"/>
      <c r="I8" s="3154"/>
      <c r="J8" s="351"/>
      <c r="K8" s="352"/>
      <c r="L8" s="347" t="s">
        <v>1402</v>
      </c>
      <c r="M8" s="348">
        <f ca="1">INDIRECT("'数据-取费表'!ai"&amp;$G$1)</f>
        <v>365</v>
      </c>
    </row>
    <row r="9" spans="1:37" ht="18" customHeight="1">
      <c r="A9" s="349"/>
      <c r="B9" s="3155"/>
      <c r="C9" s="351"/>
      <c r="D9" s="352"/>
      <c r="E9" s="347" t="s">
        <v>1403</v>
      </c>
      <c r="F9" s="357">
        <f ca="1">INDIRECT("'数据-取费表'!w"&amp;$G$1)</f>
        <v>0.1</v>
      </c>
      <c r="G9" s="1850"/>
      <c r="H9" s="349"/>
      <c r="I9" s="3155"/>
      <c r="J9" s="351"/>
      <c r="K9" s="352"/>
      <c r="L9" s="358" t="s">
        <v>1403</v>
      </c>
      <c r="M9" s="359">
        <f ca="1">INDIRECT("'数据-取费表'!ab"&amp;$G$1)</f>
        <v>0</v>
      </c>
    </row>
    <row r="10" spans="1:37" ht="18" customHeight="1">
      <c r="A10" s="1290" t="s">
        <v>1036</v>
      </c>
      <c r="B10" s="1822" t="s">
        <v>1404</v>
      </c>
      <c r="C10" s="361">
        <f ca="1">ROUND(IF(F10="押一",C6/12*F11,IF(F10="押二",C6/12*2*F11,IF(F10="押三",C6/12*3*F11,C11*F11))),0)</f>
        <v>45</v>
      </c>
      <c r="D10" s="1823" t="s">
        <v>3040</v>
      </c>
      <c r="E10" s="358" t="s">
        <v>1405</v>
      </c>
      <c r="F10" s="1365" t="s">
        <v>3112</v>
      </c>
      <c r="G10" s="1850"/>
      <c r="H10" s="1290" t="s">
        <v>1036</v>
      </c>
      <c r="I10" s="1822" t="s">
        <v>1404</v>
      </c>
      <c r="J10" s="346">
        <f ca="1">ROUND(IF(M10="押一",J6/12*M11,IF(M10="押二",J6/12*2*M11,IF(M10="押三",J6/12*3*M11,J11*M11))),0)</f>
        <v>0</v>
      </c>
      <c r="K10" s="1823" t="s">
        <v>3039</v>
      </c>
      <c r="L10" s="358" t="s">
        <v>1405</v>
      </c>
      <c r="M10" s="1365" t="s">
        <v>1406</v>
      </c>
    </row>
    <row r="11" spans="1:37" ht="18" customHeight="1">
      <c r="A11" s="353"/>
      <c r="B11" s="1824" t="s">
        <v>1383</v>
      </c>
      <c r="C11" s="1178"/>
      <c r="D11" s="1825"/>
      <c r="E11" s="358" t="s">
        <v>1407</v>
      </c>
      <c r="F11" s="359">
        <f ca="1">'数据-取费表'!B39</f>
        <v>1.4999999999999999E-2</v>
      </c>
      <c r="G11" s="1850"/>
      <c r="H11" s="1298"/>
      <c r="I11" s="1824" t="s">
        <v>1383</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85446</v>
      </c>
      <c r="D13" s="1330" t="s">
        <v>1410</v>
      </c>
      <c r="E13" s="1330" t="s">
        <v>1411</v>
      </c>
      <c r="F13" s="1331">
        <f ca="1">INDIRECT("'数据-取费表'!y"&amp;$G$1)</f>
        <v>0.83</v>
      </c>
      <c r="G13" s="1850"/>
      <c r="H13" s="1328">
        <v>2</v>
      </c>
      <c r="I13" s="1329" t="s">
        <v>1409</v>
      </c>
      <c r="J13" s="1289">
        <f ca="1">ROUND(J14*J15,0)</f>
        <v>0</v>
      </c>
      <c r="K13" s="1336" t="s">
        <v>1410</v>
      </c>
      <c r="L13" s="1851"/>
      <c r="M13" s="1852"/>
    </row>
    <row r="14" spans="1:37" ht="18" customHeight="1">
      <c r="A14" s="1201" t="s">
        <v>1031</v>
      </c>
      <c r="B14" s="347" t="s">
        <v>1412</v>
      </c>
      <c r="C14" s="363">
        <f ca="1">INDIRECT("'数据-取费表'!m"&amp;$G$1)+INDIRECT("'数据-取费表'!t"&amp;$G$1)</f>
        <v>61753</v>
      </c>
      <c r="D14" s="1799" t="s">
        <v>1413</v>
      </c>
      <c r="E14" s="1793"/>
      <c r="F14" s="364"/>
      <c r="G14" s="1850"/>
      <c r="H14" s="1201" t="s">
        <v>1032</v>
      </c>
      <c r="I14" s="347" t="s">
        <v>1414</v>
      </c>
      <c r="J14" s="24">
        <f ca="1">C29</f>
        <v>102947</v>
      </c>
      <c r="K14" s="15"/>
      <c r="L14" s="979"/>
      <c r="M14" s="980"/>
    </row>
    <row r="15" spans="1:37" s="1857" customFormat="1" ht="18" customHeight="1" thickBot="1">
      <c r="A15" s="1201" t="s">
        <v>1033</v>
      </c>
      <c r="B15" s="347" t="s">
        <v>1415</v>
      </c>
      <c r="C15" s="24">
        <f ca="1">ROUND(C14*F15,0)</f>
        <v>1853</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8" t="s">
        <v>1027</v>
      </c>
      <c r="I16" s="1329" t="s">
        <v>1419</v>
      </c>
      <c r="J16" s="355">
        <f ca="1">ROUND(J17+J22+J23+J24,0)</f>
        <v>2443</v>
      </c>
      <c r="K16" s="1336" t="s">
        <v>1420</v>
      </c>
      <c r="L16" s="1337"/>
      <c r="M16" s="1293"/>
    </row>
    <row r="17" spans="1:37" s="1857" customFormat="1" ht="18" customHeight="1">
      <c r="A17" s="1201" t="s">
        <v>1385</v>
      </c>
      <c r="B17" s="347" t="s">
        <v>1421</v>
      </c>
      <c r="C17" s="24">
        <f ca="1">ROUND(F17*(F43+INDIRECT("'数据-取费表'!S"&amp;$G$1))/10000,0)</f>
        <v>2058</v>
      </c>
      <c r="D17" s="347" t="s">
        <v>1422</v>
      </c>
      <c r="E17" s="347" t="s">
        <v>1423</v>
      </c>
      <c r="F17" s="26">
        <f>'数据-取费表'!B35</f>
        <v>200</v>
      </c>
      <c r="G17" s="1853"/>
      <c r="H17" s="1201" t="s">
        <v>1032</v>
      </c>
      <c r="I17" s="347" t="s">
        <v>1424</v>
      </c>
      <c r="J17" s="24">
        <f ca="1">ROUND(IF(项目基本情况!B11="自然人",J6*M17/(1+'数据-取费表'!C42),J18+J19+J20),1)</f>
        <v>898.8</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926</v>
      </c>
      <c r="D18" s="347" t="s">
        <v>1416</v>
      </c>
      <c r="E18" s="347" t="s">
        <v>1417</v>
      </c>
      <c r="F18" s="367">
        <f>'数据-取费表'!B36</f>
        <v>1.4999999999999999E-2</v>
      </c>
      <c r="G18" s="1853"/>
      <c r="H18" s="1201" t="s">
        <v>1031</v>
      </c>
      <c r="I18" s="347" t="s">
        <v>1428</v>
      </c>
      <c r="J18" s="24">
        <f ca="1">ROUND(J6*M18/(1+'数据-取费表'!C42),2)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66590</v>
      </c>
      <c r="D19" s="140" t="s">
        <v>1431</v>
      </c>
      <c r="E19" s="1817"/>
      <c r="F19" s="26"/>
      <c r="G19" s="1850"/>
      <c r="H19" s="1201" t="s">
        <v>1033</v>
      </c>
      <c r="I19" s="347" t="s">
        <v>1432</v>
      </c>
      <c r="J19" s="24">
        <f ca="1">IF(K19="按租金收入计税",ROUND(J6*M19/(1+'数据-取费表'!C42),2),ROUND(C29*M19*0.7,2))</f>
        <v>864.75</v>
      </c>
      <c r="K19" s="1827" t="s">
        <v>1433</v>
      </c>
      <c r="L19" s="347" t="s">
        <v>1417</v>
      </c>
      <c r="M19" s="367">
        <f>IF(K19="按租金收入计税",'数据-取费表'!B51,'数据-取费表'!B50)</f>
        <v>1.2E-2</v>
      </c>
    </row>
    <row r="20" spans="1:37" s="1857" customFormat="1" ht="18" customHeight="1">
      <c r="A20" s="1201" t="s">
        <v>1036</v>
      </c>
      <c r="B20" s="347" t="s">
        <v>1434</v>
      </c>
      <c r="C20" s="24">
        <f ca="1">ROUND(C19*F20,0)</f>
        <v>1998</v>
      </c>
      <c r="D20" s="369" t="s">
        <v>1435</v>
      </c>
      <c r="E20" s="347" t="s">
        <v>1417</v>
      </c>
      <c r="F20" s="367">
        <f>'数据-取费表'!B37</f>
        <v>0.03</v>
      </c>
      <c r="G20" s="1853"/>
      <c r="H20" s="1201" t="s">
        <v>1384</v>
      </c>
      <c r="I20" s="164" t="s">
        <v>1436</v>
      </c>
      <c r="J20" s="25">
        <f ca="1">ROUND(M20*M21/10000,2)</f>
        <v>34.06</v>
      </c>
      <c r="K20" s="370" t="s">
        <v>1437</v>
      </c>
      <c r="L20" s="347" t="s">
        <v>1438</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0.03</v>
      </c>
      <c r="G21" s="1853"/>
      <c r="H21" s="372"/>
      <c r="I21" s="356"/>
      <c r="J21" s="29"/>
      <c r="K21" s="373"/>
      <c r="L21" s="347" t="s">
        <v>1442</v>
      </c>
      <c r="M21" s="348">
        <f ca="1">INDIRECT("'数据-取费表'!r"&amp;$G$1)</f>
        <v>14193.33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1544.2</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4096</v>
      </c>
      <c r="D23" s="375" t="str">
        <f>IF(F23&lt;=1,"(建造成本+管理费用)×利率×(建设周期÷2)","(建造成本+管理费用)×((1+利率)^(建设周期÷2)-1)")</f>
        <v>(建造成本+管理费用)×((1+利率)^(建设周期÷2)-1)</v>
      </c>
      <c r="E23" s="347" t="s">
        <v>1447</v>
      </c>
      <c r="F23" s="371">
        <f>'数据-取费表'!B20</f>
        <v>2.5</v>
      </c>
      <c r="G23" s="1853"/>
      <c r="H23" s="1201" t="s">
        <v>1072</v>
      </c>
      <c r="I23" s="347" t="s">
        <v>1448</v>
      </c>
      <c r="J23" s="24">
        <f ca="1">ROUND(J13*M23,1)</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1.8E-3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ROUND(J5*M24,1)</f>
        <v>0</v>
      </c>
      <c r="K24" s="1341" t="s">
        <v>1454</v>
      </c>
      <c r="L24" s="1339" t="s">
        <v>1450</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8" t="s">
        <v>1028</v>
      </c>
      <c r="I25" s="1343" t="s">
        <v>1458</v>
      </c>
      <c r="J25" s="355">
        <f ca="1">J5-J16</f>
        <v>-2443</v>
      </c>
      <c r="K25" s="1344" t="s">
        <v>1459</v>
      </c>
      <c r="L25" s="1345"/>
      <c r="M25" s="1346"/>
    </row>
    <row r="26" spans="1:37">
      <c r="A26" s="1201" t="s">
        <v>1031</v>
      </c>
      <c r="B26" s="347" t="s">
        <v>1460</v>
      </c>
      <c r="C26" s="24">
        <f ca="1">ROUND((C19+C20)*F26,0)</f>
        <v>20576</v>
      </c>
      <c r="D26" s="369" t="s">
        <v>1461</v>
      </c>
      <c r="E26" s="358" t="s">
        <v>1462</v>
      </c>
      <c r="F26" s="357">
        <f ca="1">INDIRECT("'数据-取费表'!q"&amp;$G$1)</f>
        <v>0.3</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8.9999999999999993E-3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102947</v>
      </c>
      <c r="D29" s="1341"/>
      <c r="E29" s="1339"/>
      <c r="F29" s="1342"/>
      <c r="G29" s="1853"/>
      <c r="H29" s="380" t="s">
        <v>1030</v>
      </c>
      <c r="I29" s="381" t="s">
        <v>1474</v>
      </c>
      <c r="J29" s="382">
        <f ca="1">ROUND(J26/(1+F40)^F41,0)</f>
        <v>0</v>
      </c>
      <c r="K29" s="383" t="s">
        <v>1475</v>
      </c>
      <c r="L29" s="384"/>
      <c r="M29" s="385">
        <f ca="1">INDIRECT("'数据-取费表'!k"&amp;$G$1)</f>
        <v>102921.28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8085</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ROUND(IF(项目基本情况!B11="自然人",C6*F31/(1+'数据-取费表'!C42),C32+C33+C34),1)</f>
        <v>6052.6</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IF(项目基本情况!B11="自然人","——",ROUND(C6*F32/(1+'数据-取费表'!C42),2))</f>
        <v>1914.99</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4103.54</v>
      </c>
      <c r="D33" s="1827" t="s">
        <v>3125</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f ca="1">IF(项目基本情况!B11="自然人","——",ROUND(F34*F35/10000,2))</f>
        <v>34.06</v>
      </c>
      <c r="D34" s="370" t="s">
        <v>1437</v>
      </c>
      <c r="E34" s="347" t="s">
        <v>1438</v>
      </c>
      <c r="F34" s="371">
        <f>'数据-取费表'!B52</f>
        <v>24</v>
      </c>
      <c r="G34" s="1850"/>
      <c r="H34" s="745"/>
      <c r="I34" s="1859"/>
      <c r="J34" s="1860"/>
      <c r="K34" s="1862"/>
      <c r="L34" s="1863"/>
      <c r="M34" s="1863"/>
    </row>
    <row r="35" spans="1:18" ht="18" customHeight="1">
      <c r="A35" s="1352"/>
      <c r="B35" s="1350"/>
      <c r="C35" s="29"/>
      <c r="D35" s="373"/>
      <c r="E35" s="347" t="s">
        <v>1442</v>
      </c>
      <c r="F35" s="348">
        <f ca="1">INDIRECT("'数据-取费表'!r"&amp;$G$1)</f>
        <v>14193.33</v>
      </c>
      <c r="G35" s="1850"/>
      <c r="H35" s="745"/>
      <c r="I35" s="1859"/>
      <c r="J35" s="1860"/>
      <c r="K35" s="1861"/>
      <c r="L35" s="1858"/>
      <c r="M35" s="1858"/>
    </row>
    <row r="36" spans="1:18" ht="18" customHeight="1">
      <c r="A36" s="1351" t="s">
        <v>1036</v>
      </c>
      <c r="B36" s="347" t="s">
        <v>1444</v>
      </c>
      <c r="C36" s="24">
        <f ca="1">ROUND(C29*F36,1)</f>
        <v>1544.2</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128.19999999999999</v>
      </c>
      <c r="D37" s="1797" t="s">
        <v>1449</v>
      </c>
      <c r="E37" s="347" t="s">
        <v>1450</v>
      </c>
      <c r="F37" s="376">
        <f ca="1">INDIRECT("'数据-取费表'!Al"&amp;$G$1)</f>
        <v>1.5E-3</v>
      </c>
      <c r="G37" s="1850"/>
      <c r="H37" s="1858"/>
      <c r="I37" s="1859"/>
      <c r="J37" s="1860"/>
      <c r="K37" s="751"/>
      <c r="L37" s="1858"/>
      <c r="M37" s="1858"/>
    </row>
    <row r="38" spans="1:18" ht="18" customHeight="1" thickBot="1">
      <c r="A38" s="1338" t="s">
        <v>1388</v>
      </c>
      <c r="B38" s="1339" t="s">
        <v>1434</v>
      </c>
      <c r="C38" s="1340">
        <f ca="1">ROUND(C5*F38,1)</f>
        <v>359.5</v>
      </c>
      <c r="D38" s="1341" t="s">
        <v>1454</v>
      </c>
      <c r="E38" s="1339" t="s">
        <v>1450</v>
      </c>
      <c r="F38" s="1335">
        <f ca="1">INDIRECT("'数据-取费表'!Am"&amp;$G$1)</f>
        <v>0.01</v>
      </c>
      <c r="G38" s="1850"/>
      <c r="H38" s="1858"/>
      <c r="I38" s="1859"/>
      <c r="J38" s="1860"/>
      <c r="K38" s="1864"/>
      <c r="L38" s="1858"/>
      <c r="M38" s="1858"/>
    </row>
    <row r="39" spans="1:18" ht="24.6" customHeight="1" thickTop="1">
      <c r="A39" s="1328" t="s">
        <v>1028</v>
      </c>
      <c r="B39" s="1343" t="s">
        <v>1478</v>
      </c>
      <c r="C39" s="355">
        <f ca="1">C5-C30</f>
        <v>27866</v>
      </c>
      <c r="D39" s="1344" t="s">
        <v>1479</v>
      </c>
      <c r="E39" s="1345"/>
      <c r="F39" s="1346"/>
      <c r="G39" s="1850"/>
      <c r="H39" s="1858"/>
      <c r="I39" s="1859"/>
      <c r="J39" s="1860"/>
      <c r="K39" s="1864"/>
      <c r="L39" s="1858"/>
      <c r="M39" s="1858"/>
    </row>
    <row r="40" spans="1:18" ht="18" customHeight="1">
      <c r="A40" s="344" t="s">
        <v>1029</v>
      </c>
      <c r="B40" s="345" t="s">
        <v>1480</v>
      </c>
      <c r="C40" s="346">
        <f ca="1">ROUND(C39*(1-((1+F42)/(1+F40))^F41)/(F40-F42),0)</f>
        <v>554386</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24.75</v>
      </c>
      <c r="G41" s="1850"/>
      <c r="H41" s="732"/>
      <c r="I41" s="1859"/>
      <c r="J41" s="1860"/>
      <c r="K41" s="751"/>
      <c r="L41" s="732"/>
      <c r="M41" s="732"/>
    </row>
    <row r="42" spans="1:18" ht="18" customHeight="1">
      <c r="A42" s="353"/>
      <c r="B42" s="354"/>
      <c r="C42" s="355"/>
      <c r="D42" s="373"/>
      <c r="E42" s="347" t="s">
        <v>1472</v>
      </c>
      <c r="F42" s="357">
        <f ca="1">INDIRECT("'数据-取费表'!v"&amp;$G$1)</f>
        <v>0.04</v>
      </c>
      <c r="G42" s="1850"/>
      <c r="H42" s="732"/>
      <c r="I42" s="1859"/>
      <c r="J42" s="1860"/>
      <c r="K42" s="751"/>
      <c r="L42" s="732"/>
      <c r="M42" s="732"/>
    </row>
    <row r="43" spans="1:18" ht="18" customHeight="1" thickBot="1">
      <c r="A43" s="380" t="s">
        <v>1030</v>
      </c>
      <c r="B43" s="381" t="s">
        <v>1482</v>
      </c>
      <c r="C43" s="382">
        <f ca="1">ROUND(C40*10000/F43,0)</f>
        <v>53865</v>
      </c>
      <c r="D43" s="383" t="s">
        <v>1483</v>
      </c>
      <c r="E43" s="384" t="s">
        <v>1484</v>
      </c>
      <c r="F43" s="385">
        <f ca="1">INDIRECT("'数据-取费表'!k"&amp;$G$1)</f>
        <v>102921.28</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8" thickBot="1">
      <c r="A46" s="1869" t="s">
        <v>1515</v>
      </c>
      <c r="C46" s="1870">
        <f ca="1">C68-C40</f>
        <v>-692609</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8" thickBot="1">
      <c r="A47" s="1165" t="s">
        <v>1391</v>
      </c>
      <c r="B47" s="1197" t="s">
        <v>1392</v>
      </c>
      <c r="C47" s="1366" t="s">
        <v>1393</v>
      </c>
      <c r="D47" s="1197" t="s">
        <v>1394</v>
      </c>
      <c r="E47" s="1278" t="s">
        <v>1395</v>
      </c>
      <c r="F47" s="1279"/>
      <c r="G47" s="792"/>
      <c r="I47" s="1879" t="s">
        <v>1521</v>
      </c>
      <c r="J47" s="1880" t="s">
        <v>3123</v>
      </c>
      <c r="K47" s="1881" t="s">
        <v>1522</v>
      </c>
      <c r="L47" s="1882">
        <f ca="1">INDIRECT("'数据-取费表'!d"&amp;$G$1)</f>
        <v>40</v>
      </c>
      <c r="M47" s="1837" t="str">
        <f>IF(ISNUMBER(FIND("住宅",C1)),"住宅","非住宅")</f>
        <v>非住宅</v>
      </c>
      <c r="O47" s="1883" t="s">
        <v>1037</v>
      </c>
      <c r="P47" s="1884" t="s">
        <v>1523</v>
      </c>
      <c r="Q47" s="1885">
        <f ca="1">C40+J29</f>
        <v>554386</v>
      </c>
      <c r="R47" s="1885" t="s">
        <v>1524</v>
      </c>
    </row>
    <row r="48" spans="1:18" s="1841" customFormat="1" ht="40.200000000000003" thickBot="1">
      <c r="A48" s="1359" t="s">
        <v>1132</v>
      </c>
      <c r="B48" s="345" t="s">
        <v>1396</v>
      </c>
      <c r="C48" s="1816">
        <f ca="1">C49+C53+C55</f>
        <v>0</v>
      </c>
      <c r="D48" s="1361"/>
      <c r="E48" s="1362"/>
      <c r="F48" s="1181"/>
      <c r="G48" s="792"/>
      <c r="H48" s="793"/>
      <c r="I48" s="1886" t="s">
        <v>1525</v>
      </c>
      <c r="J48" s="1887" t="s">
        <v>3124</v>
      </c>
      <c r="K48" s="1888" t="s">
        <v>1526</v>
      </c>
      <c r="L48" s="1889">
        <f ca="1">INDIRECT("'数据-取费表'!f"&amp;$G$1)</f>
        <v>24.75</v>
      </c>
      <c r="O48" s="1883" t="s">
        <v>1038</v>
      </c>
      <c r="P48" s="1884" t="s">
        <v>1527</v>
      </c>
      <c r="Q48" s="1885" t="str">
        <f ca="1">J60</f>
        <v>0</v>
      </c>
      <c r="R48" s="1885" t="s">
        <v>1528</v>
      </c>
    </row>
    <row r="49" spans="1:18" s="1841" customFormat="1" ht="13.8" thickBot="1">
      <c r="A49" s="1194" t="s">
        <v>1133</v>
      </c>
      <c r="B49" s="1828" t="s">
        <v>1485</v>
      </c>
      <c r="C49" s="1363">
        <f ca="1">ROUND(F49*F51*F50*(1-F52)/10000,0)</f>
        <v>0</v>
      </c>
      <c r="D49" s="1275" t="s">
        <v>3032</v>
      </c>
      <c r="E49" s="1829" t="s">
        <v>1486</v>
      </c>
      <c r="F49" s="1280"/>
      <c r="G49" s="1890"/>
      <c r="H49" s="793"/>
      <c r="I49" s="1886" t="s">
        <v>1529</v>
      </c>
      <c r="J49" s="1891">
        <v>2009</v>
      </c>
      <c r="K49" s="1888" t="s">
        <v>1530</v>
      </c>
      <c r="L49" s="1892"/>
      <c r="O49" s="1893" t="s">
        <v>1039</v>
      </c>
      <c r="P49" s="1884" t="s">
        <v>1531</v>
      </c>
      <c r="Q49" s="1885">
        <f ca="1">C29</f>
        <v>102947</v>
      </c>
      <c r="R49" s="1885" t="s">
        <v>1524</v>
      </c>
    </row>
    <row r="50" spans="1:18" s="1841" customFormat="1" ht="13.8" thickBot="1">
      <c r="A50" s="1195"/>
      <c r="B50" s="1198"/>
      <c r="C50" s="1367"/>
      <c r="D50" s="1172"/>
      <c r="E50" s="1276" t="s">
        <v>1401</v>
      </c>
      <c r="F50" s="1277">
        <f ca="1">F7</f>
        <v>102921.28</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8" thickBot="1">
      <c r="A51" s="1196"/>
      <c r="B51" s="1198"/>
      <c r="C51" s="1199"/>
      <c r="D51" s="1172"/>
      <c r="E51" s="1200" t="s">
        <v>1402</v>
      </c>
      <c r="F51" s="348">
        <f ca="1">F8</f>
        <v>365</v>
      </c>
      <c r="I51" s="1897" t="s">
        <v>1535</v>
      </c>
      <c r="J51" s="1898">
        <f>IF(J49="",J50,J49+J50-YEAR('数据-取费表'!B2))</f>
        <v>50</v>
      </c>
      <c r="K51" s="1899" t="s">
        <v>1536</v>
      </c>
      <c r="L51" s="1900">
        <f ca="1">ROUND(-PV(INDIRECT("'数据-取费表'!h"&amp;$G$1),L48,(C39-C13*C76),0),0)</f>
        <v>288885</v>
      </c>
      <c r="M51" s="1901"/>
      <c r="O51" s="1893" t="s">
        <v>1041</v>
      </c>
      <c r="P51" s="1884" t="s">
        <v>1537</v>
      </c>
      <c r="Q51" s="1896">
        <f>J52</f>
        <v>0.09</v>
      </c>
      <c r="R51" s="1885"/>
    </row>
    <row r="52" spans="1:18" s="1841" customFormat="1" ht="13.8" thickBot="1">
      <c r="A52" s="1196"/>
      <c r="B52" s="1198"/>
      <c r="C52" s="1199"/>
      <c r="D52" s="1172"/>
      <c r="E52" s="1200" t="s">
        <v>1403</v>
      </c>
      <c r="F52" s="1274"/>
      <c r="I52" s="1902" t="s">
        <v>1538</v>
      </c>
      <c r="J52" s="1903">
        <v>0.09</v>
      </c>
      <c r="K52" s="1902" t="s">
        <v>1539</v>
      </c>
      <c r="L52" s="1903"/>
      <c r="O52" s="1893" t="s">
        <v>1042</v>
      </c>
      <c r="P52" s="1884" t="s">
        <v>1540</v>
      </c>
      <c r="Q52" s="1885">
        <f ca="1">J53</f>
        <v>24.75</v>
      </c>
      <c r="R52" s="1885" t="s">
        <v>1541</v>
      </c>
    </row>
    <row r="53" spans="1:18" s="1841" customFormat="1" ht="36.6" thickBot="1">
      <c r="A53" s="1404" t="s">
        <v>1134</v>
      </c>
      <c r="B53" s="1830" t="s">
        <v>1404</v>
      </c>
      <c r="C53" s="361">
        <f ca="1">ROUND(IF(F53="押一",C49/12*F11,IF(F53="押二",C49/12*2*F11,IF(F53="押三",C49/12*3*F11,C54*F11))),0)</f>
        <v>0</v>
      </c>
      <c r="D53" s="1823" t="s">
        <v>3039</v>
      </c>
      <c r="E53" s="358" t="s">
        <v>1405</v>
      </c>
      <c r="F53" s="1365"/>
      <c r="I53" s="1904" t="s">
        <v>1542</v>
      </c>
      <c r="J53" s="2951">
        <f ca="1">IF(M47="住宅",IF(D1="——",MAX(J51,L48),MAX(J51,L48-'数据-取费表'!B24)),IF(D1="——",MIN(J51,L48),MIN(J51,L48-'数据-取费表'!B24)))</f>
        <v>24.75</v>
      </c>
      <c r="K53" s="3151" t="s">
        <v>1543</v>
      </c>
      <c r="L53" s="3152"/>
      <c r="O53" s="1883" t="s">
        <v>1043</v>
      </c>
      <c r="P53" s="1884" t="s">
        <v>1544</v>
      </c>
      <c r="Q53" s="1885">
        <f ca="1">Q47+Q48</f>
        <v>554386</v>
      </c>
      <c r="R53" s="1885" t="s">
        <v>1044</v>
      </c>
    </row>
    <row r="54" spans="1:18" s="1841" customFormat="1" ht="24.6" thickBot="1">
      <c r="A54" s="1405"/>
      <c r="B54" s="1824" t="s">
        <v>1383</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8" thickBot="1">
      <c r="A55" s="1332" t="s">
        <v>1072</v>
      </c>
      <c r="B55" s="1826" t="s">
        <v>1408</v>
      </c>
      <c r="C55" s="1333"/>
      <c r="D55" s="1823"/>
      <c r="E55" s="1831"/>
      <c r="F55" s="1905"/>
      <c r="I55" s="1908" t="s">
        <v>1546</v>
      </c>
      <c r="J55" s="1909" t="e">
        <f ca="1">ROUND(IF(J47="钢混",J57/J50,1-(1-2%)*(J50-J57)/J50),3)</f>
        <v>#VALUE!</v>
      </c>
      <c r="K55" s="1910" t="s">
        <v>1547</v>
      </c>
      <c r="L55" s="1911" t="s">
        <v>1548</v>
      </c>
      <c r="O55" s="1876" t="s">
        <v>1517</v>
      </c>
      <c r="P55" s="1877" t="s">
        <v>1518</v>
      </c>
      <c r="Q55" s="1878" t="s">
        <v>1519</v>
      </c>
      <c r="R55" s="1878" t="s">
        <v>1520</v>
      </c>
    </row>
    <row r="56" spans="1:18" s="1841" customFormat="1" ht="37.200000000000003" thickTop="1" thickBot="1">
      <c r="A56" s="1176">
        <v>2</v>
      </c>
      <c r="B56" s="1177" t="s">
        <v>1409</v>
      </c>
      <c r="C56" s="276">
        <f ca="1">C13</f>
        <v>85446</v>
      </c>
      <c r="D56" s="1912"/>
      <c r="E56" s="1913"/>
      <c r="F56" s="1905"/>
      <c r="I56" s="1914" t="s">
        <v>1549</v>
      </c>
      <c r="J56" s="1915" t="s">
        <v>3066</v>
      </c>
      <c r="K56" s="1886" t="s">
        <v>1550</v>
      </c>
      <c r="L56" s="1889" t="str">
        <f ca="1">IF(L48&lt;J51,"——",L48-J53)</f>
        <v>——</v>
      </c>
      <c r="O56" s="1883" t="s">
        <v>1037</v>
      </c>
      <c r="P56" s="1884" t="s">
        <v>1523</v>
      </c>
      <c r="Q56" s="1885">
        <f ca="1">C40+J29</f>
        <v>554386</v>
      </c>
      <c r="R56" s="1885" t="s">
        <v>1524</v>
      </c>
    </row>
    <row r="57" spans="1:18" s="1841" customFormat="1" ht="24.6" thickBot="1">
      <c r="A57" s="1916"/>
      <c r="B57" s="1169" t="s">
        <v>1473</v>
      </c>
      <c r="C57" s="282">
        <f ca="1">C29</f>
        <v>102947</v>
      </c>
      <c r="D57" s="1917"/>
      <c r="E57" s="1918"/>
      <c r="F57" s="1919"/>
      <c r="I57" s="1920" t="s">
        <v>1551</v>
      </c>
      <c r="J57" s="1921"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6" thickBot="1">
      <c r="A58" s="360" t="s">
        <v>1027</v>
      </c>
      <c r="B58" s="1177" t="s">
        <v>1419</v>
      </c>
      <c r="C58" s="361">
        <f ca="1">ROUND(C59+C64+C65+C66,0)</f>
        <v>10354</v>
      </c>
      <c r="D58" s="1179" t="s">
        <v>1420</v>
      </c>
      <c r="E58" s="1180"/>
      <c r="F58" s="1181"/>
      <c r="I58" s="1920" t="s">
        <v>1555</v>
      </c>
      <c r="J58" s="1922"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1" t="s">
        <v>1032</v>
      </c>
      <c r="B59" s="1169" t="s">
        <v>1424</v>
      </c>
      <c r="C59" s="24">
        <f ca="1">ROUND(IF(项目基本情况!B11="自然人",C48*F59,C60+C61+C62),1)</f>
        <v>8681.6</v>
      </c>
      <c r="D59" s="1182" t="s">
        <v>1425</v>
      </c>
      <c r="E59" s="1183" t="s">
        <v>1426</v>
      </c>
      <c r="F59" s="368" t="str">
        <f ca="1">IF(项目基本情况!B11="企业","",IF(INDIRECT("'数据-取费表'!c"&amp;$G$1)="住宅",5%,IF(F49*F50*F51/12/(1+'数据-取费表'!C42)&gt;20000,12%,7%)))</f>
        <v/>
      </c>
      <c r="I59" s="1920" t="s">
        <v>1558</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2" thickBot="1">
      <c r="A60" s="1201" t="s">
        <v>1031</v>
      </c>
      <c r="B60" s="1169" t="s">
        <v>1428</v>
      </c>
      <c r="C60" s="24">
        <f ca="1">IF(项目基本情况!B11="自然人","——",ROUND(C48*F60/(1+'数据-取费表'!C42),2))</f>
        <v>0</v>
      </c>
      <c r="D60" s="1183" t="s">
        <v>1429</v>
      </c>
      <c r="E60" s="1169" t="s">
        <v>1417</v>
      </c>
      <c r="F60" s="377">
        <f t="shared" ref="F60:F66" si="0">F32</f>
        <v>5.6000000000000001E-2</v>
      </c>
      <c r="I60" s="1923" t="s">
        <v>1560</v>
      </c>
      <c r="J60" s="1924" t="str">
        <f ca="1">IF(OR(M47="住宅",J51&lt;L48,J56="是"),"0",ROUND(J59/(1+J52)^J53,0))</f>
        <v>0</v>
      </c>
      <c r="K60" s="1925" t="s">
        <v>1561</v>
      </c>
      <c r="L60" s="1924">
        <f ca="1">IF(OR(M47="住宅",L48&lt;J51),0,ROUND(L57*(L58/L59-1),0))</f>
        <v>0</v>
      </c>
      <c r="O60" s="1893" t="s">
        <v>1041</v>
      </c>
      <c r="P60" s="1884" t="s">
        <v>1562</v>
      </c>
      <c r="Q60" s="1885" t="e">
        <f ca="1">L58</f>
        <v>#DIV/0!</v>
      </c>
      <c r="R60" s="1885" t="s">
        <v>1563</v>
      </c>
    </row>
    <row r="61" spans="1:18" s="1841" customFormat="1" ht="13.8" thickBot="1">
      <c r="A61" s="1201" t="s">
        <v>1487</v>
      </c>
      <c r="B61" s="1169" t="s">
        <v>1488</v>
      </c>
      <c r="C61" s="24">
        <f ca="1">IF(项目基本情况!B11="自然人","——",IF(D61="按租金收入计税",ROUND(C48*F61,2),IF(D61="按房产原值计税",ROUND(C57*F61*0.7,2),INDIRECT("'数据-取费表'!Aj"&amp;$G$1))))</f>
        <v>8647.5499999999993</v>
      </c>
      <c r="D61" s="1827" t="s">
        <v>1433</v>
      </c>
      <c r="E61" s="1169"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8" thickBot="1">
      <c r="A62" s="1201" t="s">
        <v>1490</v>
      </c>
      <c r="B62" s="1168" t="s">
        <v>1491</v>
      </c>
      <c r="C62" s="25">
        <f ca="1">IF(项目基本情况!B11="自然人","——",ROUND(F62*F63/10000,2))</f>
        <v>34.06</v>
      </c>
      <c r="D62" s="1184" t="s">
        <v>1492</v>
      </c>
      <c r="E62" s="1169" t="s">
        <v>1493</v>
      </c>
      <c r="F62" s="371">
        <f t="shared" si="0"/>
        <v>24</v>
      </c>
      <c r="I62" s="1927" t="s">
        <v>1565</v>
      </c>
      <c r="J62" s="1928" t="s">
        <v>1566</v>
      </c>
      <c r="K62" s="1928" t="s">
        <v>1567</v>
      </c>
      <c r="L62" s="1928" t="s">
        <v>1568</v>
      </c>
      <c r="M62" s="1929" t="s">
        <v>1569</v>
      </c>
      <c r="O62" s="1883" t="s">
        <v>1043</v>
      </c>
      <c r="P62" s="1884" t="s">
        <v>1570</v>
      </c>
      <c r="Q62" s="1885">
        <f ca="1">Q56+Q57</f>
        <v>554386</v>
      </c>
      <c r="R62" s="1885" t="s">
        <v>1044</v>
      </c>
    </row>
    <row r="63" spans="1:18" s="1841" customFormat="1" ht="13.8" thickBot="1">
      <c r="A63" s="372"/>
      <c r="B63" s="1175"/>
      <c r="C63" s="29"/>
      <c r="D63" s="1185"/>
      <c r="E63" s="1169" t="s">
        <v>1494</v>
      </c>
      <c r="F63" s="348">
        <f t="shared" ca="1" si="0"/>
        <v>14193.33</v>
      </c>
      <c r="I63" s="1927" t="s">
        <v>1571</v>
      </c>
      <c r="J63" s="1928">
        <v>70</v>
      </c>
      <c r="K63" s="1928">
        <v>50</v>
      </c>
      <c r="L63" s="1928">
        <v>80</v>
      </c>
      <c r="M63" s="1930">
        <v>0.02</v>
      </c>
      <c r="O63" s="1868" t="s">
        <v>1572</v>
      </c>
      <c r="P63" s="1838"/>
      <c r="Q63" s="1838"/>
      <c r="R63" s="1838"/>
    </row>
    <row r="64" spans="1:18" s="1841" customFormat="1" ht="13.8" thickBot="1">
      <c r="A64" s="1201" t="s">
        <v>1495</v>
      </c>
      <c r="B64" s="1169" t="s">
        <v>1496</v>
      </c>
      <c r="C64" s="24">
        <f ca="1">ROUND(C57*F64,1)</f>
        <v>1544.2</v>
      </c>
      <c r="D64" s="1183" t="s">
        <v>1497</v>
      </c>
      <c r="E64" s="1169" t="s">
        <v>1489</v>
      </c>
      <c r="F64" s="374">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8" thickBot="1">
      <c r="A65" s="1201" t="s">
        <v>1498</v>
      </c>
      <c r="B65" s="1169" t="s">
        <v>1448</v>
      </c>
      <c r="C65" s="24">
        <f ca="1">ROUND(C56*F65,1)</f>
        <v>128.19999999999999</v>
      </c>
      <c r="D65" s="1183" t="s">
        <v>1449</v>
      </c>
      <c r="E65" s="1169" t="s">
        <v>1450</v>
      </c>
      <c r="F65" s="376">
        <f t="shared" ca="1" si="0"/>
        <v>1.5E-3</v>
      </c>
      <c r="I65" s="1927" t="s">
        <v>1574</v>
      </c>
      <c r="J65" s="1928">
        <v>40</v>
      </c>
      <c r="K65" s="1928">
        <v>30</v>
      </c>
      <c r="L65" s="1928">
        <v>50</v>
      </c>
      <c r="M65" s="1930">
        <v>0.02</v>
      </c>
      <c r="O65" s="1883" t="s">
        <v>1037</v>
      </c>
      <c r="P65" s="1884" t="s">
        <v>1575</v>
      </c>
      <c r="Q65" s="1885">
        <f ca="1">C40+J29</f>
        <v>554386</v>
      </c>
      <c r="R65" s="1885" t="s">
        <v>1524</v>
      </c>
    </row>
    <row r="66" spans="1:18" s="1841" customFormat="1" ht="16.2" thickBot="1">
      <c r="A66" s="1201" t="s">
        <v>1499</v>
      </c>
      <c r="B66" s="1169" t="s">
        <v>1434</v>
      </c>
      <c r="C66" s="24">
        <f ca="1">ROUND(C48*F66,1)</f>
        <v>0</v>
      </c>
      <c r="D66" s="1183" t="s">
        <v>1500</v>
      </c>
      <c r="E66" s="1169" t="s">
        <v>1417</v>
      </c>
      <c r="F66" s="357">
        <f t="shared" ca="1" si="0"/>
        <v>0.01</v>
      </c>
      <c r="O66" s="1883" t="s">
        <v>1038</v>
      </c>
      <c r="P66" s="1884" t="s">
        <v>1553</v>
      </c>
      <c r="Q66" s="1885">
        <f ca="1">L60</f>
        <v>0</v>
      </c>
      <c r="R66" s="1885" t="s">
        <v>1576</v>
      </c>
    </row>
    <row r="67" spans="1:18" s="1841" customFormat="1" ht="24.6" thickBot="1">
      <c r="A67" s="1176" t="s">
        <v>1028</v>
      </c>
      <c r="B67" s="1186" t="s">
        <v>1458</v>
      </c>
      <c r="C67" s="361">
        <f ca="1">C48-C58</f>
        <v>-10354</v>
      </c>
      <c r="D67" s="1182" t="s">
        <v>1459</v>
      </c>
      <c r="E67" s="1187"/>
      <c r="F67" s="1188"/>
      <c r="O67" s="1893" t="s">
        <v>1039</v>
      </c>
      <c r="P67" s="1884" t="s">
        <v>1557</v>
      </c>
      <c r="Q67" s="1931">
        <f ca="1">L51</f>
        <v>288885</v>
      </c>
      <c r="R67" s="1885" t="s">
        <v>1577</v>
      </c>
    </row>
    <row r="68" spans="1:18" s="1841" customFormat="1" ht="16.2" thickBot="1">
      <c r="A68" s="1166" t="s">
        <v>1029</v>
      </c>
      <c r="B68" s="1167" t="s">
        <v>1480</v>
      </c>
      <c r="C68" s="346">
        <f ca="1">ROUND(C67*(1-((1+F70)/(1+F68))^F69)/(F68-F70),0)</f>
        <v>-138223</v>
      </c>
      <c r="D68" s="1184" t="s">
        <v>1464</v>
      </c>
      <c r="E68" s="1169" t="s">
        <v>1465</v>
      </c>
      <c r="F68" s="357">
        <f ca="1">F40</f>
        <v>5.5E-2</v>
      </c>
      <c r="O68" s="1893" t="s">
        <v>1040</v>
      </c>
      <c r="P68" s="1932" t="s">
        <v>1578</v>
      </c>
      <c r="Q68" s="1885">
        <f ca="1">ROUND(Q69-Q70*Q71,0)</f>
        <v>20603</v>
      </c>
      <c r="R68" s="1885" t="s">
        <v>1048</v>
      </c>
    </row>
    <row r="69" spans="1:18" s="1841" customFormat="1" ht="13.8" thickBot="1">
      <c r="A69" s="1170"/>
      <c r="B69" s="1171"/>
      <c r="C69" s="351"/>
      <c r="D69" s="1189" t="s">
        <v>1468</v>
      </c>
      <c r="E69" s="1169" t="s">
        <v>1469</v>
      </c>
      <c r="F69" s="379">
        <f ca="1">F41</f>
        <v>24.75</v>
      </c>
      <c r="O69" s="1893" t="s">
        <v>1045</v>
      </c>
      <c r="P69" s="1932" t="s">
        <v>1579</v>
      </c>
      <c r="Q69" s="1885">
        <f ca="1">C39</f>
        <v>27866</v>
      </c>
      <c r="R69" s="1885" t="s">
        <v>1524</v>
      </c>
    </row>
    <row r="70" spans="1:18" s="1841" customFormat="1" ht="13.8" thickBot="1">
      <c r="A70" s="1173"/>
      <c r="B70" s="1174"/>
      <c r="C70" s="355"/>
      <c r="D70" s="1185"/>
      <c r="E70" s="1169" t="s">
        <v>1472</v>
      </c>
      <c r="F70" s="1274"/>
      <c r="O70" s="1893" t="s">
        <v>1046</v>
      </c>
      <c r="P70" s="1932" t="s">
        <v>1580</v>
      </c>
      <c r="Q70" s="1885">
        <f ca="1">C13</f>
        <v>85446</v>
      </c>
      <c r="R70" s="1885" t="s">
        <v>1524</v>
      </c>
    </row>
    <row r="71" spans="1:18" s="1841" customFormat="1" ht="13.8" thickBot="1">
      <c r="A71" s="1190" t="s">
        <v>1030</v>
      </c>
      <c r="B71" s="1191" t="s">
        <v>1482</v>
      </c>
      <c r="C71" s="382">
        <f ca="1">ROUND(C68*10000/F71,0)</f>
        <v>-13430</v>
      </c>
      <c r="D71" s="1192" t="s">
        <v>1483</v>
      </c>
      <c r="E71" s="1193" t="s">
        <v>1484</v>
      </c>
      <c r="F71" s="385">
        <f ca="1">F43</f>
        <v>102921.28</v>
      </c>
      <c r="O71" s="1893" t="s">
        <v>1047</v>
      </c>
      <c r="P71" s="1932" t="s">
        <v>1581</v>
      </c>
      <c r="Q71" s="1896">
        <f ca="1">C76</f>
        <v>8.5000000000000006E-2</v>
      </c>
      <c r="R71" s="1885"/>
    </row>
    <row r="72" spans="1:18" s="1841" customFormat="1" ht="13.8" thickBot="1">
      <c r="B72" s="796"/>
      <c r="C72" s="796"/>
      <c r="O72" s="1893" t="s">
        <v>1041</v>
      </c>
      <c r="P72" s="1884" t="s">
        <v>1559</v>
      </c>
      <c r="Q72" s="1896">
        <f>L52</f>
        <v>0</v>
      </c>
      <c r="R72" s="1885"/>
    </row>
    <row r="73" spans="1:18" ht="16.2" thickBot="1">
      <c r="A73" s="1841"/>
      <c r="B73" s="796"/>
      <c r="C73" s="796"/>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8" thickBot="1">
      <c r="A75" s="1841"/>
      <c r="B75" s="386" t="s">
        <v>1501</v>
      </c>
      <c r="C75" s="387">
        <f ca="1">ROUND(C13*C76,0)</f>
        <v>7263</v>
      </c>
      <c r="D75" s="1841"/>
      <c r="E75" s="1841"/>
      <c r="F75" s="1841"/>
      <c r="K75" s="1867"/>
      <c r="L75" s="1841"/>
      <c r="O75" s="1883" t="s">
        <v>1043</v>
      </c>
      <c r="P75" s="1884" t="s">
        <v>1544</v>
      </c>
      <c r="Q75" s="1885">
        <f ca="1">Q65+Q66</f>
        <v>554386</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0.73899999999999999</v>
      </c>
    </row>
    <row r="80" spans="1:18">
      <c r="B80" s="386" t="s">
        <v>1506</v>
      </c>
      <c r="C80" s="318">
        <f ca="1">ROUND(C75/C39,3)</f>
        <v>0.26100000000000001</v>
      </c>
    </row>
    <row r="81" spans="2:3">
      <c r="B81" s="314" t="s">
        <v>1507</v>
      </c>
      <c r="C81" s="282"/>
    </row>
    <row r="82" spans="2:3">
      <c r="B82" s="317" t="s">
        <v>1508</v>
      </c>
      <c r="C82" s="319">
        <f ca="1">1-C83</f>
        <v>0.84599999999999997</v>
      </c>
    </row>
    <row r="83" spans="2:3">
      <c r="B83" s="317" t="s">
        <v>1509</v>
      </c>
      <c r="C83" s="318">
        <f ca="1">ROUND(C13/C40,3)</f>
        <v>0.154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2"/>
      <c r="C1" s="1836"/>
      <c r="D1" s="1819"/>
      <c r="E1" s="1820" t="s">
        <v>1382</v>
      </c>
      <c r="F1" s="1282">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1">
        <f ca="1">C6+C10+C12</f>
        <v>0</v>
      </c>
      <c r="D5" s="1821" t="s">
        <v>1596</v>
      </c>
      <c r="E5" s="1292"/>
      <c r="F5" s="1293"/>
      <c r="G5" s="1850"/>
      <c r="H5" s="344">
        <v>1</v>
      </c>
      <c r="I5" s="345" t="s">
        <v>1595</v>
      </c>
      <c r="J5" s="1291">
        <f ca="1">J6+J10+J12</f>
        <v>0</v>
      </c>
      <c r="K5" s="1821" t="s">
        <v>1596</v>
      </c>
      <c r="L5" s="1292"/>
      <c r="M5" s="1293"/>
    </row>
    <row r="6" spans="1:37" ht="18" customHeight="1">
      <c r="A6" s="1290" t="s">
        <v>1032</v>
      </c>
      <c r="B6" s="3153" t="s">
        <v>1398</v>
      </c>
      <c r="C6" s="1295">
        <f ca="1">ROUND(F6*F8*F7*(1-F9),0)</f>
        <v>0</v>
      </c>
      <c r="D6" s="164" t="s">
        <v>3028</v>
      </c>
      <c r="E6" s="347" t="s">
        <v>1400</v>
      </c>
      <c r="F6" s="348">
        <f ca="1">INDIRECT("'数据-取费表'!u"&amp;$G$1)</f>
        <v>0</v>
      </c>
      <c r="G6" s="1850"/>
      <c r="H6" s="1290" t="s">
        <v>1032</v>
      </c>
      <c r="I6" s="3153" t="s">
        <v>1398</v>
      </c>
      <c r="J6" s="346">
        <f ca="1">ROUND(M6*M8*M7*(1-M9),0)</f>
        <v>0</v>
      </c>
      <c r="K6" s="1833" t="s">
        <v>3029</v>
      </c>
      <c r="L6" s="347" t="s">
        <v>1400</v>
      </c>
      <c r="M6" s="348">
        <f ca="1">INDIRECT("'数据-取费表'!z"&amp;$G$1)</f>
        <v>0</v>
      </c>
    </row>
    <row r="7" spans="1:37" ht="18" customHeight="1">
      <c r="A7" s="1294"/>
      <c r="B7" s="3154"/>
      <c r="C7" s="1296"/>
      <c r="D7" s="352"/>
      <c r="E7" s="1297" t="s">
        <v>1401</v>
      </c>
      <c r="F7" s="348">
        <f ca="1">IF(INDIRECT("'数据-取费表'!ah"&amp;$G$1)="",INDIRECT("'数据-取费表'!k"&amp;$G$1),INDIRECT("'数据-取费表'!ah"&amp;$G$1))</f>
        <v>558</v>
      </c>
      <c r="G7" s="1850"/>
      <c r="H7" s="349"/>
      <c r="I7" s="3154"/>
      <c r="J7" s="351"/>
      <c r="K7" s="352"/>
      <c r="L7" s="347" t="s">
        <v>1401</v>
      </c>
      <c r="M7" s="348">
        <f ca="1">F7</f>
        <v>558</v>
      </c>
    </row>
    <row r="8" spans="1:37" ht="18" customHeight="1">
      <c r="A8" s="349"/>
      <c r="B8" s="3154"/>
      <c r="C8" s="351"/>
      <c r="D8" s="352"/>
      <c r="E8" s="347" t="s">
        <v>1402</v>
      </c>
      <c r="F8" s="348">
        <f ca="1">INDIRECT("'数据-取费表'!ai"&amp;$G$1)</f>
        <v>0</v>
      </c>
      <c r="G8" s="1850"/>
      <c r="H8" s="349"/>
      <c r="I8" s="3154"/>
      <c r="J8" s="351"/>
      <c r="K8" s="352"/>
      <c r="L8" s="347" t="s">
        <v>1402</v>
      </c>
      <c r="M8" s="348">
        <f ca="1">INDIRECT("'数据-取费表'!ai"&amp;$G$1)</f>
        <v>0</v>
      </c>
    </row>
    <row r="9" spans="1:37" ht="18" customHeight="1">
      <c r="A9" s="349"/>
      <c r="B9" s="3155"/>
      <c r="C9" s="351"/>
      <c r="D9" s="352"/>
      <c r="E9" s="347" t="s">
        <v>1403</v>
      </c>
      <c r="F9" s="357">
        <f ca="1">INDIRECT("'数据-取费表'!w"&amp;$G$1)</f>
        <v>0</v>
      </c>
      <c r="G9" s="1850"/>
      <c r="H9" s="349"/>
      <c r="I9" s="3155"/>
      <c r="J9" s="351"/>
      <c r="K9" s="352"/>
      <c r="L9" s="358" t="s">
        <v>1403</v>
      </c>
      <c r="M9" s="359">
        <f ca="1">INDIRECT("'数据-取费表'!ab"&amp;$G$1)</f>
        <v>0</v>
      </c>
    </row>
    <row r="10" spans="1:37" ht="18" customHeight="1">
      <c r="A10" s="1290" t="s">
        <v>1036</v>
      </c>
      <c r="B10" s="1822" t="s">
        <v>1404</v>
      </c>
      <c r="C10" s="361">
        <f ca="1">ROUND(IF(F10="押一",C6/12*F11,IF(F10="押二",C6/12*2*F11,IF(F10="押三",C6/12*3*F11,C11*F11))),0)</f>
        <v>0</v>
      </c>
      <c r="D10" s="1823" t="s">
        <v>3039</v>
      </c>
      <c r="E10" s="358" t="s">
        <v>1405</v>
      </c>
      <c r="F10" s="1365"/>
      <c r="G10" s="1850"/>
      <c r="H10" s="1290" t="s">
        <v>1036</v>
      </c>
      <c r="I10" s="1822" t="s">
        <v>1404</v>
      </c>
      <c r="J10" s="346">
        <f ca="1">ROUND(IF(M10="押一",J6/12*M11,IF(M10="押二",J6/12*2*M11,IF(M10="押三",J6/12*3*M11,J11*M11))),0)</f>
        <v>0</v>
      </c>
      <c r="K10" s="1834" t="s">
        <v>3041</v>
      </c>
      <c r="L10" s="358" t="s">
        <v>1405</v>
      </c>
      <c r="M10" s="1365"/>
    </row>
    <row r="11" spans="1:37" ht="18" customHeight="1">
      <c r="A11" s="353"/>
      <c r="B11" s="1824" t="s">
        <v>1597</v>
      </c>
      <c r="C11" s="1178"/>
      <c r="D11" s="352"/>
      <c r="E11" s="358" t="s">
        <v>1407</v>
      </c>
      <c r="F11" s="359">
        <f ca="1">'数据-取费表'!B39</f>
        <v>1.4999999999999999E-2</v>
      </c>
      <c r="G11" s="1850"/>
      <c r="H11" s="1298"/>
      <c r="I11" s="1824" t="s">
        <v>1598</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0</v>
      </c>
      <c r="D13" s="1330" t="s">
        <v>1410</v>
      </c>
      <c r="E13" s="1330" t="s">
        <v>1411</v>
      </c>
      <c r="F13" s="1331">
        <f ca="1">INDIRECT("'数据-取费表'!y"&amp;$G$1)</f>
        <v>0.83</v>
      </c>
      <c r="G13" s="1850"/>
      <c r="H13" s="1328">
        <v>2</v>
      </c>
      <c r="I13" s="1329" t="s">
        <v>1409</v>
      </c>
      <c r="J13" s="1289">
        <f ca="1">ROUND(J14*J15,0)</f>
        <v>0</v>
      </c>
      <c r="K13" s="1336"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8" t="s">
        <v>1027</v>
      </c>
      <c r="I16" s="1329" t="s">
        <v>1419</v>
      </c>
      <c r="J16" s="355">
        <f ca="1">ROUND(J17+J22+J23+J24,0)</f>
        <v>0</v>
      </c>
      <c r="K16" s="1336" t="s">
        <v>1420</v>
      </c>
      <c r="L16" s="1337"/>
      <c r="M16" s="1293"/>
    </row>
    <row r="17" spans="1:37" s="1857" customFormat="1" ht="18" customHeight="1">
      <c r="A17" s="1201" t="s">
        <v>1385</v>
      </c>
      <c r="B17" s="347" t="s">
        <v>1421</v>
      </c>
      <c r="C17" s="24">
        <f ca="1">ROUND(F17*(F43+INDIRECT("'数据-取费表'!S"&amp;$G$1)),0)</f>
        <v>0</v>
      </c>
      <c r="D17" s="347" t="s">
        <v>1422</v>
      </c>
      <c r="E17" s="347" t="s">
        <v>1423</v>
      </c>
      <c r="F17" s="26">
        <f>'数据-取费表'!B35</f>
        <v>200</v>
      </c>
      <c r="G17" s="1853"/>
      <c r="H17" s="1201" t="s">
        <v>1032</v>
      </c>
      <c r="I17" s="347" t="s">
        <v>1424</v>
      </c>
      <c r="J17" s="24">
        <f ca="1">ROUND(IF(项目基本情况!B11="自然人",J6*M17/(1+'数据-取费表'!C42),J18+J19+J20),0)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ROUND(J6*M18/(1+'数据-取费表'!C42),0)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IF(K19="按租金收入计税",ROUND(J6*M19/(1+'数据-取费表'!C42),0),ROUND(C29*M19*0.7,0))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0.03</v>
      </c>
      <c r="G20" s="1853"/>
      <c r="H20" s="1201" t="s">
        <v>1384</v>
      </c>
      <c r="I20" s="164" t="s">
        <v>1436</v>
      </c>
      <c r="J20" s="25">
        <f ca="1">ROUND(M20*M21,0)</f>
        <v>0</v>
      </c>
      <c r="K20" s="370" t="s">
        <v>1437</v>
      </c>
      <c r="L20" s="347" t="s">
        <v>1438</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0.03</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2.5</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1.8E-3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ROUND(J5*M24,0)</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8" t="s">
        <v>1028</v>
      </c>
      <c r="I25" s="1343" t="s">
        <v>1458</v>
      </c>
      <c r="J25" s="355">
        <f ca="1">J5-J16</f>
        <v>0</v>
      </c>
      <c r="K25" s="1344" t="s">
        <v>1459</v>
      </c>
      <c r="L25" s="1345"/>
      <c r="M25" s="1346"/>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0</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ROUND(IF(项目基本情况!B11="自然人",C6*F31/(1+'数据-取费表'!C42),C32+C33+C34),0)</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IF(项目基本情况!B11="自然人","——",ROUND(C6*F32/(1+'数据-取费表'!C42),0))</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0" t="s">
        <v>1384</v>
      </c>
      <c r="B34" s="164" t="s">
        <v>1436</v>
      </c>
      <c r="C34" s="25">
        <f ca="1">IF(项目基本情况!B11="自然人","——",ROUND(F34*F35,))</f>
        <v>0</v>
      </c>
      <c r="D34" s="370" t="s">
        <v>1437</v>
      </c>
      <c r="E34" s="347" t="s">
        <v>1438</v>
      </c>
      <c r="F34" s="371">
        <f>'数据-取费表'!B52</f>
        <v>24</v>
      </c>
      <c r="G34" s="1850"/>
      <c r="H34" s="745"/>
      <c r="I34" s="1859"/>
      <c r="J34" s="1860"/>
      <c r="K34" s="1862"/>
      <c r="L34" s="1863"/>
      <c r="M34" s="1863"/>
    </row>
    <row r="35" spans="1:18" ht="18" customHeight="1">
      <c r="A35" s="1352"/>
      <c r="B35" s="1350"/>
      <c r="C35" s="29"/>
      <c r="D35" s="373"/>
      <c r="E35" s="347" t="s">
        <v>1442</v>
      </c>
      <c r="F35" s="348">
        <f ca="1">INDIRECT("'数据-取费表'!r"&amp;$G$1)</f>
        <v>0</v>
      </c>
      <c r="G35" s="1850"/>
      <c r="H35" s="745"/>
      <c r="I35" s="1859"/>
      <c r="J35" s="1860"/>
      <c r="K35" s="1861"/>
      <c r="L35" s="1858"/>
      <c r="M35" s="1858"/>
    </row>
    <row r="36" spans="1:18" ht="18" customHeight="1">
      <c r="A36" s="1351"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5">
        <f ca="1">C5-C30</f>
        <v>0</v>
      </c>
      <c r="D39" s="1344" t="s">
        <v>1479</v>
      </c>
      <c r="E39" s="1345"/>
      <c r="F39" s="1346"/>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8"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8" thickBot="1">
      <c r="A47" s="1165" t="s">
        <v>1391</v>
      </c>
      <c r="B47" s="1197" t="s">
        <v>1392</v>
      </c>
      <c r="C47" s="1197" t="s">
        <v>1393</v>
      </c>
      <c r="D47" s="1197" t="s">
        <v>1394</v>
      </c>
      <c r="E47" s="1278" t="s">
        <v>1395</v>
      </c>
      <c r="F47" s="1279"/>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40.200000000000003" thickBot="1">
      <c r="A48" s="1359" t="s">
        <v>1132</v>
      </c>
      <c r="B48" s="345" t="s">
        <v>1396</v>
      </c>
      <c r="C48" s="1816">
        <f ca="1">C49+C53+C55</f>
        <v>0</v>
      </c>
      <c r="D48" s="1361"/>
      <c r="E48" s="1362"/>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8" thickBot="1">
      <c r="A49" s="1194" t="s">
        <v>1133</v>
      </c>
      <c r="B49" s="1828" t="s">
        <v>1485</v>
      </c>
      <c r="C49" s="1363">
        <f ca="1">ROUND(F49*F51*F50*(1-F52),0)</f>
        <v>0</v>
      </c>
      <c r="D49" s="1275" t="s">
        <v>1399</v>
      </c>
      <c r="E49" s="1829" t="s">
        <v>1486</v>
      </c>
      <c r="F49" s="1280"/>
      <c r="G49" s="1890"/>
      <c r="H49" s="793"/>
      <c r="I49" s="1886" t="s">
        <v>1529</v>
      </c>
      <c r="J49" s="1891"/>
      <c r="K49" s="1888" t="s">
        <v>1530</v>
      </c>
      <c r="L49" s="1892"/>
      <c r="O49" s="1893" t="s">
        <v>1039</v>
      </c>
      <c r="P49" s="1884" t="s">
        <v>1531</v>
      </c>
      <c r="Q49" s="1885">
        <f ca="1">C29</f>
        <v>0</v>
      </c>
      <c r="R49" s="1885" t="s">
        <v>1524</v>
      </c>
    </row>
    <row r="50" spans="1:18" s="1841" customFormat="1" ht="13.8" thickBot="1">
      <c r="A50" s="1195"/>
      <c r="B50" s="1198"/>
      <c r="C50" s="1199"/>
      <c r="D50" s="1172"/>
      <c r="E50" s="1276" t="s">
        <v>1401</v>
      </c>
      <c r="F50" s="1277">
        <f ca="1">F7</f>
        <v>558</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8"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8" thickBot="1">
      <c r="A52" s="1196"/>
      <c r="B52" s="1198"/>
      <c r="C52" s="1199"/>
      <c r="D52" s="1172"/>
      <c r="E52" s="1200" t="s">
        <v>1403</v>
      </c>
      <c r="F52" s="1274"/>
      <c r="I52" s="1902" t="s">
        <v>1538</v>
      </c>
      <c r="J52" s="1903"/>
      <c r="K52" s="1902" t="s">
        <v>1539</v>
      </c>
      <c r="L52" s="1903"/>
      <c r="O52" s="1893" t="s">
        <v>1042</v>
      </c>
      <c r="P52" s="1884" t="s">
        <v>1540</v>
      </c>
      <c r="Q52" s="1885">
        <f ca="1">J53</f>
        <v>0</v>
      </c>
      <c r="R52" s="1885" t="s">
        <v>1541</v>
      </c>
    </row>
    <row r="53" spans="1:18" s="1841" customFormat="1" ht="30.75" customHeight="1" thickBot="1">
      <c r="A53" s="1360" t="s">
        <v>1134</v>
      </c>
      <c r="B53" s="369" t="s">
        <v>1404</v>
      </c>
      <c r="C53" s="361">
        <f ca="1">ROUND(IF(F53="押一",C49/12*F11,IF(F53="押二",C49/12*2*F11,IF(F53="押三",C49/12*3*F11,C54*F11))),0)</f>
        <v>0</v>
      </c>
      <c r="D53" s="1823" t="s">
        <v>3042</v>
      </c>
      <c r="E53" s="358" t="s">
        <v>1405</v>
      </c>
      <c r="F53" s="1365"/>
      <c r="I53" s="1904" t="s">
        <v>1542</v>
      </c>
      <c r="J53" s="2951">
        <f ca="1">IF(M47="住宅",IF(D1="——",MAX(J51,L48),MAX(J51,L48-'数据-取费表'!B24)),IF(D1="——",MIN(J51,L48),MIN(J51,L48-'数据-取费表'!B24)))</f>
        <v>0</v>
      </c>
      <c r="K53" s="3151" t="s">
        <v>1543</v>
      </c>
      <c r="L53" s="3152"/>
      <c r="O53" s="1883" t="s">
        <v>1043</v>
      </c>
      <c r="P53" s="1884" t="s">
        <v>1544</v>
      </c>
      <c r="Q53" s="1885" t="e">
        <f ca="1">Q47+Q48</f>
        <v>#DIV/0!</v>
      </c>
      <c r="R53" s="1885" t="s">
        <v>1044</v>
      </c>
    </row>
    <row r="54" spans="1:18" s="1841" customFormat="1" ht="13.8" thickBot="1">
      <c r="A54" s="1194"/>
      <c r="B54" s="1939" t="s">
        <v>1598</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8" thickBot="1">
      <c r="A55" s="1332" t="s">
        <v>1072</v>
      </c>
      <c r="B55" s="1826" t="s">
        <v>1408</v>
      </c>
      <c r="C55" s="1333"/>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6">
        <v>2</v>
      </c>
      <c r="B56" s="1177" t="s">
        <v>1409</v>
      </c>
      <c r="C56" s="276">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6" thickBot="1">
      <c r="A57" s="1916"/>
      <c r="B57" s="1169" t="s">
        <v>1473</v>
      </c>
      <c r="C57" s="282">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6" thickBot="1">
      <c r="A58" s="360" t="s">
        <v>1027</v>
      </c>
      <c r="B58" s="1177" t="s">
        <v>1419</v>
      </c>
      <c r="C58" s="361">
        <f ca="1">ROUND(C59+C64+C65+C66,0)</f>
        <v>0</v>
      </c>
      <c r="D58" s="1179" t="s">
        <v>1420</v>
      </c>
      <c r="E58" s="1180"/>
      <c r="F58" s="1181"/>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2" thickBot="1">
      <c r="A60" s="1201" t="s">
        <v>1031</v>
      </c>
      <c r="B60" s="1169" t="s">
        <v>1428</v>
      </c>
      <c r="C60" s="24">
        <f ca="1">IF(项目基本情况!B11="自然人","——",ROUND(C48*F60/(1+'数据-取费表'!C42),0))</f>
        <v>0</v>
      </c>
      <c r="D60" s="1183" t="s">
        <v>1429</v>
      </c>
      <c r="E60" s="1169" t="s">
        <v>1417</v>
      </c>
      <c r="F60" s="377">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8"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8" thickBot="1">
      <c r="A62" s="1201" t="s">
        <v>1490</v>
      </c>
      <c r="B62" s="1168" t="s">
        <v>1491</v>
      </c>
      <c r="C62" s="25">
        <f ca="1">IF(项目基本情况!B11="自然人","——",ROUND(F62*F63,0))</f>
        <v>0</v>
      </c>
      <c r="D62" s="1184" t="s">
        <v>1492</v>
      </c>
      <c r="E62" s="1169" t="s">
        <v>1493</v>
      </c>
      <c r="F62" s="371">
        <f t="shared" si="0"/>
        <v>24</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8" thickBot="1">
      <c r="A63" s="372"/>
      <c r="B63" s="1175"/>
      <c r="C63" s="29"/>
      <c r="D63" s="1185"/>
      <c r="E63" s="1169" t="s">
        <v>1494</v>
      </c>
      <c r="F63" s="348">
        <f t="shared" ca="1" si="0"/>
        <v>0</v>
      </c>
      <c r="I63" s="1927" t="s">
        <v>1571</v>
      </c>
      <c r="J63" s="1928">
        <v>70</v>
      </c>
      <c r="K63" s="1928">
        <v>50</v>
      </c>
      <c r="L63" s="1928">
        <v>80</v>
      </c>
      <c r="M63" s="1930">
        <v>0.02</v>
      </c>
      <c r="O63" s="1868" t="s">
        <v>1572</v>
      </c>
      <c r="P63" s="1838"/>
      <c r="Q63" s="1838"/>
      <c r="R63" s="1838"/>
    </row>
    <row r="64" spans="1:18" s="1841" customFormat="1" ht="13.8" thickBot="1">
      <c r="A64" s="1201" t="s">
        <v>1495</v>
      </c>
      <c r="B64" s="1169" t="s">
        <v>1496</v>
      </c>
      <c r="C64" s="24">
        <f ca="1">ROUND(C57*F64,0)</f>
        <v>0</v>
      </c>
      <c r="D64" s="1183" t="s">
        <v>1497</v>
      </c>
      <c r="E64" s="1169"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8" thickBot="1">
      <c r="A65" s="1201" t="s">
        <v>1498</v>
      </c>
      <c r="B65" s="1169" t="s">
        <v>1448</v>
      </c>
      <c r="C65" s="24">
        <f ca="1">ROUND(C56*F65,0)</f>
        <v>0</v>
      </c>
      <c r="D65" s="1183" t="s">
        <v>1449</v>
      </c>
      <c r="E65" s="1169"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2"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24.6" thickBot="1">
      <c r="A67" s="1176" t="s">
        <v>1028</v>
      </c>
      <c r="B67" s="1186" t="s">
        <v>1458</v>
      </c>
      <c r="C67" s="361">
        <f ca="1">C48-C58</f>
        <v>0</v>
      </c>
      <c r="D67" s="1182" t="s">
        <v>1459</v>
      </c>
      <c r="E67" s="1187"/>
      <c r="F67" s="1188"/>
      <c r="O67" s="1893" t="s">
        <v>1039</v>
      </c>
      <c r="P67" s="1884" t="s">
        <v>1557</v>
      </c>
      <c r="Q67" s="1931">
        <f ca="1">L51</f>
        <v>0</v>
      </c>
      <c r="R67" s="1885" t="s">
        <v>1577</v>
      </c>
    </row>
    <row r="68" spans="1:18" s="1841" customFormat="1" ht="16.2" thickBot="1">
      <c r="A68" s="1166" t="s">
        <v>1029</v>
      </c>
      <c r="B68" s="1167" t="s">
        <v>1480</v>
      </c>
      <c r="C68" s="346" t="e">
        <f ca="1">ROUND(C67*(1-((1+F70)/(1+F68))^F69)/(F68-F70),0)</f>
        <v>#DIV/0!</v>
      </c>
      <c r="D68" s="1184" t="s">
        <v>1464</v>
      </c>
      <c r="E68" s="1169" t="s">
        <v>1465</v>
      </c>
      <c r="F68" s="357">
        <f ca="1">F40</f>
        <v>0</v>
      </c>
      <c r="O68" s="1893" t="s">
        <v>1040</v>
      </c>
      <c r="P68" s="1932" t="s">
        <v>1578</v>
      </c>
      <c r="Q68" s="1885">
        <f ca="1">ROUND(Q69-Q70*Q71,0)</f>
        <v>0</v>
      </c>
      <c r="R68" s="1885" t="s">
        <v>1048</v>
      </c>
    </row>
    <row r="69" spans="1:18" s="1841" customFormat="1" ht="13.8" thickBot="1">
      <c r="A69" s="1170"/>
      <c r="B69" s="1171"/>
      <c r="C69" s="351"/>
      <c r="D69" s="1189" t="s">
        <v>1468</v>
      </c>
      <c r="E69" s="1169" t="s">
        <v>1469</v>
      </c>
      <c r="F69" s="379">
        <f ca="1">F41</f>
        <v>0</v>
      </c>
      <c r="O69" s="1893" t="s">
        <v>1045</v>
      </c>
      <c r="P69" s="1932" t="s">
        <v>1579</v>
      </c>
      <c r="Q69" s="1885">
        <f ca="1">C39</f>
        <v>0</v>
      </c>
      <c r="R69" s="1885" t="s">
        <v>1524</v>
      </c>
    </row>
    <row r="70" spans="1:18" s="1841" customFormat="1" ht="13.8" thickBot="1">
      <c r="A70" s="1173"/>
      <c r="B70" s="1174"/>
      <c r="C70" s="355"/>
      <c r="D70" s="1185"/>
      <c r="E70" s="1169" t="s">
        <v>1472</v>
      </c>
      <c r="F70" s="1274">
        <f ca="1">F42</f>
        <v>0</v>
      </c>
      <c r="O70" s="1893" t="s">
        <v>1046</v>
      </c>
      <c r="P70" s="1932" t="s">
        <v>1580</v>
      </c>
      <c r="Q70" s="1885">
        <f ca="1">C13</f>
        <v>0</v>
      </c>
      <c r="R70" s="1885" t="s">
        <v>1524</v>
      </c>
    </row>
    <row r="71" spans="1:18" s="1841" customFormat="1" ht="13.8" thickBot="1">
      <c r="A71" s="1190" t="s">
        <v>1030</v>
      </c>
      <c r="B71" s="1191" t="s">
        <v>1482</v>
      </c>
      <c r="C71" s="382" t="e">
        <f ca="1">ROUND(C68/F71,0)</f>
        <v>#DIV/0!</v>
      </c>
      <c r="D71" s="1192" t="s">
        <v>1483</v>
      </c>
      <c r="E71" s="1193" t="s">
        <v>1484</v>
      </c>
      <c r="F71" s="385">
        <f ca="1">F43</f>
        <v>0</v>
      </c>
      <c r="O71" s="1893" t="s">
        <v>1047</v>
      </c>
      <c r="P71" s="1932" t="s">
        <v>1581</v>
      </c>
      <c r="Q71" s="1896">
        <f ca="1">C76</f>
        <v>0</v>
      </c>
      <c r="R71" s="1885"/>
    </row>
    <row r="72" spans="1:18" s="1841" customFormat="1" ht="13.8" thickBot="1">
      <c r="B72" s="796"/>
      <c r="C72" s="796"/>
      <c r="O72" s="1893" t="s">
        <v>1041</v>
      </c>
      <c r="P72" s="1884" t="s">
        <v>1559</v>
      </c>
      <c r="Q72" s="1896">
        <f>L52</f>
        <v>0</v>
      </c>
      <c r="R72" s="1885"/>
    </row>
    <row r="73" spans="1:18" ht="16.2" thickBot="1">
      <c r="A73" s="1841"/>
      <c r="B73" s="796"/>
      <c r="C73" s="796"/>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8"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25" sqref="I25"/>
    </sheetView>
  </sheetViews>
  <sheetFormatPr defaultColWidth="9" defaultRowHeight="13.8"/>
  <cols>
    <col min="1" max="1" width="23.6640625" style="1943" customWidth="1"/>
    <col min="2" max="2" width="12" style="1943" customWidth="1"/>
    <col min="3" max="3" width="9" style="1943"/>
    <col min="4" max="4" width="14.109375" style="1943" customWidth="1"/>
    <col min="5" max="5" width="12.33203125" style="1943" customWidth="1"/>
    <col min="6" max="6" width="12.88671875" style="1943" customWidth="1"/>
    <col min="7" max="16384" width="9" style="1943"/>
  </cols>
  <sheetData>
    <row r="1" spans="1:6" ht="21.6">
      <c r="A1" s="2562" t="s">
        <v>2526</v>
      </c>
      <c r="B1" s="2563"/>
      <c r="C1" s="2563"/>
      <c r="D1" s="2563"/>
      <c r="E1" s="2564"/>
    </row>
    <row r="2" spans="1:6" ht="15.6">
      <c r="A2" s="2565" t="s">
        <v>2327</v>
      </c>
      <c r="B2" s="2566" t="e">
        <f ca="1">SUMIF(B6:B13,"&lt;&gt;#ref!",B6:B13)</f>
        <v>#DIV/0!</v>
      </c>
      <c r="C2" s="2567" t="s">
        <v>2519</v>
      </c>
      <c r="D2" s="2568" t="s">
        <v>2520</v>
      </c>
      <c r="E2" s="2569">
        <f>SUM(E6:E13)</f>
        <v>102921.28</v>
      </c>
    </row>
    <row r="3" spans="1:6" ht="15.6">
      <c r="A3" s="2565" t="s">
        <v>1390</v>
      </c>
      <c r="B3" s="2566" t="e">
        <f ca="1">ROUND(B2*10000/E2,0)</f>
        <v>#DIV/0!</v>
      </c>
      <c r="C3" s="2567" t="s">
        <v>2527</v>
      </c>
      <c r="D3" s="2570"/>
      <c r="E3" s="2571"/>
    </row>
    <row r="4" spans="1:6" ht="15.6">
      <c r="A4" s="2572"/>
      <c r="B4" s="2570"/>
      <c r="C4" s="2570"/>
      <c r="D4" s="2570"/>
      <c r="E4" s="2571"/>
    </row>
    <row r="5" spans="1:6" ht="14.4">
      <c r="A5" s="2573" t="s">
        <v>2521</v>
      </c>
      <c r="B5" s="3156" t="s">
        <v>2522</v>
      </c>
      <c r="C5" s="3156"/>
      <c r="D5" s="2574"/>
      <c r="E5" s="2575" t="s">
        <v>2523</v>
      </c>
      <c r="F5" s="2576" t="s">
        <v>2524</v>
      </c>
    </row>
    <row r="6" spans="1:6" ht="14.4">
      <c r="A6" s="2577" t="str">
        <f>'数据-取费表'!AN6</f>
        <v>收益法</v>
      </c>
      <c r="B6" s="2576">
        <f ca="1">IF(F6="是",'数据-取费表'!AO6,0)</f>
        <v>554386</v>
      </c>
      <c r="C6" s="2567" t="s">
        <v>2519</v>
      </c>
      <c r="D6" s="2570"/>
      <c r="E6" s="2578">
        <f>IF(OR(A6=0,F6="否"),0,'数据-取费表'!K6+'数据-取费表'!S6)</f>
        <v>102921.28</v>
      </c>
      <c r="F6" s="2579" t="s">
        <v>2525</v>
      </c>
    </row>
    <row r="7" spans="1:6" ht="14.4">
      <c r="A7" s="2577" t="str">
        <f>'数据-取费表'!AN7</f>
        <v>比较法-车位</v>
      </c>
      <c r="B7" s="2576" t="e">
        <f ca="1">IF(F7="是",'数据-取费表'!AO7,0)</f>
        <v>#DIV/0!</v>
      </c>
      <c r="C7" s="2567" t="s">
        <v>2519</v>
      </c>
      <c r="D7" s="2570"/>
      <c r="E7" s="2578">
        <f>IF(OR(A7=0,F7="否"),0,'数据-取费表'!K7+'数据-取费表'!S7)</f>
        <v>0</v>
      </c>
      <c r="F7" s="2579" t="s">
        <v>2525</v>
      </c>
    </row>
    <row r="8" spans="1:6" ht="14.4">
      <c r="A8" s="2577">
        <f>'数据-取费表'!AN8</f>
        <v>0</v>
      </c>
      <c r="B8" s="2576" t="e">
        <f ca="1">IF(F8="是",'数据-取费表'!AO8,0)</f>
        <v>#REF!</v>
      </c>
      <c r="C8" s="2567" t="s">
        <v>2519</v>
      </c>
      <c r="D8" s="2570"/>
      <c r="E8" s="2578">
        <f>IF(OR(A8=0,F8="否"),0,'数据-取费表'!K8+'数据-取费表'!S8)</f>
        <v>0</v>
      </c>
      <c r="F8" s="2579" t="s">
        <v>2525</v>
      </c>
    </row>
    <row r="9" spans="1:6" ht="14.4">
      <c r="A9" s="2577">
        <f>'数据-取费表'!AN9</f>
        <v>0</v>
      </c>
      <c r="B9" s="2576" t="e">
        <f ca="1">IF(F9="是",'数据-取费表'!AO9,0)</f>
        <v>#REF!</v>
      </c>
      <c r="C9" s="2567" t="s">
        <v>2519</v>
      </c>
      <c r="D9" s="2570"/>
      <c r="E9" s="2578">
        <f>IF(OR(A9=0,F9="否"),0,'数据-取费表'!K9+'数据-取费表'!S9)</f>
        <v>0</v>
      </c>
      <c r="F9" s="2579" t="s">
        <v>2525</v>
      </c>
    </row>
    <row r="10" spans="1:6" ht="14.4">
      <c r="A10" s="2577">
        <f>'数据-取费表'!AN10</f>
        <v>0</v>
      </c>
      <c r="B10" s="2576" t="e">
        <f ca="1">IF(F10="是",'数据-取费表'!AO10,0)</f>
        <v>#REF!</v>
      </c>
      <c r="C10" s="2567" t="s">
        <v>2519</v>
      </c>
      <c r="D10" s="2570"/>
      <c r="E10" s="2578">
        <f>IF(OR(A10=0,F10="否"),0,'数据-取费表'!K10+'数据-取费表'!S10)</f>
        <v>0</v>
      </c>
      <c r="F10" s="2579" t="s">
        <v>2525</v>
      </c>
    </row>
    <row r="11" spans="1:6" ht="14.4">
      <c r="A11" s="2577">
        <f>'数据-取费表'!AN11</f>
        <v>0</v>
      </c>
      <c r="B11" s="2576" t="e">
        <f ca="1">IF(F11="是",'数据-取费表'!AO11,0)</f>
        <v>#REF!</v>
      </c>
      <c r="C11" s="2567" t="s">
        <v>2519</v>
      </c>
      <c r="D11" s="2570"/>
      <c r="E11" s="2578">
        <f>IF(OR(A11=0,F11="否"),0,'数据-取费表'!K11+'数据-取费表'!S11)</f>
        <v>0</v>
      </c>
      <c r="F11" s="2579" t="s">
        <v>2525</v>
      </c>
    </row>
    <row r="12" spans="1:6" ht="14.4">
      <c r="A12" s="2577">
        <f>'数据-取费表'!AN12</f>
        <v>0</v>
      </c>
      <c r="B12" s="2576" t="e">
        <f ca="1">IF(F12="是",'数据-取费表'!AO12,0)</f>
        <v>#REF!</v>
      </c>
      <c r="C12" s="2567" t="s">
        <v>2519</v>
      </c>
      <c r="D12" s="2570"/>
      <c r="E12" s="2578">
        <f>IF(OR(A12=0,F12="否"),0,'数据-取费表'!K12+'数据-取费表'!S12)</f>
        <v>0</v>
      </c>
      <c r="F12" s="2579" t="s">
        <v>2525</v>
      </c>
    </row>
    <row r="13" spans="1:6" ht="15" thickBot="1">
      <c r="A13" s="2580">
        <f>'数据-取费表'!AN13</f>
        <v>0</v>
      </c>
      <c r="B13" s="2576" t="e">
        <f ca="1">IF(F13="是",'数据-取费表'!AO13,0)</f>
        <v>#REF!</v>
      </c>
      <c r="C13" s="2581" t="s">
        <v>2519</v>
      </c>
      <c r="D13" s="2582"/>
      <c r="E13" s="2578">
        <f>IF(OR(A13=0,F13="否"),0,'数据-取费表'!K13+'数据-取费表'!S13)</f>
        <v>0</v>
      </c>
      <c r="F13" s="2579" t="s">
        <v>2525</v>
      </c>
    </row>
  </sheetData>
  <sheetProtection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4.4"/>
  <cols>
    <col min="1" max="1" width="10.44140625" customWidth="1"/>
    <col min="2" max="2" width="12.88671875" customWidth="1"/>
    <col min="3" max="3" width="8.77734375" customWidth="1"/>
  </cols>
  <sheetData>
    <row r="1" spans="1:9" ht="15.6">
      <c r="A1" s="3157" t="s">
        <v>1073</v>
      </c>
      <c r="B1" s="3158"/>
      <c r="C1" s="3159"/>
      <c r="D1" s="3160">
        <f>SUM(I10,I15,I20,I21,I23)</f>
        <v>0</v>
      </c>
      <c r="E1" s="3160"/>
      <c r="F1" s="3160"/>
      <c r="G1" s="3160"/>
      <c r="H1" s="3160"/>
      <c r="I1" s="3161"/>
    </row>
    <row r="2" spans="1:9">
      <c r="A2" s="3162" t="s">
        <v>1074</v>
      </c>
      <c r="B2" s="3163" t="s">
        <v>1075</v>
      </c>
      <c r="C2" s="3163"/>
      <c r="D2" s="1300" t="s">
        <v>1076</v>
      </c>
      <c r="E2" s="1300" t="s">
        <v>1077</v>
      </c>
      <c r="F2" s="1300" t="s">
        <v>1078</v>
      </c>
      <c r="G2" s="1300" t="s">
        <v>1079</v>
      </c>
      <c r="H2" s="1300" t="s">
        <v>1080</v>
      </c>
      <c r="I2" s="1301" t="s">
        <v>1081</v>
      </c>
    </row>
    <row r="3" spans="1:9">
      <c r="A3" s="3162"/>
      <c r="B3" s="3163" t="s">
        <v>1082</v>
      </c>
      <c r="C3" s="3163"/>
      <c r="D3" s="1302"/>
      <c r="E3" s="1300"/>
      <c r="F3" s="1303"/>
      <c r="G3" s="1303"/>
      <c r="H3" s="1304"/>
      <c r="I3" s="1305">
        <f>ROUND(D3*E3*F3*G3*H3/10000,0)</f>
        <v>0</v>
      </c>
    </row>
    <row r="4" spans="1:9">
      <c r="A4" s="3162"/>
      <c r="B4" s="3163" t="s">
        <v>1083</v>
      </c>
      <c r="C4" s="3163"/>
      <c r="D4" s="1302"/>
      <c r="E4" s="1300"/>
      <c r="F4" s="1303"/>
      <c r="G4" s="1303"/>
      <c r="H4" s="1304"/>
      <c r="I4" s="1305">
        <f t="shared" ref="I4:I9" si="0">ROUND(D4*E4*F4*G4*H4/10000,0)</f>
        <v>0</v>
      </c>
    </row>
    <row r="5" spans="1:9">
      <c r="A5" s="3162"/>
      <c r="B5" s="3163" t="s">
        <v>1084</v>
      </c>
      <c r="C5" s="3163"/>
      <c r="D5" s="1302"/>
      <c r="E5" s="1300"/>
      <c r="F5" s="1303"/>
      <c r="G5" s="1303"/>
      <c r="H5" s="1304"/>
      <c r="I5" s="1305">
        <f t="shared" si="0"/>
        <v>0</v>
      </c>
    </row>
    <row r="6" spans="1:9">
      <c r="A6" s="3162"/>
      <c r="B6" s="3163" t="s">
        <v>1085</v>
      </c>
      <c r="C6" s="3163"/>
      <c r="D6" s="1302"/>
      <c r="E6" s="1300"/>
      <c r="F6" s="1303"/>
      <c r="G6" s="1303"/>
      <c r="H6" s="1304"/>
      <c r="I6" s="1305">
        <f t="shared" si="0"/>
        <v>0</v>
      </c>
    </row>
    <row r="7" spans="1:9">
      <c r="A7" s="3162"/>
      <c r="B7" s="3163" t="s">
        <v>1086</v>
      </c>
      <c r="C7" s="3163"/>
      <c r="D7" s="1302"/>
      <c r="E7" s="1300"/>
      <c r="F7" s="1303"/>
      <c r="G7" s="1303"/>
      <c r="H7" s="1304"/>
      <c r="I7" s="1305">
        <f t="shared" si="0"/>
        <v>0</v>
      </c>
    </row>
    <row r="8" spans="1:9">
      <c r="A8" s="3162"/>
      <c r="B8" s="3163" t="s">
        <v>1087</v>
      </c>
      <c r="C8" s="3163"/>
      <c r="D8" s="1302"/>
      <c r="E8" s="1300"/>
      <c r="F8" s="1303"/>
      <c r="G8" s="1303"/>
      <c r="H8" s="1304"/>
      <c r="I8" s="1305">
        <f t="shared" si="0"/>
        <v>0</v>
      </c>
    </row>
    <row r="9" spans="1:9">
      <c r="A9" s="3162"/>
      <c r="B9" s="3163" t="s">
        <v>1088</v>
      </c>
      <c r="C9" s="3163"/>
      <c r="D9" s="1302"/>
      <c r="E9" s="1300"/>
      <c r="F9" s="1303"/>
      <c r="G9" s="1303"/>
      <c r="H9" s="1304"/>
      <c r="I9" s="1305">
        <f t="shared" si="0"/>
        <v>0</v>
      </c>
    </row>
    <row r="10" spans="1:9">
      <c r="A10" s="3162"/>
      <c r="B10" s="3164" t="s">
        <v>1089</v>
      </c>
      <c r="C10" s="3164"/>
      <c r="D10" s="1306"/>
      <c r="E10" s="1306" t="e">
        <f>ROUND(D1*10000/D10/H9,0)</f>
        <v>#DIV/0!</v>
      </c>
      <c r="F10" s="1307"/>
      <c r="G10" s="1307"/>
      <c r="H10" s="1308"/>
      <c r="I10" s="1309">
        <f>SUM(I3:I9)</f>
        <v>0</v>
      </c>
    </row>
    <row r="11" spans="1:9" ht="15.6">
      <c r="A11" s="3162" t="s">
        <v>1090</v>
      </c>
      <c r="B11" s="3163" t="s">
        <v>1091</v>
      </c>
      <c r="C11" s="3163"/>
      <c r="D11" s="1302" t="s">
        <v>1092</v>
      </c>
      <c r="E11" s="1302" t="s">
        <v>1093</v>
      </c>
      <c r="F11" s="1303" t="s">
        <v>1094</v>
      </c>
      <c r="G11" s="1303" t="s">
        <v>1080</v>
      </c>
      <c r="H11" s="1310" t="s">
        <v>1095</v>
      </c>
      <c r="I11" s="1301" t="s">
        <v>1081</v>
      </c>
    </row>
    <row r="12" spans="1:9">
      <c r="A12" s="3162"/>
      <c r="B12" s="3163" t="s">
        <v>1096</v>
      </c>
      <c r="C12" s="3163"/>
      <c r="D12" s="1302"/>
      <c r="E12" s="1302"/>
      <c r="F12" s="1303"/>
      <c r="G12" s="1304"/>
      <c r="H12" s="1311"/>
      <c r="I12" s="1301">
        <f>ROUND(D12*E12*F12*G12/10000,0)</f>
        <v>0</v>
      </c>
    </row>
    <row r="13" spans="1:9">
      <c r="A13" s="3162"/>
      <c r="B13" s="3163" t="s">
        <v>1097</v>
      </c>
      <c r="C13" s="3163"/>
      <c r="D13" s="1302"/>
      <c r="E13" s="1302"/>
      <c r="F13" s="1303"/>
      <c r="G13" s="1304"/>
      <c r="H13" s="1311"/>
      <c r="I13" s="1301">
        <f>ROUND(D13*E13*F13*G13/10000,0)</f>
        <v>0</v>
      </c>
    </row>
    <row r="14" spans="1:9">
      <c r="A14" s="3162"/>
      <c r="B14" s="3163" t="s">
        <v>1098</v>
      </c>
      <c r="C14" s="3163"/>
      <c r="D14" s="1302"/>
      <c r="E14" s="1302"/>
      <c r="F14" s="1303"/>
      <c r="G14" s="1304"/>
      <c r="H14" s="1311"/>
      <c r="I14" s="1301">
        <f>ROUND(D14*E14*F14*G14/10000,0)</f>
        <v>0</v>
      </c>
    </row>
    <row r="15" spans="1:9">
      <c r="A15" s="3162"/>
      <c r="B15" s="3164" t="s">
        <v>1089</v>
      </c>
      <c r="C15" s="3164"/>
      <c r="D15" s="1306"/>
      <c r="E15" s="1306">
        <f>SUM(E12:E14)</f>
        <v>0</v>
      </c>
      <c r="F15" s="1307"/>
      <c r="G15" s="1304"/>
      <c r="H15" s="1311"/>
      <c r="I15" s="1312">
        <f>SUM(I12:I14)</f>
        <v>0</v>
      </c>
    </row>
    <row r="16" spans="1:9" ht="24">
      <c r="A16" s="3162" t="s">
        <v>1099</v>
      </c>
      <c r="B16" s="3163" t="s">
        <v>1100</v>
      </c>
      <c r="C16" s="3163"/>
      <c r="D16" s="1302" t="s">
        <v>1076</v>
      </c>
      <c r="E16" s="1313" t="s">
        <v>1101</v>
      </c>
      <c r="F16" s="1303" t="s">
        <v>1102</v>
      </c>
      <c r="G16" s="1304" t="s">
        <v>1080</v>
      </c>
      <c r="H16" s="1310" t="s">
        <v>1095</v>
      </c>
      <c r="I16" s="1301" t="s">
        <v>1081</v>
      </c>
    </row>
    <row r="17" spans="1:9" ht="15.6">
      <c r="A17" s="3162"/>
      <c r="B17" s="3163" t="s">
        <v>1103</v>
      </c>
      <c r="C17" s="3163"/>
      <c r="D17" s="1302"/>
      <c r="E17" s="1302"/>
      <c r="F17" s="1303"/>
      <c r="G17" s="1304"/>
      <c r="H17" s="1314"/>
      <c r="I17" s="1315">
        <f>ROUND(D17*E17*F17*G17/10000,0)</f>
        <v>0</v>
      </c>
    </row>
    <row r="18" spans="1:9" ht="15.6">
      <c r="A18" s="3162"/>
      <c r="B18" s="3163" t="s">
        <v>1104</v>
      </c>
      <c r="C18" s="3163"/>
      <c r="D18" s="1302"/>
      <c r="E18" s="1302"/>
      <c r="F18" s="1303"/>
      <c r="G18" s="1304"/>
      <c r="H18" s="1314"/>
      <c r="I18" s="1315">
        <f>ROUND(D18*E18*F18*G18/10000,0)</f>
        <v>0</v>
      </c>
    </row>
    <row r="19" spans="1:9" ht="15.6">
      <c r="A19" s="3162"/>
      <c r="B19" s="3163" t="s">
        <v>1105</v>
      </c>
      <c r="C19" s="3163"/>
      <c r="D19" s="1302"/>
      <c r="E19" s="1302"/>
      <c r="F19" s="1303"/>
      <c r="G19" s="1304"/>
      <c r="H19" s="1314"/>
      <c r="I19" s="1315">
        <f>ROUND(D19*E19*F19*G19/10000,0)</f>
        <v>0</v>
      </c>
    </row>
    <row r="20" spans="1:9">
      <c r="A20" s="3162"/>
      <c r="B20" s="3164" t="s">
        <v>1089</v>
      </c>
      <c r="C20" s="3164"/>
      <c r="D20" s="1306">
        <f>SUM(D17:D19)</f>
        <v>0</v>
      </c>
      <c r="E20" s="1306"/>
      <c r="F20" s="1307"/>
      <c r="G20" s="1304"/>
      <c r="H20" s="1311"/>
      <c r="I20" s="1312">
        <f>SUM(I17:I19)</f>
        <v>0</v>
      </c>
    </row>
    <row r="21" spans="1:9">
      <c r="A21" s="3162" t="s">
        <v>1106</v>
      </c>
      <c r="B21" s="3166"/>
      <c r="C21" s="3166"/>
      <c r="D21" s="3166"/>
      <c r="E21" s="3166"/>
      <c r="F21" s="3166"/>
      <c r="G21" s="3166"/>
      <c r="H21" s="1764">
        <v>0.1</v>
      </c>
      <c r="I21" s="1309">
        <f>ROUND(I10*H21,0)</f>
        <v>0</v>
      </c>
    </row>
    <row r="22" spans="1:9" ht="15.6">
      <c r="A22" s="3167" t="s">
        <v>1107</v>
      </c>
      <c r="B22" s="3168"/>
      <c r="C22" s="3169"/>
      <c r="D22" s="1316" t="s">
        <v>1108</v>
      </c>
      <c r="E22" s="1316" t="s">
        <v>1109</v>
      </c>
      <c r="F22" s="1317" t="s">
        <v>1110</v>
      </c>
      <c r="G22" s="1317" t="s">
        <v>1111</v>
      </c>
      <c r="H22" s="1310" t="s">
        <v>1112</v>
      </c>
      <c r="I22" s="1301" t="s">
        <v>1113</v>
      </c>
    </row>
    <row r="23" spans="1:9" ht="15" thickBot="1">
      <c r="A23" s="3170"/>
      <c r="B23" s="3171"/>
      <c r="C23" s="3172"/>
      <c r="D23" s="1318"/>
      <c r="E23" s="1318"/>
      <c r="F23" s="1318"/>
      <c r="G23" s="1319"/>
      <c r="H23" s="1320"/>
      <c r="I23" s="1321">
        <f>ROUND(E23*D23*F23*(1-G23)/10000,0)</f>
        <v>0</v>
      </c>
    </row>
    <row r="26" spans="1:9">
      <c r="A26" s="1322" t="s">
        <v>1114</v>
      </c>
      <c r="B26" s="1322"/>
      <c r="C26" s="1322"/>
      <c r="D26" s="1322"/>
      <c r="E26" s="3173">
        <f>C27-C30-C31-C32</f>
        <v>0</v>
      </c>
      <c r="F26" s="3173"/>
      <c r="G26" s="3173"/>
      <c r="H26" s="1736" t="s">
        <v>1336</v>
      </c>
    </row>
    <row r="27" spans="1:9">
      <c r="A27" s="1323">
        <v>1</v>
      </c>
      <c r="B27" s="1324" t="s">
        <v>1115</v>
      </c>
      <c r="C27" s="1324">
        <f>C28+C29</f>
        <v>0</v>
      </c>
      <c r="D27" s="1324"/>
      <c r="E27" s="3174"/>
      <c r="F27" s="3174"/>
      <c r="G27" s="3174"/>
    </row>
    <row r="28" spans="1:9">
      <c r="A28" s="1325" t="s">
        <v>1116</v>
      </c>
      <c r="B28" s="1324" t="s">
        <v>1117</v>
      </c>
      <c r="C28" s="1324"/>
      <c r="D28" s="1324"/>
      <c r="E28" s="3174"/>
      <c r="F28" s="3174"/>
      <c r="G28" s="3174"/>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65"/>
      <c r="F32" s="3165"/>
      <c r="G32" s="3165"/>
    </row>
    <row r="33" spans="1:7" hidden="1">
      <c r="A33" s="3175" t="s">
        <v>1126</v>
      </c>
      <c r="B33" s="3176"/>
      <c r="C33" s="3176"/>
      <c r="D33" s="3177"/>
      <c r="E33" s="3173"/>
      <c r="F33" s="3173"/>
      <c r="G33" s="3173"/>
    </row>
    <row r="34" spans="1:7" hidden="1">
      <c r="A34" s="1327">
        <v>1</v>
      </c>
      <c r="B34" s="1324" t="s">
        <v>1127</v>
      </c>
      <c r="C34" s="1324"/>
      <c r="D34" s="1324"/>
      <c r="E34" s="3174"/>
      <c r="F34" s="3174"/>
      <c r="G34" s="3174"/>
    </row>
    <row r="35" spans="1:7" hidden="1">
      <c r="A35" s="1327">
        <v>2</v>
      </c>
      <c r="B35" s="1324" t="s">
        <v>1128</v>
      </c>
      <c r="C35" s="1324"/>
      <c r="D35" s="1324"/>
      <c r="E35" s="3174"/>
      <c r="F35" s="3174"/>
      <c r="G35" s="3174"/>
    </row>
    <row r="36" spans="1:7" hidden="1">
      <c r="A36" s="1327">
        <v>3</v>
      </c>
      <c r="B36" s="1324" t="s">
        <v>1129</v>
      </c>
      <c r="C36" s="1324"/>
      <c r="D36" s="1324"/>
      <c r="E36" s="3174"/>
      <c r="F36" s="3174"/>
      <c r="G36" s="3174"/>
    </row>
    <row r="37" spans="1:7" hidden="1">
      <c r="A37" s="1327">
        <v>4</v>
      </c>
      <c r="B37" s="1324" t="s">
        <v>1130</v>
      </c>
      <c r="C37" s="1324"/>
      <c r="D37" s="1324"/>
      <c r="E37" s="3174"/>
      <c r="F37" s="3174"/>
      <c r="G37" s="3174"/>
    </row>
    <row r="38" spans="1:7" hidden="1">
      <c r="A38" s="3175" t="s">
        <v>1131</v>
      </c>
      <c r="B38" s="3176"/>
      <c r="C38" s="3176"/>
      <c r="D38" s="3177"/>
      <c r="E38" s="3173"/>
      <c r="F38" s="3173"/>
      <c r="G38" s="31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2528</v>
      </c>
      <c r="B1" s="2583" t="s">
        <v>2529</v>
      </c>
      <c r="C1" s="1633" t="s">
        <v>2530</v>
      </c>
      <c r="D1" s="1620"/>
      <c r="E1" s="2584"/>
      <c r="F1" s="2585" t="s">
        <v>2531</v>
      </c>
      <c r="G1" s="1630" t="s">
        <v>2532</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1389</v>
      </c>
      <c r="B2" s="1417" t="e">
        <f ca="1">IF(C2="——",ROUND(C49*D3/10000,0),ROUND(C49*D3/10000,0)-D2)</f>
        <v>#DIV/0!</v>
      </c>
      <c r="C2" s="2587"/>
      <c r="D2" s="1364" t="e">
        <f ca="1">SUMIF(INDIRECT("'"&amp;F2&amp;"'"&amp;"!A:A"),"承租人权益价值",INDIRECT("'"&amp;F2&amp;"'"&amp;"!c:c"))</f>
        <v>#REF!</v>
      </c>
      <c r="E2" s="2588" t="s">
        <v>2533</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1390</v>
      </c>
      <c r="B3" s="399" t="e">
        <f ca="1">IF(C2="——",C49,ROUND(B2*10000/D3,0))</f>
        <v>#DIV/0!</v>
      </c>
      <c r="C3" s="400" t="s">
        <v>2534</v>
      </c>
      <c r="D3" s="399">
        <f>IF(D1="",'数据-汇总表'!E3,SUMIF('数据-汇总表'!$C19:$C33,D1,'数据-汇总表'!$E19:$E33))</f>
        <v>102921.28</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1"/>
    </row>
    <row r="4" spans="1:29" ht="14.4">
      <c r="A4" s="401" t="s">
        <v>2535</v>
      </c>
      <c r="B4" s="402"/>
      <c r="C4" s="3196" t="s">
        <v>2536</v>
      </c>
      <c r="D4" s="3197"/>
      <c r="E4" s="3198" t="s">
        <v>2537</v>
      </c>
      <c r="F4" s="3199"/>
      <c r="G4" s="3196" t="s">
        <v>2538</v>
      </c>
      <c r="H4" s="3197"/>
      <c r="I4" s="3196" t="s">
        <v>2539</v>
      </c>
      <c r="J4" s="3197"/>
      <c r="K4" s="2597" t="s">
        <v>2540</v>
      </c>
      <c r="L4" s="1130"/>
      <c r="M4" s="1131"/>
      <c r="N4" s="1131"/>
      <c r="O4" s="1131"/>
      <c r="P4" s="3200" t="s">
        <v>2541</v>
      </c>
      <c r="Q4" s="3201"/>
      <c r="R4" s="3183" t="s">
        <v>2537</v>
      </c>
      <c r="S4" s="3184"/>
      <c r="T4" s="3183" t="s">
        <v>2538</v>
      </c>
      <c r="U4" s="3184"/>
      <c r="V4" s="3208" t="s">
        <v>2539</v>
      </c>
      <c r="W4" s="3208"/>
      <c r="X4" s="1812"/>
      <c r="Y4" s="3183" t="s">
        <v>2541</v>
      </c>
      <c r="Z4" s="3184"/>
      <c r="AA4" s="3178" t="s">
        <v>2537</v>
      </c>
      <c r="AB4" s="3178" t="s">
        <v>2538</v>
      </c>
      <c r="AC4" s="3178" t="s">
        <v>2539</v>
      </c>
    </row>
    <row r="5" spans="1:29">
      <c r="A5" s="404"/>
      <c r="B5" s="405"/>
      <c r="C5" s="3189" t="s">
        <v>2542</v>
      </c>
      <c r="D5" s="3190"/>
      <c r="E5" s="3187" t="s">
        <v>2543</v>
      </c>
      <c r="F5" s="3188"/>
      <c r="G5" s="3189" t="s">
        <v>2544</v>
      </c>
      <c r="H5" s="3190"/>
      <c r="I5" s="3189" t="s">
        <v>2545</v>
      </c>
      <c r="J5" s="3190"/>
      <c r="K5" s="2598"/>
      <c r="L5" s="1130"/>
      <c r="M5" s="1131"/>
      <c r="N5" s="1131"/>
      <c r="O5" s="1131"/>
      <c r="P5" s="3202"/>
      <c r="Q5" s="3203"/>
      <c r="R5" s="3185"/>
      <c r="S5" s="3186"/>
      <c r="T5" s="3185"/>
      <c r="U5" s="3186"/>
      <c r="V5" s="3208"/>
      <c r="W5" s="3208"/>
      <c r="X5" s="1812"/>
      <c r="Y5" s="3185"/>
      <c r="Z5" s="3186"/>
      <c r="AA5" s="3179"/>
      <c r="AB5" s="3179"/>
      <c r="AC5" s="3179"/>
    </row>
    <row r="6" spans="1:29" ht="15" thickBot="1">
      <c r="A6" s="406"/>
      <c r="B6" s="407"/>
      <c r="C6" s="3191" t="s">
        <v>2546</v>
      </c>
      <c r="D6" s="3192"/>
      <c r="E6" s="3193" t="s">
        <v>2546</v>
      </c>
      <c r="F6" s="3194"/>
      <c r="G6" s="3191" t="s">
        <v>2546</v>
      </c>
      <c r="H6" s="3192"/>
      <c r="I6" s="3191" t="s">
        <v>2546</v>
      </c>
      <c r="J6" s="3192"/>
      <c r="K6" s="2598" t="s">
        <v>2547</v>
      </c>
      <c r="L6" s="1130"/>
      <c r="M6" s="1131"/>
      <c r="N6" s="1131"/>
      <c r="O6" s="1131"/>
      <c r="P6" s="3204"/>
      <c r="Q6" s="3205"/>
      <c r="R6" s="3185"/>
      <c r="S6" s="3186"/>
      <c r="T6" s="3206"/>
      <c r="U6" s="3207"/>
      <c r="V6" s="3208"/>
      <c r="W6" s="3208"/>
      <c r="X6" s="1812"/>
      <c r="Y6" s="3206"/>
      <c r="Z6" s="3207"/>
      <c r="AA6" s="3180"/>
      <c r="AB6" s="3180"/>
      <c r="AC6" s="3180"/>
    </row>
    <row r="7" spans="1:29" s="117" customFormat="1" ht="15" thickBot="1">
      <c r="A7" s="408" t="s">
        <v>2548</v>
      </c>
      <c r="B7" s="409"/>
      <c r="C7" s="410">
        <f>'数据-取费表'!B2</f>
        <v>43802</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181" t="s">
        <v>2549</v>
      </c>
      <c r="Q7" s="3209"/>
      <c r="R7" s="770" t="s">
        <v>23</v>
      </c>
      <c r="S7" s="771">
        <f t="shared" ref="S7:S15" si="0">F7</f>
        <v>0</v>
      </c>
      <c r="T7" s="770" t="s">
        <v>23</v>
      </c>
      <c r="U7" s="771">
        <f t="shared" ref="U7:U15" si="1">H7</f>
        <v>0</v>
      </c>
      <c r="V7" s="770" t="s">
        <v>23</v>
      </c>
      <c r="W7" s="771">
        <f t="shared" ref="W7:W15" si="2">J7</f>
        <v>0</v>
      </c>
      <c r="X7" s="772"/>
      <c r="Y7" s="3181" t="s">
        <v>2549</v>
      </c>
      <c r="Z7" s="3182"/>
      <c r="AA7" s="773" t="e">
        <f>D7/F7</f>
        <v>#DIV/0!</v>
      </c>
      <c r="AB7" s="773" t="e">
        <f>D7/H7</f>
        <v>#DIV/0!</v>
      </c>
      <c r="AC7" s="773" t="e">
        <f>D7/J7</f>
        <v>#DIV/0!</v>
      </c>
    </row>
    <row r="8" spans="1:29" s="117" customFormat="1" ht="15" thickBot="1">
      <c r="A8" s="408" t="s">
        <v>2550</v>
      </c>
      <c r="B8" s="409"/>
      <c r="C8" s="414" t="s">
        <v>2551</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181" t="s">
        <v>2552</v>
      </c>
      <c r="Q8" s="3182"/>
      <c r="R8" s="770" t="s">
        <v>23</v>
      </c>
      <c r="S8" s="771">
        <f t="shared" si="0"/>
        <v>0</v>
      </c>
      <c r="T8" s="770" t="s">
        <v>23</v>
      </c>
      <c r="U8" s="771">
        <f t="shared" si="1"/>
        <v>0</v>
      </c>
      <c r="V8" s="770" t="s">
        <v>23</v>
      </c>
      <c r="W8" s="771">
        <f t="shared" si="2"/>
        <v>0</v>
      </c>
      <c r="X8" s="772"/>
      <c r="Y8" s="3181" t="s">
        <v>2552</v>
      </c>
      <c r="Z8" s="3182"/>
      <c r="AA8" s="773" t="e">
        <f t="shared" ref="AA8:AA19" si="3">D8/F8</f>
        <v>#DIV/0!</v>
      </c>
      <c r="AB8" s="773" t="e">
        <f t="shared" ref="AB8:AB19" si="4">D8/H8</f>
        <v>#DIV/0!</v>
      </c>
      <c r="AC8" s="773" t="e">
        <f t="shared" ref="AC8:AC19" si="5">D8/J8</f>
        <v>#DIV/0!</v>
      </c>
    </row>
    <row r="9" spans="1:29" s="117" customFormat="1" ht="14.4">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195"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5"/>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5"/>
      <c r="Q11" s="1794" t="str">
        <f t="shared" si="6"/>
        <v>容积率</v>
      </c>
      <c r="R11" s="770" t="s">
        <v>21</v>
      </c>
      <c r="S11" s="771" t="e">
        <f t="shared" si="0"/>
        <v>#N/A</v>
      </c>
      <c r="T11" s="770" t="s">
        <v>21</v>
      </c>
      <c r="U11" s="771" t="e">
        <f t="shared" si="1"/>
        <v>#N/A</v>
      </c>
      <c r="V11" s="770" t="s">
        <v>21</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195"/>
      <c r="Q12" s="1794">
        <f t="shared" si="6"/>
        <v>111</v>
      </c>
      <c r="R12" s="770" t="s">
        <v>21</v>
      </c>
      <c r="S12" s="771">
        <f t="shared" si="0"/>
        <v>100</v>
      </c>
      <c r="T12" s="770" t="s">
        <v>21</v>
      </c>
      <c r="U12" s="771">
        <f t="shared" si="1"/>
        <v>100</v>
      </c>
      <c r="V12" s="770" t="s">
        <v>21</v>
      </c>
      <c r="W12" s="771">
        <f t="shared" si="2"/>
        <v>100</v>
      </c>
      <c r="X12" s="772"/>
      <c r="Y12" s="3028"/>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195"/>
      <c r="Q13" s="1794">
        <f t="shared" si="6"/>
        <v>111</v>
      </c>
      <c r="R13" s="770" t="s">
        <v>21</v>
      </c>
      <c r="S13" s="771">
        <f t="shared" si="0"/>
        <v>100</v>
      </c>
      <c r="T13" s="770" t="s">
        <v>21</v>
      </c>
      <c r="U13" s="771">
        <f t="shared" si="1"/>
        <v>100</v>
      </c>
      <c r="V13" s="770" t="s">
        <v>21</v>
      </c>
      <c r="W13" s="771">
        <f t="shared" si="2"/>
        <v>100</v>
      </c>
      <c r="X13" s="772"/>
      <c r="Y13" s="3028"/>
      <c r="Z13" s="55">
        <f t="shared" si="7"/>
        <v>111</v>
      </c>
      <c r="AA13" s="773">
        <f t="shared" si="3"/>
        <v>1</v>
      </c>
      <c r="AB13" s="773">
        <f t="shared" si="4"/>
        <v>1</v>
      </c>
      <c r="AC13" s="773">
        <f t="shared" si="5"/>
        <v>1</v>
      </c>
    </row>
    <row r="14" spans="1:29" ht="15.6"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195"/>
      <c r="Q14" s="1794">
        <f t="shared" si="6"/>
        <v>111</v>
      </c>
      <c r="R14" s="770" t="s">
        <v>21</v>
      </c>
      <c r="S14" s="771">
        <f t="shared" si="0"/>
        <v>100</v>
      </c>
      <c r="T14" s="770" t="s">
        <v>21</v>
      </c>
      <c r="U14" s="771">
        <f t="shared" si="1"/>
        <v>100</v>
      </c>
      <c r="V14" s="770" t="s">
        <v>21</v>
      </c>
      <c r="W14" s="771">
        <f t="shared" si="2"/>
        <v>100</v>
      </c>
      <c r="X14" s="772"/>
      <c r="Y14" s="3028"/>
      <c r="Z14" s="55">
        <f t="shared" si="7"/>
        <v>111</v>
      </c>
      <c r="AA14" s="773">
        <f t="shared" si="3"/>
        <v>1</v>
      </c>
      <c r="AB14" s="773">
        <f t="shared" si="4"/>
        <v>1</v>
      </c>
      <c r="AC14" s="773">
        <f t="shared" si="5"/>
        <v>1</v>
      </c>
    </row>
    <row r="15" spans="1:29" ht="96.6">
      <c r="A15" s="440" t="s">
        <v>2559</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2" t="s">
        <v>2560</v>
      </c>
      <c r="Q15" s="1809" t="str">
        <f t="shared" si="6"/>
        <v>居住社区成熟度</v>
      </c>
      <c r="R15" s="774" t="s">
        <v>21</v>
      </c>
      <c r="S15" s="775">
        <f t="shared" si="0"/>
        <v>100</v>
      </c>
      <c r="T15" s="774" t="s">
        <v>21</v>
      </c>
      <c r="U15" s="775">
        <f t="shared" si="1"/>
        <v>100</v>
      </c>
      <c r="V15" s="774" t="s">
        <v>21</v>
      </c>
      <c r="W15" s="775">
        <f t="shared" si="2"/>
        <v>100</v>
      </c>
      <c r="X15" s="1812"/>
      <c r="Y15" s="3215" t="s">
        <v>2560</v>
      </c>
      <c r="Z15" s="1813" t="str">
        <f t="shared" si="7"/>
        <v>居住社区成熟度</v>
      </c>
      <c r="AA15" s="1810">
        <f t="shared" si="3"/>
        <v>1</v>
      </c>
      <c r="AB15" s="1810">
        <f t="shared" si="4"/>
        <v>1</v>
      </c>
      <c r="AC15" s="1810">
        <f t="shared" si="5"/>
        <v>1</v>
      </c>
    </row>
    <row r="16" spans="1:29" ht="15">
      <c r="A16" s="428"/>
      <c r="B16" s="446"/>
      <c r="C16" s="447"/>
      <c r="D16" s="448"/>
      <c r="E16" s="2605"/>
      <c r="F16" s="448"/>
      <c r="G16" s="2606"/>
      <c r="H16" s="450"/>
      <c r="I16" s="2606"/>
      <c r="J16" s="448"/>
      <c r="K16" s="2607"/>
      <c r="L16" s="1140"/>
      <c r="M16" s="1131"/>
      <c r="N16" s="1131"/>
      <c r="O16" s="1131"/>
      <c r="P16" s="3223"/>
      <c r="Q16" s="1809"/>
      <c r="R16" s="774"/>
      <c r="S16" s="775"/>
      <c r="T16" s="774"/>
      <c r="U16" s="775"/>
      <c r="V16" s="774"/>
      <c r="W16" s="775"/>
      <c r="X16" s="1812"/>
      <c r="Y16" s="3216"/>
      <c r="Z16" s="1813"/>
      <c r="AA16" s="1810">
        <v>1</v>
      </c>
      <c r="AB16" s="1810">
        <v>1</v>
      </c>
      <c r="AC16" s="1810">
        <v>1</v>
      </c>
    </row>
    <row r="17" spans="1:29" ht="82.8">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3"/>
      <c r="Q17" s="1809" t="str">
        <f>B17</f>
        <v>交通便捷度</v>
      </c>
      <c r="R17" s="774" t="s">
        <v>21</v>
      </c>
      <c r="S17" s="775">
        <f>F17</f>
        <v>100</v>
      </c>
      <c r="T17" s="774" t="s">
        <v>21</v>
      </c>
      <c r="U17" s="775">
        <f>H17</f>
        <v>100</v>
      </c>
      <c r="V17" s="774" t="s">
        <v>21</v>
      </c>
      <c r="W17" s="775">
        <f>J17</f>
        <v>100</v>
      </c>
      <c r="X17" s="1812"/>
      <c r="Y17" s="3216"/>
      <c r="Z17" s="1813" t="str">
        <f>Q17</f>
        <v>交通便捷度</v>
      </c>
      <c r="AA17" s="1810">
        <f t="shared" si="3"/>
        <v>1</v>
      </c>
      <c r="AB17" s="1810">
        <f t="shared" si="4"/>
        <v>1</v>
      </c>
      <c r="AC17" s="1810">
        <f t="shared" si="5"/>
        <v>1</v>
      </c>
    </row>
    <row r="18" spans="1:29" ht="15">
      <c r="A18" s="428"/>
      <c r="B18" s="456"/>
      <c r="C18" s="2609"/>
      <c r="D18" s="450"/>
      <c r="E18" s="2610"/>
      <c r="F18" s="450"/>
      <c r="G18" s="2611"/>
      <c r="H18" s="448"/>
      <c r="I18" s="2611"/>
      <c r="J18" s="448"/>
      <c r="K18" s="2607"/>
      <c r="L18" s="1140"/>
      <c r="M18" s="1131"/>
      <c r="N18" s="1131"/>
      <c r="O18" s="1131"/>
      <c r="P18" s="3223"/>
      <c r="Q18" s="1809"/>
      <c r="R18" s="774"/>
      <c r="S18" s="775"/>
      <c r="T18" s="774"/>
      <c r="U18" s="775"/>
      <c r="V18" s="774"/>
      <c r="W18" s="775"/>
      <c r="X18" s="1812"/>
      <c r="Y18" s="3216"/>
      <c r="Z18" s="1813"/>
      <c r="AA18" s="1810">
        <v>1</v>
      </c>
      <c r="AB18" s="1810">
        <v>1</v>
      </c>
      <c r="AC18" s="1810">
        <v>1</v>
      </c>
    </row>
    <row r="19" spans="1:29" ht="41.4">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3"/>
      <c r="Q19" s="1809" t="str">
        <f>B19</f>
        <v>公共配套设施</v>
      </c>
      <c r="R19" s="774" t="s">
        <v>21</v>
      </c>
      <c r="S19" s="775">
        <f>F19</f>
        <v>100</v>
      </c>
      <c r="T19" s="774" t="s">
        <v>21</v>
      </c>
      <c r="U19" s="775">
        <f>H19</f>
        <v>100</v>
      </c>
      <c r="V19" s="774" t="s">
        <v>21</v>
      </c>
      <c r="W19" s="775">
        <f>J19</f>
        <v>100</v>
      </c>
      <c r="X19" s="1812"/>
      <c r="Y19" s="3216"/>
      <c r="Z19" s="1813" t="str">
        <f>Q19</f>
        <v>公共配套设施</v>
      </c>
      <c r="AA19" s="1810">
        <f t="shared" si="3"/>
        <v>1</v>
      </c>
      <c r="AB19" s="1810">
        <f t="shared" si="4"/>
        <v>1</v>
      </c>
      <c r="AC19" s="1810">
        <f t="shared" si="5"/>
        <v>1</v>
      </c>
    </row>
    <row r="20" spans="1:29" ht="15">
      <c r="A20" s="428"/>
      <c r="B20" s="456"/>
      <c r="C20" s="447"/>
      <c r="D20" s="448"/>
      <c r="E20" s="2605"/>
      <c r="F20" s="448"/>
      <c r="G20" s="2606"/>
      <c r="H20" s="448"/>
      <c r="I20" s="2606"/>
      <c r="J20" s="448"/>
      <c r="K20" s="2607"/>
      <c r="L20" s="1140"/>
      <c r="M20" s="1131"/>
      <c r="N20" s="1131"/>
      <c r="O20" s="1131"/>
      <c r="P20" s="3223"/>
      <c r="Q20" s="1809"/>
      <c r="R20" s="774"/>
      <c r="S20" s="775"/>
      <c r="T20" s="774"/>
      <c r="U20" s="775"/>
      <c r="V20" s="774"/>
      <c r="W20" s="775"/>
      <c r="X20" s="1812"/>
      <c r="Y20" s="3216"/>
      <c r="Z20" s="1813"/>
      <c r="AA20" s="1810">
        <v>1</v>
      </c>
      <c r="AB20" s="1810">
        <v>1</v>
      </c>
      <c r="AC20" s="1810">
        <v>1</v>
      </c>
    </row>
    <row r="21" spans="1:29" ht="27.6">
      <c r="A21" s="428"/>
      <c r="B21" s="1383"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3"/>
      <c r="Q21" s="1809" t="str">
        <f>B21</f>
        <v>基础设施水平</v>
      </c>
      <c r="R21" s="774" t="s">
        <v>17</v>
      </c>
      <c r="S21" s="775">
        <f>F21</f>
        <v>100</v>
      </c>
      <c r="T21" s="774" t="s">
        <v>17</v>
      </c>
      <c r="U21" s="775">
        <f>H21</f>
        <v>100</v>
      </c>
      <c r="V21" s="774" t="s">
        <v>17</v>
      </c>
      <c r="W21" s="775">
        <f>J21</f>
        <v>100</v>
      </c>
      <c r="X21" s="1812"/>
      <c r="Y21" s="321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8"/>
      <c r="G22" s="2612"/>
      <c r="H22" s="448"/>
      <c r="I22" s="447"/>
      <c r="J22" s="448"/>
      <c r="K22" s="2613"/>
      <c r="L22" s="1140"/>
      <c r="M22" s="1131"/>
      <c r="N22" s="1131"/>
      <c r="O22" s="1131"/>
      <c r="P22" s="3223"/>
      <c r="Q22" s="1809"/>
      <c r="R22" s="774"/>
      <c r="S22" s="775"/>
      <c r="T22" s="774"/>
      <c r="U22" s="775"/>
      <c r="V22" s="774"/>
      <c r="W22" s="775"/>
      <c r="X22" s="1812"/>
      <c r="Y22" s="3216"/>
      <c r="Z22" s="1813"/>
      <c r="AA22" s="1810">
        <v>1</v>
      </c>
      <c r="AB22" s="1810">
        <v>1</v>
      </c>
      <c r="AC22" s="1810">
        <v>1</v>
      </c>
    </row>
    <row r="23" spans="1:29" ht="55.2">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3"/>
      <c r="Q23" s="1809" t="str">
        <f>B23</f>
        <v>自然及人文环境</v>
      </c>
      <c r="R23" s="774" t="s">
        <v>21</v>
      </c>
      <c r="S23" s="775">
        <f>F23</f>
        <v>100</v>
      </c>
      <c r="T23" s="774" t="s">
        <v>21</v>
      </c>
      <c r="U23" s="775">
        <f>H23</f>
        <v>100</v>
      </c>
      <c r="V23" s="774" t="s">
        <v>21</v>
      </c>
      <c r="W23" s="775">
        <f>J23</f>
        <v>100</v>
      </c>
      <c r="X23" s="1812"/>
      <c r="Y23" s="3216"/>
      <c r="Z23" s="1813" t="str">
        <f>Q23</f>
        <v>自然及人文环境</v>
      </c>
      <c r="AA23" s="1810">
        <f>D23/F23</f>
        <v>1</v>
      </c>
      <c r="AB23" s="1810">
        <f>D23/H23</f>
        <v>1</v>
      </c>
      <c r="AC23" s="1810">
        <f>D23/J23</f>
        <v>1</v>
      </c>
    </row>
    <row r="24" spans="1:29" ht="15">
      <c r="A24" s="428"/>
      <c r="B24" s="456"/>
      <c r="C24" s="447"/>
      <c r="D24" s="448"/>
      <c r="E24" s="2605"/>
      <c r="F24" s="448"/>
      <c r="G24" s="2606"/>
      <c r="H24" s="448"/>
      <c r="I24" s="2606"/>
      <c r="J24" s="448"/>
      <c r="K24" s="2607"/>
      <c r="L24" s="1140"/>
      <c r="M24" s="1131"/>
      <c r="N24" s="1131"/>
      <c r="O24" s="1131"/>
      <c r="P24" s="3223"/>
      <c r="Q24" s="1809"/>
      <c r="R24" s="774"/>
      <c r="S24" s="775"/>
      <c r="T24" s="774"/>
      <c r="U24" s="775"/>
      <c r="V24" s="774"/>
      <c r="W24" s="775"/>
      <c r="X24" s="1812"/>
      <c r="Y24" s="3216"/>
      <c r="Z24" s="1813"/>
      <c r="AA24" s="1810">
        <v>1</v>
      </c>
      <c r="AB24" s="1810">
        <v>1</v>
      </c>
      <c r="AC24" s="1810">
        <v>1</v>
      </c>
    </row>
    <row r="25" spans="1:29" ht="15">
      <c r="A25" s="428"/>
      <c r="B25" s="422" t="s">
        <v>2561</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223"/>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6"/>
      <c r="Z25" s="1813" t="str">
        <f>Q25</f>
        <v>楼层-1</v>
      </c>
      <c r="AA25" s="1810">
        <f t="shared" ref="AA25:AA46" si="15">D25/F25</f>
        <v>1</v>
      </c>
      <c r="AB25" s="1810">
        <f t="shared" ref="AB25:AB46" si="16">D25/H25</f>
        <v>1</v>
      </c>
      <c r="AC25" s="1810">
        <f t="shared" ref="AC25:AC46" si="17">D25/J25</f>
        <v>1</v>
      </c>
    </row>
    <row r="26" spans="1:29" ht="15">
      <c r="A26" s="428"/>
      <c r="B26" s="422" t="s">
        <v>2562</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223"/>
      <c r="Q26" s="1809" t="str">
        <f t="shared" si="11"/>
        <v>朝向</v>
      </c>
      <c r="R26" s="774" t="s">
        <v>21</v>
      </c>
      <c r="S26" s="775">
        <f t="shared" si="12"/>
        <v>100</v>
      </c>
      <c r="T26" s="774" t="s">
        <v>21</v>
      </c>
      <c r="U26" s="775">
        <f t="shared" si="13"/>
        <v>100</v>
      </c>
      <c r="V26" s="774" t="s">
        <v>21</v>
      </c>
      <c r="W26" s="775">
        <f t="shared" si="14"/>
        <v>100</v>
      </c>
      <c r="X26" s="1812"/>
      <c r="Y26" s="3216"/>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223"/>
      <c r="Q27" s="1794">
        <f t="shared" si="11"/>
        <v>111</v>
      </c>
      <c r="R27" s="770" t="s">
        <v>21</v>
      </c>
      <c r="S27" s="771">
        <f t="shared" si="12"/>
        <v>100</v>
      </c>
      <c r="T27" s="770" t="s">
        <v>21</v>
      </c>
      <c r="U27" s="771">
        <f t="shared" si="13"/>
        <v>100</v>
      </c>
      <c r="V27" s="770" t="s">
        <v>21</v>
      </c>
      <c r="W27" s="771">
        <f t="shared" si="14"/>
        <v>100</v>
      </c>
      <c r="X27" s="772"/>
      <c r="Y27" s="3216"/>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223"/>
      <c r="Q28" s="1809">
        <f t="shared" si="11"/>
        <v>111</v>
      </c>
      <c r="R28" s="774" t="s">
        <v>21</v>
      </c>
      <c r="S28" s="775">
        <f t="shared" si="12"/>
        <v>100</v>
      </c>
      <c r="T28" s="774" t="s">
        <v>21</v>
      </c>
      <c r="U28" s="775">
        <f t="shared" si="13"/>
        <v>100</v>
      </c>
      <c r="V28" s="774" t="s">
        <v>21</v>
      </c>
      <c r="W28" s="775">
        <f t="shared" si="14"/>
        <v>100</v>
      </c>
      <c r="X28" s="1812"/>
      <c r="Y28" s="3216"/>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223"/>
      <c r="Q29" s="1809">
        <f t="shared" si="11"/>
        <v>111</v>
      </c>
      <c r="R29" s="774" t="s">
        <v>21</v>
      </c>
      <c r="S29" s="775">
        <f t="shared" si="12"/>
        <v>100</v>
      </c>
      <c r="T29" s="774" t="s">
        <v>21</v>
      </c>
      <c r="U29" s="775">
        <f t="shared" si="13"/>
        <v>100</v>
      </c>
      <c r="V29" s="774" t="s">
        <v>21</v>
      </c>
      <c r="W29" s="775">
        <f t="shared" si="14"/>
        <v>100</v>
      </c>
      <c r="X29" s="1812"/>
      <c r="Y29" s="3216"/>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223"/>
      <c r="Q30" s="1809">
        <f t="shared" si="11"/>
        <v>111</v>
      </c>
      <c r="R30" s="774" t="s">
        <v>21</v>
      </c>
      <c r="S30" s="775">
        <f t="shared" si="12"/>
        <v>100</v>
      </c>
      <c r="T30" s="774" t="s">
        <v>21</v>
      </c>
      <c r="U30" s="775">
        <f t="shared" si="13"/>
        <v>100</v>
      </c>
      <c r="V30" s="774" t="s">
        <v>21</v>
      </c>
      <c r="W30" s="775">
        <f t="shared" si="14"/>
        <v>100</v>
      </c>
      <c r="X30" s="1812"/>
      <c r="Y30" s="3216"/>
      <c r="Z30" s="1813">
        <f t="shared" si="18"/>
        <v>111</v>
      </c>
      <c r="AA30" s="1810">
        <f t="shared" si="15"/>
        <v>1</v>
      </c>
      <c r="AB30" s="1810">
        <f t="shared" si="16"/>
        <v>1</v>
      </c>
      <c r="AC30" s="1810">
        <f t="shared" si="17"/>
        <v>1</v>
      </c>
    </row>
    <row r="31" spans="1:29" ht="15.6" thickBot="1">
      <c r="A31" s="436"/>
      <c r="B31" s="1385">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223"/>
      <c r="Q31" s="1809">
        <f t="shared" si="11"/>
        <v>111</v>
      </c>
      <c r="R31" s="774" t="s">
        <v>21</v>
      </c>
      <c r="S31" s="775">
        <f t="shared" si="12"/>
        <v>100</v>
      </c>
      <c r="T31" s="774" t="s">
        <v>21</v>
      </c>
      <c r="U31" s="775">
        <f t="shared" si="13"/>
        <v>100</v>
      </c>
      <c r="V31" s="774" t="s">
        <v>21</v>
      </c>
      <c r="W31" s="775">
        <f t="shared" si="14"/>
        <v>100</v>
      </c>
      <c r="X31" s="1812"/>
      <c r="Y31" s="3216"/>
      <c r="Z31" s="1813">
        <f t="shared" si="18"/>
        <v>111</v>
      </c>
      <c r="AA31" s="1810">
        <f t="shared" si="15"/>
        <v>1</v>
      </c>
      <c r="AB31" s="1810">
        <f t="shared" si="16"/>
        <v>1</v>
      </c>
      <c r="AC31" s="1810">
        <f t="shared" si="17"/>
        <v>1</v>
      </c>
    </row>
    <row r="32" spans="1:29" ht="15">
      <c r="A32" s="440" t="s">
        <v>2563</v>
      </c>
      <c r="B32" s="71" t="s">
        <v>2564</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217" t="s">
        <v>2565</v>
      </c>
      <c r="Q32" s="1809" t="str">
        <f t="shared" si="11"/>
        <v>建筑类型</v>
      </c>
      <c r="R32" s="774" t="s">
        <v>21</v>
      </c>
      <c r="S32" s="775">
        <f t="shared" si="12"/>
        <v>100</v>
      </c>
      <c r="T32" s="774" t="s">
        <v>21</v>
      </c>
      <c r="U32" s="775">
        <f t="shared" si="13"/>
        <v>100</v>
      </c>
      <c r="V32" s="774" t="s">
        <v>21</v>
      </c>
      <c r="W32" s="775">
        <f t="shared" si="14"/>
        <v>100</v>
      </c>
      <c r="X32" s="1812"/>
      <c r="Y32" s="3220" t="s">
        <v>2565</v>
      </c>
      <c r="Z32" s="1813" t="str">
        <f t="shared" si="18"/>
        <v>建筑类型</v>
      </c>
      <c r="AA32" s="1810">
        <f t="shared" si="15"/>
        <v>1</v>
      </c>
      <c r="AB32" s="1810">
        <f t="shared" si="16"/>
        <v>1</v>
      </c>
      <c r="AC32" s="1810">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218"/>
      <c r="Q33" s="776" t="str">
        <f t="shared" si="11"/>
        <v>项目建筑规模</v>
      </c>
      <c r="R33" s="777" t="s">
        <v>21</v>
      </c>
      <c r="S33" s="778" t="e">
        <f t="shared" si="12"/>
        <v>#N/A</v>
      </c>
      <c r="T33" s="777" t="s">
        <v>21</v>
      </c>
      <c r="U33" s="778" t="e">
        <f t="shared" si="13"/>
        <v>#N/A</v>
      </c>
      <c r="V33" s="777" t="s">
        <v>21</v>
      </c>
      <c r="W33" s="778" t="e">
        <f t="shared" si="14"/>
        <v>#N/A</v>
      </c>
      <c r="X33" s="779"/>
      <c r="Y33" s="3220"/>
      <c r="Z33" s="780" t="str">
        <f t="shared" si="18"/>
        <v>项目建筑规模</v>
      </c>
      <c r="AA33" s="1810" t="e">
        <f t="shared" si="15"/>
        <v>#N/A</v>
      </c>
      <c r="AB33" s="1810" t="e">
        <f t="shared" si="16"/>
        <v>#N/A</v>
      </c>
      <c r="AC33" s="1810" t="e">
        <f t="shared" si="17"/>
        <v>#N/A</v>
      </c>
    </row>
    <row r="34" spans="1:29" ht="15">
      <c r="A34" s="472"/>
      <c r="B34" s="422" t="s">
        <v>2567</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218"/>
      <c r="Q34" s="1809" t="str">
        <f t="shared" si="11"/>
        <v>建筑结构</v>
      </c>
      <c r="R34" s="774" t="s">
        <v>21</v>
      </c>
      <c r="S34" s="775">
        <f t="shared" si="12"/>
        <v>100</v>
      </c>
      <c r="T34" s="774" t="s">
        <v>21</v>
      </c>
      <c r="U34" s="775">
        <f t="shared" si="13"/>
        <v>100</v>
      </c>
      <c r="V34" s="774" t="s">
        <v>21</v>
      </c>
      <c r="W34" s="775">
        <f t="shared" si="14"/>
        <v>100</v>
      </c>
      <c r="X34" s="1812"/>
      <c r="Y34" s="3220"/>
      <c r="Z34" s="1813" t="str">
        <f t="shared" si="18"/>
        <v>建筑结构</v>
      </c>
      <c r="AA34" s="1810">
        <f t="shared" si="15"/>
        <v>1</v>
      </c>
      <c r="AB34" s="1810">
        <f t="shared" si="16"/>
        <v>1</v>
      </c>
      <c r="AC34" s="1810">
        <f t="shared" si="17"/>
        <v>1</v>
      </c>
    </row>
    <row r="35" spans="1:29" ht="15">
      <c r="A35" s="472"/>
      <c r="B35" s="422" t="s">
        <v>2568</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218"/>
      <c r="Q35" s="1809" t="str">
        <f t="shared" si="11"/>
        <v>建筑品质</v>
      </c>
      <c r="R35" s="774" t="s">
        <v>21</v>
      </c>
      <c r="S35" s="775">
        <f t="shared" si="12"/>
        <v>100</v>
      </c>
      <c r="T35" s="774" t="s">
        <v>21</v>
      </c>
      <c r="U35" s="775">
        <f t="shared" si="13"/>
        <v>100</v>
      </c>
      <c r="V35" s="774" t="s">
        <v>21</v>
      </c>
      <c r="W35" s="775">
        <f t="shared" si="14"/>
        <v>100</v>
      </c>
      <c r="X35" s="1812"/>
      <c r="Y35" s="3220"/>
      <c r="Z35" s="1813" t="str">
        <f t="shared" si="18"/>
        <v>建筑品质</v>
      </c>
      <c r="AA35" s="1810">
        <f t="shared" si="15"/>
        <v>1</v>
      </c>
      <c r="AB35" s="1810">
        <f t="shared" si="16"/>
        <v>1</v>
      </c>
      <c r="AC35" s="1810">
        <f t="shared" si="17"/>
        <v>1</v>
      </c>
    </row>
    <row r="36" spans="1:29" ht="15">
      <c r="A36" s="472"/>
      <c r="B36" s="422" t="s">
        <v>2569</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218"/>
      <c r="Q36" s="1809" t="str">
        <f t="shared" si="11"/>
        <v>公共部分装修</v>
      </c>
      <c r="R36" s="774" t="s">
        <v>21</v>
      </c>
      <c r="S36" s="775">
        <f t="shared" si="12"/>
        <v>100</v>
      </c>
      <c r="T36" s="774" t="s">
        <v>21</v>
      </c>
      <c r="U36" s="775">
        <f t="shared" si="13"/>
        <v>100</v>
      </c>
      <c r="V36" s="774" t="s">
        <v>21</v>
      </c>
      <c r="W36" s="775">
        <f t="shared" si="14"/>
        <v>100</v>
      </c>
      <c r="X36" s="1812"/>
      <c r="Y36" s="3220"/>
      <c r="Z36" s="1813" t="str">
        <f t="shared" si="18"/>
        <v>公共部分装修</v>
      </c>
      <c r="AA36" s="1810">
        <f t="shared" si="15"/>
        <v>1</v>
      </c>
      <c r="AB36" s="1810">
        <f t="shared" si="16"/>
        <v>1</v>
      </c>
      <c r="AC36" s="1810">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8"/>
      <c r="Q37" s="1794" t="str">
        <f t="shared" si="11"/>
        <v>成新度</v>
      </c>
      <c r="R37" s="770" t="s">
        <v>21</v>
      </c>
      <c r="S37" s="771" t="e">
        <f t="shared" si="12"/>
        <v>#N/A</v>
      </c>
      <c r="T37" s="770" t="s">
        <v>21</v>
      </c>
      <c r="U37" s="771" t="e">
        <f t="shared" si="13"/>
        <v>#N/A</v>
      </c>
      <c r="V37" s="770" t="s">
        <v>21</v>
      </c>
      <c r="W37" s="771" t="e">
        <f t="shared" si="14"/>
        <v>#N/A</v>
      </c>
      <c r="X37" s="772"/>
      <c r="Y37" s="3220"/>
      <c r="Z37" s="55" t="str">
        <f t="shared" si="18"/>
        <v>成新度</v>
      </c>
      <c r="AA37" s="773" t="e">
        <f t="shared" si="15"/>
        <v>#N/A</v>
      </c>
      <c r="AB37" s="773" t="e">
        <f t="shared" si="16"/>
        <v>#N/A</v>
      </c>
      <c r="AC37" s="773" t="e">
        <f t="shared" si="17"/>
        <v>#N/A</v>
      </c>
    </row>
    <row r="38" spans="1:29" ht="15">
      <c r="A38" s="472"/>
      <c r="B38" s="422" t="s">
        <v>2571</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218" t="s">
        <v>2565</v>
      </c>
      <c r="Q38" s="1809" t="str">
        <f t="shared" si="11"/>
        <v>物业管理</v>
      </c>
      <c r="R38" s="774" t="s">
        <v>21</v>
      </c>
      <c r="S38" s="775">
        <f t="shared" si="12"/>
        <v>100</v>
      </c>
      <c r="T38" s="774" t="s">
        <v>21</v>
      </c>
      <c r="U38" s="775">
        <f t="shared" si="13"/>
        <v>100</v>
      </c>
      <c r="V38" s="774" t="s">
        <v>21</v>
      </c>
      <c r="W38" s="775">
        <f t="shared" si="14"/>
        <v>100</v>
      </c>
      <c r="X38" s="1812"/>
      <c r="Y38" s="3220" t="s">
        <v>2565</v>
      </c>
      <c r="Z38" s="1813" t="str">
        <f t="shared" si="18"/>
        <v>物业管理</v>
      </c>
      <c r="AA38" s="1810">
        <f t="shared" si="15"/>
        <v>1</v>
      </c>
      <c r="AB38" s="1810">
        <f t="shared" si="16"/>
        <v>1</v>
      </c>
      <c r="AC38" s="1810">
        <f t="shared" si="17"/>
        <v>1</v>
      </c>
    </row>
    <row r="39" spans="1:29" ht="15">
      <c r="A39" s="472"/>
      <c r="B39" s="422" t="s">
        <v>2572</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218"/>
      <c r="Q39" s="1809" t="str">
        <f t="shared" si="11"/>
        <v>市政基础设施</v>
      </c>
      <c r="R39" s="774" t="s">
        <v>21</v>
      </c>
      <c r="S39" s="775">
        <f t="shared" si="12"/>
        <v>100</v>
      </c>
      <c r="T39" s="774" t="s">
        <v>21</v>
      </c>
      <c r="U39" s="775">
        <f t="shared" si="13"/>
        <v>100</v>
      </c>
      <c r="V39" s="774" t="s">
        <v>21</v>
      </c>
      <c r="W39" s="775">
        <f t="shared" si="14"/>
        <v>100</v>
      </c>
      <c r="X39" s="1812"/>
      <c r="Y39" s="3220"/>
      <c r="Z39" s="1813" t="str">
        <f t="shared" si="18"/>
        <v>市政基础设施</v>
      </c>
      <c r="AA39" s="1810">
        <f t="shared" si="15"/>
        <v>1</v>
      </c>
      <c r="AB39" s="1810">
        <f t="shared" si="16"/>
        <v>1</v>
      </c>
      <c r="AC39" s="1810">
        <f t="shared" si="17"/>
        <v>1</v>
      </c>
    </row>
    <row r="40" spans="1:29" ht="15">
      <c r="A40" s="472"/>
      <c r="B40" s="422" t="s">
        <v>2573</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218"/>
      <c r="Q40" s="1809" t="str">
        <f t="shared" si="11"/>
        <v>房型</v>
      </c>
      <c r="R40" s="774" t="s">
        <v>21</v>
      </c>
      <c r="S40" s="775">
        <f t="shared" si="12"/>
        <v>100</v>
      </c>
      <c r="T40" s="774" t="s">
        <v>21</v>
      </c>
      <c r="U40" s="775">
        <f t="shared" si="13"/>
        <v>100</v>
      </c>
      <c r="V40" s="774" t="s">
        <v>21</v>
      </c>
      <c r="W40" s="775">
        <f t="shared" si="14"/>
        <v>100</v>
      </c>
      <c r="X40" s="1812"/>
      <c r="Y40" s="3220"/>
      <c r="Z40" s="1813" t="str">
        <f t="shared" si="18"/>
        <v>房型</v>
      </c>
      <c r="AA40" s="1810">
        <f t="shared" si="15"/>
        <v>1</v>
      </c>
      <c r="AB40" s="1810">
        <f t="shared" si="16"/>
        <v>1</v>
      </c>
      <c r="AC40" s="1810">
        <f t="shared" si="17"/>
        <v>1</v>
      </c>
    </row>
    <row r="41" spans="1:29" s="471" customFormat="1" ht="28.8">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218"/>
      <c r="Q41" s="776" t="str">
        <f t="shared" si="11"/>
        <v>单套/主力户型建筑面积</v>
      </c>
      <c r="R41" s="777" t="s">
        <v>21</v>
      </c>
      <c r="S41" s="778">
        <f t="shared" si="12"/>
        <v>100</v>
      </c>
      <c r="T41" s="777" t="s">
        <v>21</v>
      </c>
      <c r="U41" s="778">
        <f t="shared" si="13"/>
        <v>100</v>
      </c>
      <c r="V41" s="777" t="s">
        <v>21</v>
      </c>
      <c r="W41" s="778">
        <f t="shared" si="14"/>
        <v>100</v>
      </c>
      <c r="X41" s="779"/>
      <c r="Y41" s="3220"/>
      <c r="Z41" s="780" t="str">
        <f t="shared" si="18"/>
        <v>单套/主力户型建筑面积</v>
      </c>
      <c r="AA41" s="1810">
        <f t="shared" si="15"/>
        <v>1</v>
      </c>
      <c r="AB41" s="1810">
        <f t="shared" si="16"/>
        <v>1</v>
      </c>
      <c r="AC41" s="1810">
        <f t="shared" si="17"/>
        <v>1</v>
      </c>
    </row>
    <row r="42" spans="1:29" ht="15">
      <c r="A42" s="472"/>
      <c r="B42" s="422" t="s">
        <v>2575</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218"/>
      <c r="Q42" s="1809" t="str">
        <f t="shared" si="11"/>
        <v>内部装修</v>
      </c>
      <c r="R42" s="774" t="s">
        <v>21</v>
      </c>
      <c r="S42" s="775">
        <f t="shared" si="12"/>
        <v>100</v>
      </c>
      <c r="T42" s="774" t="s">
        <v>21</v>
      </c>
      <c r="U42" s="775">
        <f t="shared" si="13"/>
        <v>100</v>
      </c>
      <c r="V42" s="774" t="s">
        <v>21</v>
      </c>
      <c r="W42" s="775">
        <f t="shared" si="14"/>
        <v>100</v>
      </c>
      <c r="X42" s="1812"/>
      <c r="Y42" s="3220"/>
      <c r="Z42" s="1813" t="str">
        <f t="shared" si="18"/>
        <v>内部装修</v>
      </c>
      <c r="AA42" s="1810">
        <f t="shared" si="15"/>
        <v>1</v>
      </c>
      <c r="AB42" s="1810">
        <f t="shared" si="16"/>
        <v>1</v>
      </c>
      <c r="AC42" s="1810">
        <f t="shared" si="17"/>
        <v>1</v>
      </c>
    </row>
    <row r="43" spans="1:29" ht="28.8">
      <c r="A43" s="472"/>
      <c r="B43" s="422" t="s">
        <v>2576</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218"/>
      <c r="Q43" s="1809" t="str">
        <f t="shared" si="11"/>
        <v>内部装修维护情况</v>
      </c>
      <c r="R43" s="774" t="s">
        <v>21</v>
      </c>
      <c r="S43" s="775">
        <f t="shared" si="12"/>
        <v>100</v>
      </c>
      <c r="T43" s="774" t="s">
        <v>21</v>
      </c>
      <c r="U43" s="775">
        <f t="shared" si="13"/>
        <v>100</v>
      </c>
      <c r="V43" s="774" t="s">
        <v>21</v>
      </c>
      <c r="W43" s="775">
        <f t="shared" si="14"/>
        <v>100</v>
      </c>
      <c r="X43" s="1812"/>
      <c r="Y43" s="3220"/>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218"/>
      <c r="Q44" s="1794">
        <f t="shared" si="11"/>
        <v>111</v>
      </c>
      <c r="R44" s="770" t="s">
        <v>21</v>
      </c>
      <c r="S44" s="771">
        <f t="shared" si="12"/>
        <v>100</v>
      </c>
      <c r="T44" s="770" t="s">
        <v>21</v>
      </c>
      <c r="U44" s="771">
        <f t="shared" si="13"/>
        <v>100</v>
      </c>
      <c r="V44" s="770" t="s">
        <v>21</v>
      </c>
      <c r="W44" s="771">
        <f t="shared" si="14"/>
        <v>100</v>
      </c>
      <c r="X44" s="772"/>
      <c r="Y44" s="3220"/>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218"/>
      <c r="Q45" s="1809">
        <f t="shared" si="11"/>
        <v>111</v>
      </c>
      <c r="R45" s="774" t="s">
        <v>21</v>
      </c>
      <c r="S45" s="775">
        <f t="shared" si="12"/>
        <v>100</v>
      </c>
      <c r="T45" s="774" t="s">
        <v>21</v>
      </c>
      <c r="U45" s="775">
        <f t="shared" si="13"/>
        <v>100</v>
      </c>
      <c r="V45" s="774" t="s">
        <v>21</v>
      </c>
      <c r="W45" s="775">
        <f t="shared" si="14"/>
        <v>100</v>
      </c>
      <c r="X45" s="1812"/>
      <c r="Y45" s="3220"/>
      <c r="Z45" s="1813">
        <f t="shared" si="18"/>
        <v>111</v>
      </c>
      <c r="AA45" s="1810">
        <f t="shared" si="15"/>
        <v>1</v>
      </c>
      <c r="AB45" s="1810">
        <f t="shared" si="16"/>
        <v>1</v>
      </c>
      <c r="AC45" s="1810">
        <f t="shared" si="17"/>
        <v>1</v>
      </c>
    </row>
    <row r="46" spans="1:29" ht="15.6"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219"/>
      <c r="Q46" s="1809">
        <f t="shared" si="11"/>
        <v>111</v>
      </c>
      <c r="R46" s="774" t="s">
        <v>20</v>
      </c>
      <c r="S46" s="775">
        <f t="shared" si="12"/>
        <v>100</v>
      </c>
      <c r="T46" s="774" t="s">
        <v>20</v>
      </c>
      <c r="U46" s="775">
        <f t="shared" si="13"/>
        <v>100</v>
      </c>
      <c r="V46" s="774" t="s">
        <v>20</v>
      </c>
      <c r="W46" s="775">
        <f t="shared" si="14"/>
        <v>100</v>
      </c>
      <c r="X46" s="1812"/>
      <c r="Y46" s="3221"/>
      <c r="Z46" s="1813">
        <f t="shared" si="18"/>
        <v>111</v>
      </c>
      <c r="AA46" s="1810">
        <f t="shared" si="15"/>
        <v>1</v>
      </c>
      <c r="AB46" s="1810">
        <f t="shared" si="16"/>
        <v>1</v>
      </c>
      <c r="AC46" s="1810">
        <f t="shared" si="17"/>
        <v>1</v>
      </c>
    </row>
    <row r="47" spans="1:29" ht="14.4">
      <c r="A47" s="479" t="s">
        <v>2577</v>
      </c>
      <c r="B47" s="480"/>
      <c r="C47" s="1406" t="s">
        <v>19</v>
      </c>
      <c r="D47" s="1407"/>
      <c r="E47" s="1408"/>
      <c r="F47" s="1409"/>
      <c r="G47" s="1410"/>
      <c r="H47" s="1411"/>
      <c r="I47" s="1408"/>
      <c r="J47" s="1411"/>
      <c r="K47" s="2622"/>
      <c r="L47" s="1143"/>
      <c r="M47" s="1144"/>
      <c r="N47" s="1131"/>
      <c r="O47" s="1144"/>
      <c r="P47" s="3213" t="str">
        <f>A47</f>
        <v>成交单价（元/平方米）</v>
      </c>
      <c r="Q47" s="3213"/>
      <c r="R47" s="3214">
        <f>E47</f>
        <v>0</v>
      </c>
      <c r="S47" s="3214"/>
      <c r="T47" s="3214">
        <f>G47</f>
        <v>0</v>
      </c>
      <c r="U47" s="3214"/>
      <c r="V47" s="3214">
        <f>I47</f>
        <v>0</v>
      </c>
      <c r="W47" s="3214"/>
      <c r="X47" s="759"/>
      <c r="Y47" s="781"/>
      <c r="Z47" s="759"/>
      <c r="AA47" s="759"/>
      <c r="AB47" s="759"/>
      <c r="AC47" s="759"/>
    </row>
    <row r="48" spans="1:29" ht="15" thickBot="1">
      <c r="A48" s="486" t="s">
        <v>2578</v>
      </c>
      <c r="B48" s="487"/>
      <c r="C48" s="1412" t="e">
        <f>R49</f>
        <v>#DIV/0!</v>
      </c>
      <c r="D48" s="1413"/>
      <c r="E48" s="1414" t="e">
        <f>R48</f>
        <v>#DIV/0!</v>
      </c>
      <c r="F48" s="1414"/>
      <c r="G48" s="1412" t="e">
        <f>T48</f>
        <v>#DIV/0!</v>
      </c>
      <c r="H48" s="1413"/>
      <c r="I48" s="1414" t="e">
        <f>V48</f>
        <v>#DIV/0!</v>
      </c>
      <c r="J48" s="1413"/>
      <c r="K48" s="2623"/>
      <c r="L48" s="1143"/>
      <c r="M48" s="1144"/>
      <c r="N48" s="1144"/>
      <c r="O48" s="1144"/>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 thickBot="1">
      <c r="A49" s="492" t="s">
        <v>2579</v>
      </c>
      <c r="B49" s="493"/>
      <c r="C49" s="1415" t="e">
        <f>R49</f>
        <v>#DIV/0!</v>
      </c>
      <c r="D49" s="1416"/>
      <c r="E49" s="1416"/>
      <c r="F49" s="1416"/>
      <c r="G49" s="1416"/>
      <c r="H49" s="1416"/>
      <c r="I49" s="1416"/>
      <c r="J49" s="1416"/>
      <c r="K49" s="2624"/>
      <c r="L49" s="1143"/>
      <c r="M49" s="1144"/>
      <c r="N49" s="1144"/>
      <c r="O49" s="1144"/>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2.2" thickBot="1">
      <c r="A57" s="763" t="s">
        <v>2583</v>
      </c>
      <c r="B57" s="759"/>
      <c r="C57" s="764"/>
      <c r="D57" s="764"/>
      <c r="E57" s="764"/>
      <c r="F57" s="765"/>
      <c r="G57" s="765"/>
      <c r="H57" s="764"/>
      <c r="I57" s="764"/>
      <c r="J57" s="764"/>
      <c r="K57" s="1160"/>
      <c r="L57" s="1161"/>
      <c r="M57" s="1159"/>
      <c r="N57" s="1159"/>
      <c r="O57" s="1159"/>
      <c r="P57" s="2627"/>
      <c r="Q57" s="504"/>
    </row>
    <row r="58" spans="1:29" s="508" customFormat="1" ht="14.4">
      <c r="A58" s="505" t="s">
        <v>2584</v>
      </c>
      <c r="B58" s="506"/>
      <c r="C58" s="1575" t="str">
        <f>YEAR(C7)&amp;"-"&amp;MONTH(C7)</f>
        <v>2019-12</v>
      </c>
      <c r="D58" s="1574">
        <f>EDATE(C58,-1)</f>
        <v>43770</v>
      </c>
      <c r="E58" s="1574">
        <f>EDATE(D58,-1)</f>
        <v>43739</v>
      </c>
      <c r="F58" s="1574">
        <f t="shared" ref="F58:O58" si="19">EDATE(E58,-1)</f>
        <v>43709</v>
      </c>
      <c r="G58" s="1574">
        <f t="shared" si="19"/>
        <v>43678</v>
      </c>
      <c r="H58" s="1574">
        <f t="shared" si="19"/>
        <v>43647</v>
      </c>
      <c r="I58" s="1574">
        <f t="shared" si="19"/>
        <v>43617</v>
      </c>
      <c r="J58" s="1574">
        <f t="shared" si="19"/>
        <v>43586</v>
      </c>
      <c r="K58" s="1574">
        <f t="shared" si="19"/>
        <v>43556</v>
      </c>
      <c r="L58" s="1574">
        <f t="shared" si="19"/>
        <v>43525</v>
      </c>
      <c r="M58" s="1574">
        <f t="shared" si="19"/>
        <v>43497</v>
      </c>
      <c r="N58" s="1574">
        <f t="shared" si="19"/>
        <v>43466</v>
      </c>
      <c r="O58" s="1574">
        <f t="shared" si="19"/>
        <v>43435</v>
      </c>
      <c r="P58" s="1569"/>
    </row>
    <row r="59" spans="1:29" s="117" customFormat="1">
      <c r="A59" s="509"/>
      <c r="B59" s="2628"/>
      <c r="C59" s="1572">
        <v>100</v>
      </c>
      <c r="D59" s="511"/>
      <c r="E59" s="512"/>
      <c r="F59" s="512"/>
      <c r="G59" s="512"/>
      <c r="H59" s="512"/>
      <c r="I59" s="512"/>
      <c r="J59" s="512"/>
      <c r="K59" s="512"/>
      <c r="L59" s="512"/>
      <c r="M59" s="513"/>
      <c r="N59" s="512"/>
      <c r="O59" s="513"/>
      <c r="P59" s="2629"/>
    </row>
    <row r="60" spans="1:29" s="117" customFormat="1" ht="15" thickBot="1">
      <c r="A60" s="515" t="s">
        <v>2585</v>
      </c>
      <c r="B60" s="516"/>
      <c r="C60" s="517"/>
      <c r="D60" s="518"/>
      <c r="E60" s="518"/>
      <c r="F60" s="518"/>
      <c r="G60" s="518"/>
      <c r="H60" s="518"/>
      <c r="I60" s="518"/>
      <c r="J60" s="518"/>
      <c r="K60" s="518"/>
      <c r="L60" s="518"/>
      <c r="M60" s="519"/>
      <c r="N60" s="518"/>
      <c r="O60" s="519"/>
      <c r="P60" s="2629"/>
      <c r="Q60" s="504"/>
    </row>
    <row r="61" spans="1:29" s="117" customFormat="1" ht="14.4">
      <c r="A61" s="521" t="s">
        <v>2586</v>
      </c>
      <c r="B61" s="510"/>
      <c r="C61" s="522" t="s">
        <v>2587</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2588</v>
      </c>
      <c r="B63" s="528" t="s">
        <v>2554</v>
      </c>
      <c r="C63" s="529">
        <f>C9</f>
        <v>0</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1"/>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60"/>
      <c r="E73" s="560"/>
      <c r="F73" s="560"/>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2"/>
      <c r="O76" s="1152"/>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2"/>
      <c r="O78" s="1152"/>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2"/>
      <c r="O80" s="1152"/>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 thickTop="1">
      <c r="A82" s="534"/>
      <c r="B82" s="546" t="s">
        <v>2096</v>
      </c>
      <c r="C82" s="539" t="s">
        <v>2604</v>
      </c>
      <c r="D82" s="539" t="s">
        <v>2605</v>
      </c>
      <c r="E82" s="539" t="s">
        <v>2606</v>
      </c>
      <c r="F82" s="539" t="s">
        <v>2607</v>
      </c>
      <c r="G82" s="539" t="s">
        <v>2608</v>
      </c>
      <c r="H82" s="539"/>
      <c r="I82" s="539"/>
      <c r="J82" s="539"/>
      <c r="K82" s="539"/>
      <c r="L82" s="539"/>
      <c r="M82" s="1381"/>
      <c r="N82" s="1153"/>
      <c r="O82" s="1153"/>
      <c r="P82" s="2631"/>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2"/>
      <c r="O84" s="1152"/>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2610</v>
      </c>
      <c r="C86" s="554"/>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5" thickTop="1">
      <c r="A88" s="579"/>
      <c r="B88" s="538" t="s">
        <v>2611</v>
      </c>
      <c r="C88" s="554"/>
      <c r="D88" s="554"/>
      <c r="E88" s="554"/>
      <c r="F88" s="2636"/>
      <c r="G88" s="554"/>
      <c r="H88" s="554"/>
      <c r="I88" s="554"/>
      <c r="J88" s="554"/>
      <c r="K88" s="554"/>
      <c r="L88" s="554"/>
      <c r="M88" s="581"/>
      <c r="N88" s="1151"/>
      <c r="O88" s="1151"/>
      <c r="P88" s="2631"/>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4.4" thickTop="1">
      <c r="A90" s="553"/>
      <c r="B90" s="538">
        <f>B27</f>
        <v>111</v>
      </c>
      <c r="C90" s="554"/>
      <c r="D90" s="554"/>
      <c r="E90" s="554"/>
      <c r="F90" s="554"/>
      <c r="G90" s="554"/>
      <c r="H90" s="555"/>
      <c r="I90" s="555"/>
      <c r="J90" s="555"/>
      <c r="K90" s="555"/>
      <c r="L90" s="556"/>
      <c r="M90" s="557"/>
      <c r="N90" s="1154"/>
      <c r="O90" s="1154"/>
      <c r="P90" s="2632"/>
      <c r="Q90" s="559"/>
    </row>
    <row r="91" spans="1:17" s="471" customFormat="1" ht="14.4" thickBot="1">
      <c r="A91" s="553"/>
      <c r="B91" s="543"/>
      <c r="C91" s="560"/>
      <c r="D91" s="560"/>
      <c r="E91" s="560"/>
      <c r="F91" s="560"/>
      <c r="G91" s="560"/>
      <c r="H91" s="562"/>
      <c r="I91" s="562"/>
      <c r="J91" s="562"/>
      <c r="K91" s="562"/>
      <c r="L91" s="562"/>
      <c r="M91" s="563"/>
      <c r="N91" s="1154"/>
      <c r="O91" s="1154"/>
      <c r="P91" s="2632"/>
      <c r="Q91" s="559"/>
    </row>
    <row r="92" spans="1:17" ht="14.4" thickTop="1">
      <c r="A92" s="534"/>
      <c r="B92" s="538">
        <f>B28</f>
        <v>111</v>
      </c>
      <c r="C92" s="554"/>
      <c r="D92" s="554"/>
      <c r="E92" s="554"/>
      <c r="F92" s="554"/>
      <c r="G92" s="583"/>
      <c r="H92" s="583"/>
      <c r="I92" s="583"/>
      <c r="J92" s="583"/>
      <c r="K92" s="584"/>
      <c r="L92" s="585"/>
      <c r="M92" s="586"/>
      <c r="N92" s="1152"/>
      <c r="O92" s="1152"/>
      <c r="P92" s="2631"/>
      <c r="Q92" s="504"/>
    </row>
    <row r="93" spans="1:17" ht="14.4" thickBot="1">
      <c r="A93" s="534"/>
      <c r="B93" s="543"/>
      <c r="C93" s="560"/>
      <c r="D93" s="536"/>
      <c r="E93" s="536"/>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60"/>
      <c r="E95" s="560"/>
      <c r="F95" s="560"/>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70"/>
      <c r="D97" s="570"/>
      <c r="E97" s="570"/>
      <c r="F97" s="570"/>
      <c r="G97" s="536"/>
      <c r="H97" s="536"/>
      <c r="I97" s="536"/>
      <c r="J97" s="536"/>
      <c r="K97" s="536"/>
      <c r="L97" s="536"/>
      <c r="M97" s="537"/>
      <c r="N97" s="1153"/>
      <c r="O97" s="1153"/>
      <c r="P97" s="2631"/>
      <c r="Q97" s="504"/>
    </row>
    <row r="98" spans="1:17" ht="14.4" thickTop="1">
      <c r="A98" s="534"/>
      <c r="B98" s="546">
        <f>B31</f>
        <v>111</v>
      </c>
      <c r="C98" s="587"/>
      <c r="D98" s="587"/>
      <c r="E98" s="587"/>
      <c r="F98" s="587"/>
      <c r="G98" s="587"/>
      <c r="H98" s="587"/>
      <c r="I98" s="587"/>
      <c r="J98" s="587"/>
      <c r="K98" s="588"/>
      <c r="L98" s="589"/>
      <c r="M98" s="590"/>
      <c r="N98" s="1152"/>
      <c r="O98" s="1152"/>
      <c r="P98" s="2631"/>
      <c r="Q98" s="504"/>
    </row>
    <row r="99" spans="1:17" ht="14.4" thickBot="1">
      <c r="A99" s="2637"/>
      <c r="B99" s="569"/>
      <c r="C99" s="591"/>
      <c r="D99" s="591"/>
      <c r="E99" s="591"/>
      <c r="F99" s="591"/>
      <c r="G99" s="591"/>
      <c r="H99" s="591"/>
      <c r="I99" s="591"/>
      <c r="J99" s="591"/>
      <c r="K99" s="591"/>
      <c r="L99" s="591"/>
      <c r="M99" s="592"/>
      <c r="N99" s="1153"/>
      <c r="O99" s="1153"/>
      <c r="P99" s="2631"/>
      <c r="Q99" s="504"/>
    </row>
    <row r="100" spans="1:17" ht="14.4">
      <c r="A100" s="527" t="s">
        <v>2563</v>
      </c>
      <c r="B100" s="528" t="s">
        <v>2612</v>
      </c>
      <c r="C100" s="530"/>
      <c r="D100" s="530"/>
      <c r="E100" s="530"/>
      <c r="F100" s="530"/>
      <c r="G100" s="530"/>
      <c r="H100" s="530"/>
      <c r="I100" s="530"/>
      <c r="J100" s="530"/>
      <c r="K100" s="531"/>
      <c r="L100" s="532"/>
      <c r="M100" s="533"/>
      <c r="N100" s="1152"/>
      <c r="O100" s="1152"/>
      <c r="P100" s="2631"/>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2"/>
      <c r="Q104" s="559"/>
    </row>
    <row r="105" spans="1:17" ht="15" thickTop="1">
      <c r="A105" s="599"/>
      <c r="B105" s="538" t="s">
        <v>2614</v>
      </c>
      <c r="C105" s="554"/>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5" thickTop="1">
      <c r="A107" s="599"/>
      <c r="B107" s="538" t="s">
        <v>2615</v>
      </c>
      <c r="C107" s="583"/>
      <c r="D107" s="583"/>
      <c r="E107" s="583"/>
      <c r="F107" s="583"/>
      <c r="G107" s="583"/>
      <c r="H107" s="583"/>
      <c r="I107" s="583"/>
      <c r="J107" s="583"/>
      <c r="K107" s="584"/>
      <c r="L107" s="585"/>
      <c r="M107" s="586"/>
      <c r="N107" s="1152"/>
      <c r="O107" s="1152"/>
      <c r="P107" s="2631"/>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5" thickTop="1">
      <c r="A109" s="599"/>
      <c r="B109" s="538" t="s">
        <v>2616</v>
      </c>
      <c r="C109" s="554"/>
      <c r="D109" s="554"/>
      <c r="E109" s="554"/>
      <c r="F109" s="583"/>
      <c r="G109" s="583"/>
      <c r="H109" s="583"/>
      <c r="I109" s="583"/>
      <c r="J109" s="583"/>
      <c r="K109" s="584"/>
      <c r="L109" s="585"/>
      <c r="M109" s="586"/>
      <c r="N109" s="1152"/>
      <c r="O109" s="1152"/>
      <c r="P109" s="2631"/>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5" thickTop="1">
      <c r="A114" s="599"/>
      <c r="B114" s="538" t="s">
        <v>2617</v>
      </c>
      <c r="C114" s="554"/>
      <c r="D114" s="554"/>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5" thickTop="1">
      <c r="A116" s="599"/>
      <c r="B116" s="538" t="s">
        <v>2618</v>
      </c>
      <c r="C116" s="554"/>
      <c r="D116" s="554"/>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2619</v>
      </c>
      <c r="C118" s="583"/>
      <c r="D118" s="583"/>
      <c r="E118" s="583"/>
      <c r="F118" s="583"/>
      <c r="G118" s="583"/>
      <c r="H118" s="583"/>
      <c r="I118" s="583"/>
      <c r="J118" s="583"/>
      <c r="K118" s="584"/>
      <c r="L118" s="585"/>
      <c r="M118" s="586"/>
      <c r="N118" s="1152"/>
      <c r="O118" s="1152"/>
      <c r="P118" s="2631"/>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9.4" thickTop="1">
      <c r="A120" s="593"/>
      <c r="B120" s="538" t="s">
        <v>2574</v>
      </c>
      <c r="C120" s="554"/>
      <c r="D120" s="554"/>
      <c r="E120" s="554"/>
      <c r="F120" s="554"/>
      <c r="G120" s="554"/>
      <c r="H120" s="554"/>
      <c r="I120" s="554"/>
      <c r="J120" s="554"/>
      <c r="K120" s="554"/>
      <c r="L120" s="580"/>
      <c r="M120" s="581"/>
      <c r="N120" s="1154"/>
      <c r="O120" s="1154"/>
      <c r="P120" s="2632"/>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2"/>
      <c r="Q121" s="559"/>
    </row>
    <row r="122" spans="1:17" ht="15" thickTop="1">
      <c r="A122" s="599"/>
      <c r="B122" s="538" t="s">
        <v>2620</v>
      </c>
      <c r="C122" s="554"/>
      <c r="D122" s="554"/>
      <c r="E122" s="554"/>
      <c r="F122" s="583"/>
      <c r="G122" s="583"/>
      <c r="H122" s="583"/>
      <c r="I122" s="583"/>
      <c r="J122" s="583"/>
      <c r="K122" s="584"/>
      <c r="L122" s="585"/>
      <c r="M122" s="586"/>
      <c r="N122" s="1152"/>
      <c r="O122" s="1152"/>
      <c r="P122" s="2631"/>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60"/>
      <c r="E129" s="560"/>
      <c r="F129" s="560"/>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row r="136" spans="1:17" ht="15" thickBot="1">
      <c r="B136" s="2638" t="s">
        <v>2622</v>
      </c>
    </row>
    <row r="137" spans="1:17" ht="15">
      <c r="B137" s="2639" t="s">
        <v>2623</v>
      </c>
      <c r="C137" s="2640"/>
      <c r="D137" s="2640"/>
      <c r="E137" s="2640"/>
      <c r="F137" s="2640"/>
      <c r="G137" s="2641"/>
      <c r="H137" s="2642"/>
      <c r="I137" s="2643" t="s">
        <v>2624</v>
      </c>
      <c r="J137" s="2640"/>
      <c r="K137" s="2644"/>
    </row>
    <row r="138" spans="1:17" ht="15">
      <c r="B138" s="2645"/>
      <c r="C138" s="146" t="s">
        <v>2625</v>
      </c>
      <c r="D138" s="146" t="s">
        <v>2626</v>
      </c>
      <c r="E138" s="2646" t="s">
        <v>2627</v>
      </c>
      <c r="F138" s="2647" t="s">
        <v>2628</v>
      </c>
      <c r="G138" s="146" t="s">
        <v>2626</v>
      </c>
      <c r="H138" s="147" t="s">
        <v>2627</v>
      </c>
      <c r="I138" s="2648"/>
      <c r="J138" s="146" t="s">
        <v>2629</v>
      </c>
      <c r="K138" s="147" t="s">
        <v>2630</v>
      </c>
    </row>
    <row r="139" spans="1:17" ht="15">
      <c r="B139" s="1084">
        <v>6</v>
      </c>
      <c r="C139" s="1085">
        <v>96</v>
      </c>
      <c r="D139" s="2649" t="s">
        <v>2631</v>
      </c>
      <c r="E139" s="1086">
        <v>100</v>
      </c>
      <c r="F139" s="1087">
        <v>102.5</v>
      </c>
      <c r="G139" s="2649" t="s">
        <v>2631</v>
      </c>
      <c r="H139" s="1088">
        <v>105</v>
      </c>
      <c r="I139" s="2650" t="s">
        <v>2632</v>
      </c>
      <c r="J139" s="1085">
        <v>20</v>
      </c>
      <c r="K139" s="1089">
        <f>C145/(J139-2)</f>
        <v>4.0555555555555553E-3</v>
      </c>
    </row>
    <row r="140" spans="1:17" ht="15">
      <c r="B140" s="1090">
        <v>5</v>
      </c>
      <c r="C140" s="1091">
        <v>100</v>
      </c>
      <c r="D140" s="1091"/>
      <c r="E140" s="1092"/>
      <c r="F140" s="1093">
        <v>102</v>
      </c>
      <c r="G140" s="1091"/>
      <c r="H140" s="1094"/>
      <c r="I140" s="2651" t="s">
        <v>2633</v>
      </c>
      <c r="J140" s="315">
        <f>ROUNDUP((J139-1)/2,0)</f>
        <v>10</v>
      </c>
      <c r="K140" s="1095">
        <v>100</v>
      </c>
    </row>
    <row r="141" spans="1:17" ht="15">
      <c r="B141" s="1090">
        <v>4</v>
      </c>
      <c r="C141" s="1091">
        <v>102</v>
      </c>
      <c r="D141" s="1091"/>
      <c r="E141" s="1092"/>
      <c r="F141" s="1093">
        <v>101.5</v>
      </c>
      <c r="G141" s="1091"/>
      <c r="H141" s="1094"/>
      <c r="I141" s="2651" t="s">
        <v>2634</v>
      </c>
      <c r="J141" s="315">
        <v>1</v>
      </c>
      <c r="K141" s="1096">
        <f>ROUND(100+(J141-J140)*K139*100,1)</f>
        <v>96.4</v>
      </c>
    </row>
    <row r="142" spans="1:17" ht="15">
      <c r="B142" s="1090">
        <v>3</v>
      </c>
      <c r="C142" s="1091">
        <v>103</v>
      </c>
      <c r="D142" s="1091"/>
      <c r="E142" s="1092"/>
      <c r="F142" s="1093">
        <v>101</v>
      </c>
      <c r="G142" s="1091"/>
      <c r="H142" s="1094"/>
      <c r="I142" s="2651" t="s">
        <v>2635</v>
      </c>
      <c r="J142" s="315">
        <f>J139</f>
        <v>20</v>
      </c>
      <c r="K142" s="1097">
        <v>95</v>
      </c>
    </row>
    <row r="143" spans="1:17" ht="15">
      <c r="B143" s="1090">
        <v>2</v>
      </c>
      <c r="C143" s="1091">
        <v>100</v>
      </c>
      <c r="D143" s="1091"/>
      <c r="E143" s="1092"/>
      <c r="F143" s="1093">
        <v>100.5</v>
      </c>
      <c r="G143" s="1091"/>
      <c r="H143" s="1094"/>
      <c r="I143" s="2651" t="s">
        <v>2636</v>
      </c>
      <c r="J143" s="1091">
        <v>15</v>
      </c>
      <c r="K143" s="1096">
        <f>ROUND(100+(J143-J140)*K139*100,1)</f>
        <v>102</v>
      </c>
    </row>
    <row r="144" spans="1:17" ht="15">
      <c r="B144" s="1090">
        <v>1</v>
      </c>
      <c r="C144" s="1091">
        <v>98</v>
      </c>
      <c r="D144" s="2652" t="s">
        <v>2637</v>
      </c>
      <c r="E144" s="1092">
        <v>102</v>
      </c>
      <c r="F144" s="1098">
        <v>100</v>
      </c>
      <c r="G144" s="2652" t="s">
        <v>2637</v>
      </c>
      <c r="H144" s="1094">
        <v>105</v>
      </c>
      <c r="I144" s="2651" t="s">
        <v>2636</v>
      </c>
      <c r="J144" s="1091">
        <v>18</v>
      </c>
      <c r="K144" s="1096">
        <f>ROUND(100+(J144-J140)*K139*100,1)</f>
        <v>103.2</v>
      </c>
    </row>
    <row r="145" spans="2:11" ht="16.2" thickBot="1">
      <c r="B145" s="2653" t="s">
        <v>2638</v>
      </c>
      <c r="C145" s="1099">
        <f>ROUND(MAX(C139:C144)/MIN(C139:C144)-1,3)</f>
        <v>7.2999999999999995E-2</v>
      </c>
      <c r="D145" s="1100"/>
      <c r="E145" s="1100"/>
      <c r="F145" s="2654" t="s">
        <v>2639</v>
      </c>
      <c r="G145" s="2655"/>
      <c r="H145" s="2656"/>
      <c r="I145" s="2657" t="s">
        <v>2636</v>
      </c>
      <c r="J145" s="1101">
        <v>8</v>
      </c>
      <c r="K145" s="1102">
        <f>ROUND(100+(J145-J140)*K139*100,1)</f>
        <v>99.2</v>
      </c>
    </row>
    <row r="147" spans="2:11" ht="14.4">
      <c r="B147" s="2638" t="s">
        <v>2640</v>
      </c>
    </row>
    <row r="148" spans="2:11" ht="14.4">
      <c r="B148" s="2638"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2528</v>
      </c>
      <c r="B1" s="2583" t="s">
        <v>2642</v>
      </c>
      <c r="C1" s="1633" t="s">
        <v>2530</v>
      </c>
      <c r="D1" s="1620"/>
      <c r="E1" s="2658"/>
      <c r="F1" s="2585"/>
      <c r="G1" s="1630" t="s">
        <v>2643</v>
      </c>
      <c r="H1" s="1629"/>
      <c r="I1" s="1629"/>
      <c r="J1" s="1629"/>
      <c r="K1" s="1631"/>
      <c r="L1" s="1632"/>
      <c r="M1" s="1633"/>
      <c r="N1" s="1633"/>
      <c r="O1" s="1633"/>
      <c r="P1" s="2659"/>
      <c r="Q1" s="2660"/>
      <c r="R1" s="2660"/>
      <c r="S1" s="2660"/>
      <c r="T1" s="2660"/>
      <c r="U1" s="2660"/>
      <c r="V1" s="2660"/>
      <c r="W1" s="2660"/>
      <c r="X1" s="2660"/>
      <c r="Y1" s="2660"/>
      <c r="Z1" s="2660"/>
      <c r="AA1" s="2660"/>
      <c r="AB1" s="2660"/>
      <c r="AC1" s="2661"/>
    </row>
    <row r="2" spans="1:29" s="398" customFormat="1" ht="28.5" customHeight="1" thickTop="1">
      <c r="A2" s="1616" t="s">
        <v>2327</v>
      </c>
      <c r="B2" s="1417" t="e">
        <f ca="1">IF(C2="——",ROUND(C49*D3/10000,0),ROUND(C49*D3/10000,0)-D2)</f>
        <v>#DIV/0!</v>
      </c>
      <c r="C2" s="2587"/>
      <c r="D2" s="1364" t="e">
        <f ca="1">SUMIF(INDIRECT("'"&amp;F2&amp;"'"&amp;"!A:A"),"承租人权益价值",INDIRECT("'"&amp;F2&amp;"'"&amp;"!c:c"))</f>
        <v>#REF!</v>
      </c>
      <c r="E2" s="2588" t="s">
        <v>2328</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2329</v>
      </c>
      <c r="B3" s="609" t="e">
        <f ca="1">IF(C2="——",C49,ROUND(B2*10000/D3,0))</f>
        <v>#DIV/0!</v>
      </c>
      <c r="C3" s="400" t="s">
        <v>2644</v>
      </c>
      <c r="D3" s="399">
        <f>IF(D1="",'数据-汇总表'!E3,SUMIF('数据-汇总表'!$C19:$C33,D1,'数据-汇总表'!$E19:$E33))</f>
        <v>102921.28</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208" t="s">
        <v>2648</v>
      </c>
      <c r="AC4" s="3178" t="s">
        <v>2649</v>
      </c>
    </row>
    <row r="5" spans="1:29">
      <c r="A5" s="404"/>
      <c r="B5" s="405"/>
      <c r="C5" s="3189" t="s">
        <v>2542</v>
      </c>
      <c r="D5" s="3190"/>
      <c r="E5" s="3187" t="s">
        <v>2543</v>
      </c>
      <c r="F5" s="3188"/>
      <c r="G5" s="3189" t="s">
        <v>2544</v>
      </c>
      <c r="H5" s="3190"/>
      <c r="I5" s="3189" t="s">
        <v>2545</v>
      </c>
      <c r="J5" s="3190"/>
      <c r="K5" s="610"/>
      <c r="L5" s="1130"/>
      <c r="M5" s="1131"/>
      <c r="N5" s="1131"/>
      <c r="O5" s="1131"/>
      <c r="P5" s="3202"/>
      <c r="Q5" s="3203"/>
      <c r="R5" s="3185"/>
      <c r="S5" s="3186"/>
      <c r="T5" s="3185"/>
      <c r="U5" s="3186"/>
      <c r="V5" s="3208"/>
      <c r="W5" s="3208"/>
      <c r="X5" s="1812"/>
      <c r="Y5" s="3185"/>
      <c r="Z5" s="3186"/>
      <c r="AA5" s="3179"/>
      <c r="AB5" s="3208"/>
      <c r="AC5" s="3179"/>
    </row>
    <row r="6" spans="1:29" ht="15" thickBot="1">
      <c r="A6" s="406"/>
      <c r="B6" s="407"/>
      <c r="C6" s="3191" t="s">
        <v>2546</v>
      </c>
      <c r="D6" s="3192"/>
      <c r="E6" s="3193" t="s">
        <v>2546</v>
      </c>
      <c r="F6" s="3194"/>
      <c r="G6" s="3191" t="s">
        <v>2546</v>
      </c>
      <c r="H6" s="3192"/>
      <c r="I6" s="3191" t="s">
        <v>2546</v>
      </c>
      <c r="J6" s="3192"/>
      <c r="K6" s="610" t="s">
        <v>2547</v>
      </c>
      <c r="L6" s="1130"/>
      <c r="M6" s="1131"/>
      <c r="N6" s="1131"/>
      <c r="O6" s="1131"/>
      <c r="P6" s="3204"/>
      <c r="Q6" s="3205"/>
      <c r="R6" s="3185"/>
      <c r="S6" s="3186"/>
      <c r="T6" s="3206"/>
      <c r="U6" s="3207"/>
      <c r="V6" s="3208"/>
      <c r="W6" s="3208"/>
      <c r="X6" s="1812"/>
      <c r="Y6" s="3206"/>
      <c r="Z6" s="3207"/>
      <c r="AA6" s="3180"/>
      <c r="AB6" s="3208"/>
      <c r="AC6" s="3180"/>
    </row>
    <row r="7" spans="1:29" s="117" customFormat="1" ht="15" thickBot="1">
      <c r="A7" s="408" t="s">
        <v>2548</v>
      </c>
      <c r="B7" s="409"/>
      <c r="C7" s="410">
        <f>'数据-取费表'!B2</f>
        <v>43802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1" t="s">
        <v>2549</v>
      </c>
      <c r="Q7" s="3209"/>
      <c r="R7" s="770" t="s">
        <v>17</v>
      </c>
      <c r="S7" s="771">
        <f t="shared" ref="S7:S15" si="0">F7</f>
        <v>0</v>
      </c>
      <c r="T7" s="770" t="s">
        <v>17</v>
      </c>
      <c r="U7" s="771">
        <f t="shared" ref="U7:U15" si="1">H7</f>
        <v>0</v>
      </c>
      <c r="V7" s="770" t="s">
        <v>17</v>
      </c>
      <c r="W7" s="771">
        <f t="shared" ref="W7:W15" si="2">J7</f>
        <v>0</v>
      </c>
      <c r="X7" s="772"/>
      <c r="Y7" s="3181" t="s">
        <v>2549</v>
      </c>
      <c r="Z7" s="3182"/>
      <c r="AA7" s="773" t="e">
        <f>D7/F7</f>
        <v>#DIV/0!</v>
      </c>
      <c r="AB7" s="773" t="e">
        <f>D7/H7</f>
        <v>#DIV/0!</v>
      </c>
      <c r="AC7" s="773" t="e">
        <f>D7/J7</f>
        <v>#DIV/0!</v>
      </c>
    </row>
    <row r="8" spans="1:29" s="117" customFormat="1" ht="1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1" t="s">
        <v>2552</v>
      </c>
      <c r="Q8" s="3182"/>
      <c r="R8" s="770" t="s">
        <v>17</v>
      </c>
      <c r="S8" s="771">
        <f t="shared" si="0"/>
        <v>0</v>
      </c>
      <c r="T8" s="770" t="s">
        <v>17</v>
      </c>
      <c r="U8" s="771">
        <f t="shared" si="1"/>
        <v>0</v>
      </c>
      <c r="V8" s="770" t="s">
        <v>17</v>
      </c>
      <c r="W8" s="771">
        <f t="shared" si="2"/>
        <v>0</v>
      </c>
      <c r="X8" s="772"/>
      <c r="Y8" s="3181" t="s">
        <v>2552</v>
      </c>
      <c r="Z8" s="3182"/>
      <c r="AA8" s="773" t="e">
        <f t="shared" ref="AA8:AA46" si="3">D8/F8</f>
        <v>#DIV/0!</v>
      </c>
      <c r="AB8" s="773" t="e">
        <f t="shared" ref="AB8:AB46" si="4">D8/H8</f>
        <v>#DIV/0!</v>
      </c>
      <c r="AC8" s="773" t="e">
        <f t="shared" ref="AC8:AC46" si="5">D8/J8</f>
        <v>#DIV/0!</v>
      </c>
    </row>
    <row r="9" spans="1:29" s="117" customFormat="1" ht="14.4">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5"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5"/>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5"/>
      <c r="Q11" s="1794"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5"/>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5"/>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6"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5"/>
      <c r="Q14" s="1794">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69">
      <c r="A15" s="440" t="s">
        <v>2559</v>
      </c>
      <c r="B15" s="69" t="s">
        <v>2653</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2" t="s">
        <v>2560</v>
      </c>
      <c r="Q15" s="1809" t="str">
        <f t="shared" si="6"/>
        <v>商业繁华度</v>
      </c>
      <c r="R15" s="774" t="s">
        <v>17</v>
      </c>
      <c r="S15" s="775">
        <f t="shared" si="0"/>
        <v>100</v>
      </c>
      <c r="T15" s="774" t="s">
        <v>17</v>
      </c>
      <c r="U15" s="775">
        <f t="shared" si="1"/>
        <v>100</v>
      </c>
      <c r="V15" s="774" t="s">
        <v>17</v>
      </c>
      <c r="W15" s="775">
        <f t="shared" si="2"/>
        <v>100</v>
      </c>
      <c r="X15" s="1812"/>
      <c r="Y15" s="3215" t="s">
        <v>2560</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23"/>
      <c r="Q16" s="1809"/>
      <c r="R16" s="774"/>
      <c r="S16" s="775"/>
      <c r="T16" s="774"/>
      <c r="U16" s="775"/>
      <c r="V16" s="774"/>
      <c r="W16" s="775"/>
      <c r="X16" s="1812"/>
      <c r="Y16" s="3216"/>
      <c r="Z16" s="1813"/>
      <c r="AA16" s="1810">
        <v>1</v>
      </c>
      <c r="AB16" s="1810">
        <v>1</v>
      </c>
      <c r="AC16" s="1810">
        <v>1</v>
      </c>
    </row>
    <row r="17" spans="1:29" ht="82.8">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3"/>
      <c r="Q17" s="1809" t="str">
        <f>B17</f>
        <v>交通便捷度</v>
      </c>
      <c r="R17" s="774" t="s">
        <v>17</v>
      </c>
      <c r="S17" s="775">
        <f>F17</f>
        <v>100</v>
      </c>
      <c r="T17" s="774" t="s">
        <v>17</v>
      </c>
      <c r="U17" s="775">
        <f>H17</f>
        <v>100</v>
      </c>
      <c r="V17" s="774" t="s">
        <v>17</v>
      </c>
      <c r="W17" s="775">
        <f>J17</f>
        <v>100</v>
      </c>
      <c r="X17" s="1812"/>
      <c r="Y17" s="3216"/>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40"/>
      <c r="M18" s="1131"/>
      <c r="N18" s="1131"/>
      <c r="O18" s="1131"/>
      <c r="P18" s="3223"/>
      <c r="Q18" s="1809"/>
      <c r="R18" s="774"/>
      <c r="S18" s="775"/>
      <c r="T18" s="774"/>
      <c r="U18" s="775"/>
      <c r="V18" s="774"/>
      <c r="W18" s="775"/>
      <c r="X18" s="1812"/>
      <c r="Y18" s="3216"/>
      <c r="Z18" s="1813"/>
      <c r="AA18" s="1810">
        <v>1</v>
      </c>
      <c r="AB18" s="1810">
        <v>1</v>
      </c>
      <c r="AC18" s="1810">
        <v>1</v>
      </c>
    </row>
    <row r="19" spans="1:29" ht="41.4">
      <c r="A19" s="428"/>
      <c r="B19" s="451" t="s">
        <v>2654</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3"/>
      <c r="Q19" s="1809" t="str">
        <f>B19</f>
        <v>公共配套设施</v>
      </c>
      <c r="R19" s="774" t="s">
        <v>17</v>
      </c>
      <c r="S19" s="775">
        <f>F19</f>
        <v>100</v>
      </c>
      <c r="T19" s="774" t="s">
        <v>17</v>
      </c>
      <c r="U19" s="775">
        <f>H19</f>
        <v>100</v>
      </c>
      <c r="V19" s="774" t="s">
        <v>17</v>
      </c>
      <c r="W19" s="775">
        <f>J19</f>
        <v>100</v>
      </c>
      <c r="X19" s="1812"/>
      <c r="Y19" s="3216"/>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40"/>
      <c r="M20" s="1131"/>
      <c r="N20" s="1131"/>
      <c r="O20" s="1131"/>
      <c r="P20" s="3223"/>
      <c r="Q20" s="1809"/>
      <c r="R20" s="774"/>
      <c r="S20" s="775"/>
      <c r="T20" s="774"/>
      <c r="U20" s="775"/>
      <c r="V20" s="774"/>
      <c r="W20" s="775"/>
      <c r="X20" s="1812"/>
      <c r="Y20" s="3216"/>
      <c r="Z20" s="1813"/>
      <c r="AA20" s="1810">
        <v>1</v>
      </c>
      <c r="AB20" s="1810">
        <v>1</v>
      </c>
      <c r="AC20" s="1810">
        <v>1</v>
      </c>
    </row>
    <row r="21" spans="1:29" ht="27.6">
      <c r="A21" s="428"/>
      <c r="B21" s="1383" t="s">
        <v>2655</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3"/>
      <c r="Q21" s="1809" t="str">
        <f>B21</f>
        <v>基础设施水平</v>
      </c>
      <c r="R21" s="774" t="s">
        <v>17</v>
      </c>
      <c r="S21" s="775">
        <f>F21</f>
        <v>100</v>
      </c>
      <c r="T21" s="774" t="s">
        <v>17</v>
      </c>
      <c r="U21" s="775">
        <f>H21</f>
        <v>100</v>
      </c>
      <c r="V21" s="774" t="s">
        <v>17</v>
      </c>
      <c r="W21" s="775">
        <f>J21</f>
        <v>100</v>
      </c>
      <c r="X21" s="1812"/>
      <c r="Y21" s="321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40"/>
      <c r="M22" s="1131"/>
      <c r="N22" s="1131"/>
      <c r="O22" s="1131"/>
      <c r="P22" s="3223"/>
      <c r="Q22" s="1809"/>
      <c r="R22" s="774"/>
      <c r="S22" s="775"/>
      <c r="T22" s="774"/>
      <c r="U22" s="775"/>
      <c r="V22" s="774"/>
      <c r="W22" s="775"/>
      <c r="X22" s="1812"/>
      <c r="Y22" s="3216"/>
      <c r="Z22" s="1813"/>
      <c r="AA22" s="1810">
        <v>1</v>
      </c>
      <c r="AB22" s="1810">
        <v>1</v>
      </c>
      <c r="AC22" s="1810">
        <v>1</v>
      </c>
    </row>
    <row r="23" spans="1:29" ht="55.2">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3"/>
      <c r="Q23" s="1809" t="str">
        <f>B23</f>
        <v>自然及人文环境</v>
      </c>
      <c r="R23" s="774" t="s">
        <v>17</v>
      </c>
      <c r="S23" s="775">
        <f>F23</f>
        <v>100</v>
      </c>
      <c r="T23" s="774" t="s">
        <v>17</v>
      </c>
      <c r="U23" s="775">
        <f>H23</f>
        <v>100</v>
      </c>
      <c r="V23" s="774" t="s">
        <v>17</v>
      </c>
      <c r="W23" s="775">
        <f>J23</f>
        <v>100</v>
      </c>
      <c r="X23" s="1812"/>
      <c r="Y23" s="3216"/>
      <c r="Z23" s="1813" t="str">
        <f>Q23</f>
        <v>自然及人文环境</v>
      </c>
      <c r="AA23" s="1810">
        <f t="shared" si="3"/>
        <v>1</v>
      </c>
      <c r="AB23" s="1810">
        <f t="shared" si="4"/>
        <v>1</v>
      </c>
      <c r="AC23" s="1810">
        <f t="shared" si="5"/>
        <v>1</v>
      </c>
    </row>
    <row r="24" spans="1:29" ht="15">
      <c r="A24" s="428"/>
      <c r="B24" s="456"/>
      <c r="C24" s="447"/>
      <c r="D24" s="448"/>
      <c r="E24" s="2606"/>
      <c r="F24" s="449"/>
      <c r="G24" s="2605"/>
      <c r="H24" s="448"/>
      <c r="I24" s="2606"/>
      <c r="J24" s="448"/>
      <c r="K24" s="615"/>
      <c r="L24" s="1140"/>
      <c r="M24" s="1131"/>
      <c r="N24" s="1131"/>
      <c r="O24" s="1131"/>
      <c r="P24" s="3223"/>
      <c r="Q24" s="1809"/>
      <c r="R24" s="774"/>
      <c r="S24" s="775"/>
      <c r="T24" s="774"/>
      <c r="U24" s="775"/>
      <c r="V24" s="774"/>
      <c r="W24" s="775"/>
      <c r="X24" s="1812"/>
      <c r="Y24" s="3216"/>
      <c r="Z24" s="1813"/>
      <c r="AA24" s="1810">
        <v>1</v>
      </c>
      <c r="AB24" s="1810">
        <v>1</v>
      </c>
      <c r="AC24" s="1810">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3"/>
      <c r="Q25" s="1809" t="str">
        <f t="shared" ref="Q25:Q46" si="11">B25</f>
        <v>临街状况</v>
      </c>
      <c r="R25" s="774" t="s">
        <v>17</v>
      </c>
      <c r="S25" s="775">
        <f>F25</f>
        <v>100</v>
      </c>
      <c r="T25" s="774" t="s">
        <v>17</v>
      </c>
      <c r="U25" s="775">
        <f>H25</f>
        <v>100</v>
      </c>
      <c r="V25" s="774" t="s">
        <v>17</v>
      </c>
      <c r="W25" s="775">
        <f>J25</f>
        <v>100</v>
      </c>
      <c r="X25" s="1812"/>
      <c r="Y25" s="3216"/>
      <c r="Z25" s="1813" t="str">
        <f>Q25</f>
        <v>临街状况</v>
      </c>
      <c r="AA25" s="1810">
        <f t="shared" si="3"/>
        <v>1</v>
      </c>
      <c r="AB25" s="1810">
        <f t="shared" si="4"/>
        <v>1</v>
      </c>
      <c r="AC25" s="1810">
        <f t="shared" si="5"/>
        <v>1</v>
      </c>
    </row>
    <row r="26" spans="1:29" ht="15">
      <c r="A26" s="428"/>
      <c r="B26" s="1385"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3"/>
      <c r="Q26" s="1809" t="str">
        <f t="shared" si="11"/>
        <v>平面位置/可视性</v>
      </c>
      <c r="R26" s="774" t="s">
        <v>17</v>
      </c>
      <c r="S26" s="775">
        <f>F26</f>
        <v>100</v>
      </c>
      <c r="T26" s="774" t="s">
        <v>17</v>
      </c>
      <c r="U26" s="775">
        <f>H26</f>
        <v>100</v>
      </c>
      <c r="V26" s="774" t="s">
        <v>17</v>
      </c>
      <c r="W26" s="775">
        <f>J26</f>
        <v>100</v>
      </c>
      <c r="X26" s="1812"/>
      <c r="Y26" s="3216"/>
      <c r="Z26" s="1813" t="str">
        <f>Q26</f>
        <v>平面位置/可视性</v>
      </c>
      <c r="AA26" s="1810">
        <f t="shared" si="3"/>
        <v>1</v>
      </c>
      <c r="AB26" s="1810">
        <f t="shared" si="4"/>
        <v>1</v>
      </c>
      <c r="AC26" s="1810">
        <f t="shared" si="5"/>
        <v>1</v>
      </c>
    </row>
    <row r="27" spans="1:29" s="117" customFormat="1" ht="15">
      <c r="A27" s="431"/>
      <c r="B27" s="451" t="s">
        <v>2658</v>
      </c>
      <c r="C27" s="2666"/>
      <c r="D27" s="462">
        <v>100</v>
      </c>
      <c r="E27" s="2666"/>
      <c r="F27" s="464">
        <f>SUMIF(90:90,E27,91:91)-SUMIF(90:90,C27,91:91)+100</f>
        <v>100</v>
      </c>
      <c r="G27" s="2666"/>
      <c r="H27" s="462">
        <f>SUMIF(90:90,G27,91:91)-SUMIF(90:90,C27,91:91)+100</f>
        <v>100</v>
      </c>
      <c r="I27" s="2666"/>
      <c r="J27" s="462">
        <f>SUMIF(90:90,I27,91:91)-SUMIF(90:90,C27,91:91)+100</f>
        <v>100</v>
      </c>
      <c r="K27" s="612"/>
      <c r="L27" s="1132"/>
      <c r="M27" s="1133"/>
      <c r="N27" s="1133"/>
      <c r="O27" s="1133"/>
      <c r="P27" s="3223"/>
      <c r="Q27" s="1794" t="str">
        <f t="shared" si="11"/>
        <v>人流量</v>
      </c>
      <c r="R27" s="770" t="s">
        <v>17</v>
      </c>
      <c r="S27" s="771">
        <f>F27</f>
        <v>100</v>
      </c>
      <c r="T27" s="770" t="s">
        <v>17</v>
      </c>
      <c r="U27" s="771">
        <f>H27</f>
        <v>100</v>
      </c>
      <c r="V27" s="770" t="s">
        <v>17</v>
      </c>
      <c r="W27" s="771">
        <f>J27</f>
        <v>100</v>
      </c>
      <c r="X27" s="772"/>
      <c r="Y27" s="3216"/>
      <c r="Z27" s="55" t="str">
        <f>Q27</f>
        <v>人流量</v>
      </c>
      <c r="AA27" s="1810">
        <f>D27/F27</f>
        <v>1</v>
      </c>
      <c r="AB27" s="1810">
        <f>D27/H27</f>
        <v>1</v>
      </c>
      <c r="AC27" s="1810">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3"/>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6"/>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3"/>
      <c r="Q29" s="1809">
        <f t="shared" si="11"/>
        <v>111</v>
      </c>
      <c r="R29" s="774" t="s">
        <v>17</v>
      </c>
      <c r="S29" s="775">
        <f t="shared" si="12"/>
        <v>100</v>
      </c>
      <c r="T29" s="774" t="s">
        <v>17</v>
      </c>
      <c r="U29" s="775">
        <f t="shared" si="13"/>
        <v>100</v>
      </c>
      <c r="V29" s="774" t="s">
        <v>17</v>
      </c>
      <c r="W29" s="775">
        <f t="shared" si="14"/>
        <v>100</v>
      </c>
      <c r="X29" s="1812"/>
      <c r="Y29" s="3216"/>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3"/>
      <c r="Q30" s="1809">
        <f t="shared" si="11"/>
        <v>111</v>
      </c>
      <c r="R30" s="774" t="s">
        <v>17</v>
      </c>
      <c r="S30" s="775">
        <f t="shared" si="12"/>
        <v>100</v>
      </c>
      <c r="T30" s="774" t="s">
        <v>17</v>
      </c>
      <c r="U30" s="775">
        <f t="shared" si="13"/>
        <v>100</v>
      </c>
      <c r="V30" s="774" t="s">
        <v>17</v>
      </c>
      <c r="W30" s="775">
        <f t="shared" si="14"/>
        <v>100</v>
      </c>
      <c r="X30" s="1812"/>
      <c r="Y30" s="3216"/>
      <c r="Z30" s="1813">
        <f t="shared" si="15"/>
        <v>111</v>
      </c>
      <c r="AA30" s="1810">
        <f t="shared" si="3"/>
        <v>1</v>
      </c>
      <c r="AB30" s="1810">
        <f t="shared" si="4"/>
        <v>1</v>
      </c>
      <c r="AC30" s="1810">
        <f t="shared" si="5"/>
        <v>1</v>
      </c>
    </row>
    <row r="31" spans="1:29" ht="15.6"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3"/>
      <c r="Q31" s="1809">
        <f t="shared" si="11"/>
        <v>111</v>
      </c>
      <c r="R31" s="774" t="s">
        <v>17</v>
      </c>
      <c r="S31" s="775">
        <f t="shared" si="12"/>
        <v>100</v>
      </c>
      <c r="T31" s="774" t="s">
        <v>17</v>
      </c>
      <c r="U31" s="775">
        <f t="shared" si="13"/>
        <v>100</v>
      </c>
      <c r="V31" s="774" t="s">
        <v>17</v>
      </c>
      <c r="W31" s="775">
        <f t="shared" si="14"/>
        <v>100</v>
      </c>
      <c r="X31" s="1812"/>
      <c r="Y31" s="3216"/>
      <c r="Z31" s="1813">
        <f t="shared" si="15"/>
        <v>111</v>
      </c>
      <c r="AA31" s="1810">
        <f t="shared" si="3"/>
        <v>1</v>
      </c>
      <c r="AB31" s="1810">
        <f t="shared" si="4"/>
        <v>1</v>
      </c>
      <c r="AC31" s="1810">
        <f t="shared" si="5"/>
        <v>1</v>
      </c>
    </row>
    <row r="32" spans="1:29" ht="15">
      <c r="A32" s="440" t="s">
        <v>2563</v>
      </c>
      <c r="B32" s="71" t="s">
        <v>2660</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0"/>
      <c r="M32" s="1131"/>
      <c r="N32" s="1131"/>
      <c r="O32" s="1131"/>
      <c r="P32" s="3217" t="s">
        <v>2565</v>
      </c>
      <c r="Q32" s="1809" t="str">
        <f t="shared" si="11"/>
        <v>商业类型</v>
      </c>
      <c r="R32" s="774" t="s">
        <v>17</v>
      </c>
      <c r="S32" s="775">
        <f t="shared" si="12"/>
        <v>100</v>
      </c>
      <c r="T32" s="774" t="s">
        <v>17</v>
      </c>
      <c r="U32" s="775">
        <f t="shared" si="13"/>
        <v>100</v>
      </c>
      <c r="V32" s="774" t="s">
        <v>17</v>
      </c>
      <c r="W32" s="775">
        <f t="shared" si="14"/>
        <v>100</v>
      </c>
      <c r="X32" s="1812"/>
      <c r="Y32" s="3220" t="s">
        <v>2565</v>
      </c>
      <c r="Z32" s="1813" t="str">
        <f t="shared" si="15"/>
        <v>商业类型</v>
      </c>
      <c r="AA32" s="1810">
        <f t="shared" si="3"/>
        <v>1</v>
      </c>
      <c r="AB32" s="1810">
        <f t="shared" si="4"/>
        <v>1</v>
      </c>
      <c r="AC32" s="1810">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8"/>
      <c r="Q33" s="776" t="str">
        <f t="shared" si="11"/>
        <v>项目建筑规模</v>
      </c>
      <c r="R33" s="777" t="s">
        <v>17</v>
      </c>
      <c r="S33" s="778" t="e">
        <f t="shared" si="12"/>
        <v>#N/A</v>
      </c>
      <c r="T33" s="777" t="s">
        <v>17</v>
      </c>
      <c r="U33" s="778" t="e">
        <f t="shared" si="13"/>
        <v>#N/A</v>
      </c>
      <c r="V33" s="777" t="s">
        <v>17</v>
      </c>
      <c r="W33" s="778" t="e">
        <f t="shared" si="14"/>
        <v>#N/A</v>
      </c>
      <c r="X33" s="779"/>
      <c r="Y33" s="3220"/>
      <c r="Z33" s="780" t="str">
        <f t="shared" si="15"/>
        <v>项目建筑规模</v>
      </c>
      <c r="AA33" s="1810" t="e">
        <f t="shared" si="3"/>
        <v>#N/A</v>
      </c>
      <c r="AB33" s="1810" t="e">
        <f t="shared" si="4"/>
        <v>#N/A</v>
      </c>
      <c r="AC33" s="1810" t="e">
        <f t="shared" si="5"/>
        <v>#N/A</v>
      </c>
    </row>
    <row r="34" spans="1:29" ht="15">
      <c r="A34" s="472"/>
      <c r="B34" s="422" t="s">
        <v>2567</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0"/>
      <c r="M34" s="1131"/>
      <c r="N34" s="1131"/>
      <c r="O34" s="1131"/>
      <c r="P34" s="3218"/>
      <c r="Q34" s="1809" t="str">
        <f t="shared" si="11"/>
        <v>建筑结构</v>
      </c>
      <c r="R34" s="774" t="s">
        <v>17</v>
      </c>
      <c r="S34" s="775">
        <f t="shared" si="12"/>
        <v>100</v>
      </c>
      <c r="T34" s="774" t="s">
        <v>17</v>
      </c>
      <c r="U34" s="775">
        <f t="shared" si="13"/>
        <v>100</v>
      </c>
      <c r="V34" s="774" t="s">
        <v>17</v>
      </c>
      <c r="W34" s="775">
        <f t="shared" si="14"/>
        <v>100</v>
      </c>
      <c r="X34" s="1812"/>
      <c r="Y34" s="3220"/>
      <c r="Z34" s="1813" t="str">
        <f t="shared" si="15"/>
        <v>建筑结构</v>
      </c>
      <c r="AA34" s="1810">
        <f t="shared" si="3"/>
        <v>1</v>
      </c>
      <c r="AB34" s="1810">
        <f t="shared" si="4"/>
        <v>1</v>
      </c>
      <c r="AC34" s="1810">
        <f t="shared" si="5"/>
        <v>1</v>
      </c>
    </row>
    <row r="35" spans="1:29" ht="15">
      <c r="A35" s="472"/>
      <c r="B35" s="422" t="s">
        <v>2661</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0"/>
      <c r="M35" s="1131"/>
      <c r="N35" s="1131"/>
      <c r="O35" s="1131"/>
      <c r="P35" s="3218"/>
      <c r="Q35" s="1809" t="str">
        <f t="shared" si="11"/>
        <v>公共部分装修</v>
      </c>
      <c r="R35" s="774" t="s">
        <v>17</v>
      </c>
      <c r="S35" s="775">
        <f t="shared" si="12"/>
        <v>100</v>
      </c>
      <c r="T35" s="774" t="s">
        <v>17</v>
      </c>
      <c r="U35" s="775">
        <f t="shared" si="13"/>
        <v>100</v>
      </c>
      <c r="V35" s="774" t="s">
        <v>17</v>
      </c>
      <c r="W35" s="775">
        <f t="shared" si="14"/>
        <v>100</v>
      </c>
      <c r="X35" s="1812"/>
      <c r="Y35" s="3220"/>
      <c r="Z35" s="1813" t="str">
        <f t="shared" si="15"/>
        <v>公共部分装修</v>
      </c>
      <c r="AA35" s="1810">
        <f t="shared" si="3"/>
        <v>1</v>
      </c>
      <c r="AB35" s="1810">
        <f t="shared" si="4"/>
        <v>1</v>
      </c>
      <c r="AC35" s="1810">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8"/>
      <c r="Q36" s="1809" t="str">
        <f t="shared" si="11"/>
        <v>成新度</v>
      </c>
      <c r="R36" s="774" t="s">
        <v>17</v>
      </c>
      <c r="S36" s="775" t="e">
        <f t="shared" si="12"/>
        <v>#N/A</v>
      </c>
      <c r="T36" s="774" t="s">
        <v>17</v>
      </c>
      <c r="U36" s="775" t="e">
        <f t="shared" si="13"/>
        <v>#N/A</v>
      </c>
      <c r="V36" s="774" t="s">
        <v>17</v>
      </c>
      <c r="W36" s="775" t="e">
        <f t="shared" si="14"/>
        <v>#N/A</v>
      </c>
      <c r="X36" s="1812"/>
      <c r="Y36" s="3220"/>
      <c r="Z36" s="1813" t="str">
        <f t="shared" si="15"/>
        <v>成新度</v>
      </c>
      <c r="AA36" s="1810" t="e">
        <f t="shared" si="3"/>
        <v>#N/A</v>
      </c>
      <c r="AB36" s="1810" t="e">
        <f t="shared" si="4"/>
        <v>#N/A</v>
      </c>
      <c r="AC36" s="1810" t="e">
        <f t="shared" si="5"/>
        <v>#N/A</v>
      </c>
    </row>
    <row r="37" spans="1:29" s="117" customFormat="1" ht="15">
      <c r="A37" s="473"/>
      <c r="B37" s="422" t="s">
        <v>2663</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218"/>
      <c r="Q37" s="1794" t="str">
        <f t="shared" si="11"/>
        <v>市政基础设施</v>
      </c>
      <c r="R37" s="770" t="s">
        <v>17</v>
      </c>
      <c r="S37" s="771">
        <f t="shared" si="12"/>
        <v>100</v>
      </c>
      <c r="T37" s="770" t="s">
        <v>17</v>
      </c>
      <c r="U37" s="771">
        <f t="shared" si="13"/>
        <v>100</v>
      </c>
      <c r="V37" s="770" t="s">
        <v>17</v>
      </c>
      <c r="W37" s="771">
        <f t="shared" si="14"/>
        <v>100</v>
      </c>
      <c r="X37" s="772"/>
      <c r="Y37" s="3220"/>
      <c r="Z37" s="55" t="str">
        <f t="shared" si="15"/>
        <v>市政基础设施</v>
      </c>
      <c r="AA37" s="773">
        <f t="shared" si="3"/>
        <v>1</v>
      </c>
      <c r="AB37" s="773">
        <f t="shared" si="4"/>
        <v>1</v>
      </c>
      <c r="AC37" s="773">
        <f t="shared" si="5"/>
        <v>1</v>
      </c>
    </row>
    <row r="38" spans="1:29" ht="15">
      <c r="A38" s="472"/>
      <c r="B38" s="422" t="s">
        <v>2664</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218" t="s">
        <v>2565</v>
      </c>
      <c r="Q38" s="1809" t="str">
        <f t="shared" si="11"/>
        <v>业态</v>
      </c>
      <c r="R38" s="774" t="s">
        <v>17</v>
      </c>
      <c r="S38" s="775">
        <f t="shared" si="12"/>
        <v>100</v>
      </c>
      <c r="T38" s="774" t="s">
        <v>17</v>
      </c>
      <c r="U38" s="775">
        <f t="shared" si="13"/>
        <v>100</v>
      </c>
      <c r="V38" s="774" t="s">
        <v>17</v>
      </c>
      <c r="W38" s="775">
        <f t="shared" si="14"/>
        <v>100</v>
      </c>
      <c r="X38" s="1812"/>
      <c r="Y38" s="3220" t="s">
        <v>2565</v>
      </c>
      <c r="Z38" s="1813" t="str">
        <f t="shared" si="15"/>
        <v>业态</v>
      </c>
      <c r="AA38" s="1810">
        <f t="shared" si="3"/>
        <v>1</v>
      </c>
      <c r="AB38" s="1810">
        <f t="shared" si="4"/>
        <v>1</v>
      </c>
      <c r="AC38" s="1810">
        <f t="shared" si="5"/>
        <v>1</v>
      </c>
    </row>
    <row r="39" spans="1:29" ht="15">
      <c r="A39" s="472"/>
      <c r="B39" s="422" t="s">
        <v>2665</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0"/>
      <c r="M39" s="1131"/>
      <c r="N39" s="1131"/>
      <c r="O39" s="1131"/>
      <c r="P39" s="3218"/>
      <c r="Q39" s="1809" t="str">
        <f t="shared" si="11"/>
        <v>层高</v>
      </c>
      <c r="R39" s="774" t="s">
        <v>17</v>
      </c>
      <c r="S39" s="775">
        <f t="shared" si="12"/>
        <v>100</v>
      </c>
      <c r="T39" s="774" t="s">
        <v>17</v>
      </c>
      <c r="U39" s="775">
        <f t="shared" si="13"/>
        <v>100</v>
      </c>
      <c r="V39" s="774" t="s">
        <v>17</v>
      </c>
      <c r="W39" s="775">
        <f t="shared" si="14"/>
        <v>100</v>
      </c>
      <c r="X39" s="1812"/>
      <c r="Y39" s="3220"/>
      <c r="Z39" s="1813" t="str">
        <f t="shared" si="15"/>
        <v>层高</v>
      </c>
      <c r="AA39" s="1810">
        <f t="shared" si="3"/>
        <v>1</v>
      </c>
      <c r="AB39" s="1810">
        <f t="shared" si="4"/>
        <v>1</v>
      </c>
      <c r="AC39" s="1810">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8"/>
      <c r="Q40" s="1809" t="str">
        <f t="shared" si="11"/>
        <v>单套建筑面积</v>
      </c>
      <c r="R40" s="774" t="s">
        <v>17</v>
      </c>
      <c r="S40" s="775">
        <f t="shared" si="12"/>
        <v>100</v>
      </c>
      <c r="T40" s="774" t="s">
        <v>17</v>
      </c>
      <c r="U40" s="775">
        <f t="shared" si="13"/>
        <v>100</v>
      </c>
      <c r="V40" s="774" t="s">
        <v>17</v>
      </c>
      <c r="W40" s="775">
        <f t="shared" si="14"/>
        <v>100</v>
      </c>
      <c r="X40" s="1812"/>
      <c r="Y40" s="3220"/>
      <c r="Z40" s="1813" t="str">
        <f t="shared" si="15"/>
        <v>单套建筑面积</v>
      </c>
      <c r="AA40" s="1810">
        <f t="shared" si="3"/>
        <v>1</v>
      </c>
      <c r="AB40" s="1810">
        <f t="shared" si="4"/>
        <v>1</v>
      </c>
      <c r="AC40" s="1810">
        <f t="shared" si="5"/>
        <v>1</v>
      </c>
    </row>
    <row r="41" spans="1:29" s="471" customFormat="1" ht="15">
      <c r="A41" s="468"/>
      <c r="B41" s="1811"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8"/>
      <c r="Q41" s="776" t="str">
        <f t="shared" si="11"/>
        <v>进深比</v>
      </c>
      <c r="R41" s="777" t="s">
        <v>17</v>
      </c>
      <c r="S41" s="778">
        <f t="shared" si="12"/>
        <v>100</v>
      </c>
      <c r="T41" s="777" t="s">
        <v>17</v>
      </c>
      <c r="U41" s="778">
        <f t="shared" si="13"/>
        <v>100</v>
      </c>
      <c r="V41" s="777" t="s">
        <v>17</v>
      </c>
      <c r="W41" s="778">
        <f t="shared" si="14"/>
        <v>100</v>
      </c>
      <c r="X41" s="779"/>
      <c r="Y41" s="3220"/>
      <c r="Z41" s="780" t="str">
        <f t="shared" si="15"/>
        <v>进深比</v>
      </c>
      <c r="AA41" s="1810">
        <f t="shared" si="3"/>
        <v>1</v>
      </c>
      <c r="AB41" s="1810">
        <f t="shared" si="4"/>
        <v>1</v>
      </c>
      <c r="AC41" s="1810">
        <f t="shared" si="5"/>
        <v>1</v>
      </c>
    </row>
    <row r="42" spans="1:29" ht="15">
      <c r="A42" s="472"/>
      <c r="B42" s="422" t="s">
        <v>2668</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0"/>
      <c r="M42" s="1131"/>
      <c r="N42" s="1131"/>
      <c r="O42" s="1131"/>
      <c r="P42" s="3218"/>
      <c r="Q42" s="1809" t="str">
        <f t="shared" si="11"/>
        <v>内部装修</v>
      </c>
      <c r="R42" s="774" t="s">
        <v>17</v>
      </c>
      <c r="S42" s="775">
        <f t="shared" si="12"/>
        <v>100</v>
      </c>
      <c r="T42" s="774" t="s">
        <v>17</v>
      </c>
      <c r="U42" s="775">
        <f t="shared" si="13"/>
        <v>100</v>
      </c>
      <c r="V42" s="774" t="s">
        <v>17</v>
      </c>
      <c r="W42" s="775">
        <f t="shared" si="14"/>
        <v>100</v>
      </c>
      <c r="X42" s="1812"/>
      <c r="Y42" s="3220"/>
      <c r="Z42" s="1813" t="str">
        <f t="shared" si="15"/>
        <v>内部装修</v>
      </c>
      <c r="AA42" s="1810">
        <f t="shared" si="3"/>
        <v>1</v>
      </c>
      <c r="AB42" s="1810">
        <f t="shared" si="4"/>
        <v>1</v>
      </c>
      <c r="AC42" s="1810">
        <f t="shared" si="5"/>
        <v>1</v>
      </c>
    </row>
    <row r="43" spans="1:29" ht="28.8">
      <c r="A43" s="472"/>
      <c r="B43" s="422" t="s">
        <v>2576</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218"/>
      <c r="Q43" s="1809" t="str">
        <f t="shared" si="11"/>
        <v>内部装修维护情况</v>
      </c>
      <c r="R43" s="774" t="s">
        <v>17</v>
      </c>
      <c r="S43" s="775">
        <f t="shared" si="12"/>
        <v>100</v>
      </c>
      <c r="T43" s="774" t="s">
        <v>17</v>
      </c>
      <c r="U43" s="775">
        <f t="shared" si="13"/>
        <v>100</v>
      </c>
      <c r="V43" s="774" t="s">
        <v>17</v>
      </c>
      <c r="W43" s="775">
        <f t="shared" si="14"/>
        <v>100</v>
      </c>
      <c r="X43" s="1812"/>
      <c r="Y43" s="3220"/>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8"/>
      <c r="Q44" s="1794">
        <f t="shared" si="11"/>
        <v>111</v>
      </c>
      <c r="R44" s="770" t="s">
        <v>17</v>
      </c>
      <c r="S44" s="771">
        <f t="shared" si="12"/>
        <v>100</v>
      </c>
      <c r="T44" s="770" t="s">
        <v>17</v>
      </c>
      <c r="U44" s="771">
        <f t="shared" si="13"/>
        <v>100</v>
      </c>
      <c r="V44" s="770" t="s">
        <v>17</v>
      </c>
      <c r="W44" s="771">
        <f t="shared" si="14"/>
        <v>100</v>
      </c>
      <c r="X44" s="772"/>
      <c r="Y44" s="3220"/>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8"/>
      <c r="Q45" s="1809">
        <f t="shared" si="11"/>
        <v>111</v>
      </c>
      <c r="R45" s="774" t="s">
        <v>17</v>
      </c>
      <c r="S45" s="775">
        <f t="shared" si="12"/>
        <v>100</v>
      </c>
      <c r="T45" s="774" t="s">
        <v>17</v>
      </c>
      <c r="U45" s="775">
        <f t="shared" si="13"/>
        <v>100</v>
      </c>
      <c r="V45" s="774" t="s">
        <v>17</v>
      </c>
      <c r="W45" s="775">
        <f t="shared" si="14"/>
        <v>100</v>
      </c>
      <c r="X45" s="1812"/>
      <c r="Y45" s="3220"/>
      <c r="Z45" s="1813">
        <f t="shared" si="15"/>
        <v>111</v>
      </c>
      <c r="AA45" s="1810">
        <f t="shared" si="3"/>
        <v>1</v>
      </c>
      <c r="AB45" s="1810">
        <f t="shared" si="4"/>
        <v>1</v>
      </c>
      <c r="AC45" s="1810">
        <f t="shared" si="5"/>
        <v>1</v>
      </c>
    </row>
    <row r="46" spans="1:29" ht="15.6"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9"/>
      <c r="Q46" s="1809">
        <f t="shared" si="11"/>
        <v>111</v>
      </c>
      <c r="R46" s="774" t="s">
        <v>17</v>
      </c>
      <c r="S46" s="775">
        <f t="shared" si="12"/>
        <v>100</v>
      </c>
      <c r="T46" s="774" t="s">
        <v>17</v>
      </c>
      <c r="U46" s="775">
        <f t="shared" si="13"/>
        <v>100</v>
      </c>
      <c r="V46" s="774" t="s">
        <v>17</v>
      </c>
      <c r="W46" s="775">
        <f t="shared" si="14"/>
        <v>100</v>
      </c>
      <c r="X46" s="1812"/>
      <c r="Y46" s="3221"/>
      <c r="Z46" s="1813">
        <f t="shared" si="15"/>
        <v>111</v>
      </c>
      <c r="AA46" s="1810">
        <f t="shared" si="3"/>
        <v>1</v>
      </c>
      <c r="AB46" s="1810">
        <f t="shared" si="4"/>
        <v>1</v>
      </c>
      <c r="AC46" s="1810">
        <f t="shared" si="5"/>
        <v>1</v>
      </c>
    </row>
    <row r="47" spans="1:29" ht="14.4">
      <c r="A47" s="479" t="s">
        <v>2577</v>
      </c>
      <c r="B47" s="480"/>
      <c r="C47" s="1406" t="s">
        <v>1</v>
      </c>
      <c r="D47" s="1407"/>
      <c r="E47" s="1408"/>
      <c r="F47" s="1409"/>
      <c r="G47" s="1410"/>
      <c r="H47" s="1411"/>
      <c r="I47" s="1408"/>
      <c r="J47" s="1411"/>
      <c r="K47" s="783"/>
      <c r="L47" s="1143"/>
      <c r="M47" s="1144"/>
      <c r="N47" s="1131"/>
      <c r="O47" s="1144"/>
      <c r="P47" s="3213" t="str">
        <f>A47</f>
        <v>成交单价（元/平方米）</v>
      </c>
      <c r="Q47" s="3213"/>
      <c r="R47" s="3208">
        <f>E47</f>
        <v>0</v>
      </c>
      <c r="S47" s="3208"/>
      <c r="T47" s="3208">
        <f>G47</f>
        <v>0</v>
      </c>
      <c r="U47" s="3208"/>
      <c r="V47" s="3208">
        <f>I47</f>
        <v>0</v>
      </c>
      <c r="W47" s="3208"/>
      <c r="X47" s="759"/>
      <c r="Y47" s="781"/>
      <c r="Z47" s="759"/>
      <c r="AA47" s="759"/>
      <c r="AB47" s="759"/>
      <c r="AC47" s="759"/>
    </row>
    <row r="48" spans="1:29" ht="15" thickBot="1">
      <c r="A48" s="486" t="s">
        <v>2669</v>
      </c>
      <c r="B48" s="487"/>
      <c r="C48" s="1412" t="e">
        <f>R49</f>
        <v>#DIV/0!</v>
      </c>
      <c r="D48" s="1413"/>
      <c r="E48" s="1414" t="e">
        <f>R48</f>
        <v>#DIV/0!</v>
      </c>
      <c r="F48" s="1414"/>
      <c r="G48" s="1412" t="e">
        <f>T48</f>
        <v>#DIV/0!</v>
      </c>
      <c r="H48" s="1413"/>
      <c r="I48" s="1414" t="e">
        <f>V48</f>
        <v>#DIV/0!</v>
      </c>
      <c r="J48" s="1413"/>
      <c r="K48" s="784"/>
      <c r="L48" s="1143"/>
      <c r="M48" s="1144"/>
      <c r="N48" s="1131"/>
      <c r="O48" s="1144"/>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 thickBot="1">
      <c r="A49" s="492" t="s">
        <v>2670</v>
      </c>
      <c r="B49" s="493"/>
      <c r="C49" s="1416" t="e">
        <f>R49</f>
        <v>#DIV/0!</v>
      </c>
      <c r="D49" s="1416"/>
      <c r="E49" s="1416"/>
      <c r="F49" s="1416"/>
      <c r="G49" s="1416"/>
      <c r="H49" s="1416"/>
      <c r="I49" s="1416"/>
      <c r="J49" s="1416"/>
      <c r="K49" s="785"/>
      <c r="L49" s="1143"/>
      <c r="M49" s="1144"/>
      <c r="N49" s="1131"/>
      <c r="O49" s="1144"/>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2674</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4.4">
      <c r="A58" s="505" t="s">
        <v>2548</v>
      </c>
      <c r="B58" s="506"/>
      <c r="C58" s="1573" t="str">
        <f>YEAR(C7)&amp;"-"&amp;MONTH(C7)</f>
        <v>2019-12</v>
      </c>
      <c r="D58" s="1574">
        <f>EDATE(C58,-1)</f>
        <v>43770</v>
      </c>
      <c r="E58" s="1574">
        <f t="shared" ref="E58:N58" si="16">EDATE(D58,-1)</f>
        <v>43739</v>
      </c>
      <c r="F58" s="1574">
        <f t="shared" si="16"/>
        <v>43709</v>
      </c>
      <c r="G58" s="1574">
        <f t="shared" si="16"/>
        <v>43678</v>
      </c>
      <c r="H58" s="1574">
        <f t="shared" si="16"/>
        <v>43647</v>
      </c>
      <c r="I58" s="1574">
        <f t="shared" si="16"/>
        <v>43617</v>
      </c>
      <c r="J58" s="1574">
        <f t="shared" si="16"/>
        <v>43586</v>
      </c>
      <c r="K58" s="1574">
        <f t="shared" si="16"/>
        <v>43556</v>
      </c>
      <c r="L58" s="1574">
        <f t="shared" si="16"/>
        <v>43525</v>
      </c>
      <c r="M58" s="1574">
        <f t="shared" si="16"/>
        <v>43497</v>
      </c>
      <c r="N58" s="1574">
        <f t="shared" si="16"/>
        <v>43466</v>
      </c>
      <c r="O58" s="1574">
        <f>EDATE(N58,-1)</f>
        <v>43435</v>
      </c>
      <c r="P58" s="1569"/>
    </row>
    <row r="59" spans="1:29" s="117" customFormat="1">
      <c r="A59" s="509"/>
      <c r="B59" s="510"/>
      <c r="C59" s="1572">
        <v>100</v>
      </c>
      <c r="D59" s="512"/>
      <c r="E59" s="512"/>
      <c r="F59" s="512"/>
      <c r="G59" s="512"/>
      <c r="H59" s="512"/>
      <c r="I59" s="512"/>
      <c r="J59" s="512"/>
      <c r="K59" s="512"/>
      <c r="L59" s="512"/>
      <c r="M59" s="513"/>
      <c r="N59" s="512"/>
      <c r="O59" s="513"/>
      <c r="P59" s="2629"/>
    </row>
    <row r="60" spans="1:29" s="117" customFormat="1" ht="15" thickBot="1">
      <c r="A60" s="515" t="s">
        <v>2585</v>
      </c>
      <c r="B60" s="516"/>
      <c r="C60" s="517"/>
      <c r="D60" s="518"/>
      <c r="E60" s="518"/>
      <c r="F60" s="518"/>
      <c r="G60" s="518"/>
      <c r="H60" s="518"/>
      <c r="I60" s="518"/>
      <c r="J60" s="518"/>
      <c r="K60" s="518"/>
      <c r="L60" s="518"/>
      <c r="M60" s="519"/>
      <c r="N60" s="518"/>
      <c r="O60" s="519"/>
      <c r="P60" s="2629"/>
      <c r="Q60" s="504"/>
    </row>
    <row r="61" spans="1:29" s="117" customFormat="1" ht="14.4">
      <c r="A61" s="521" t="s">
        <v>2550</v>
      </c>
      <c r="B61" s="510"/>
      <c r="C61" s="522" t="s">
        <v>2652</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2588</v>
      </c>
      <c r="B63" s="528" t="s">
        <v>2554</v>
      </c>
      <c r="C63" s="529">
        <f>C9</f>
        <v>0</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1"/>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36"/>
      <c r="E73" s="536"/>
      <c r="F73" s="536"/>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2"/>
      <c r="O76" s="1152"/>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2"/>
      <c r="O78" s="1152"/>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2"/>
      <c r="O80" s="1152"/>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 thickTop="1">
      <c r="A82" s="534"/>
      <c r="B82" s="546" t="s">
        <v>2655</v>
      </c>
      <c r="C82" s="660" t="s">
        <v>2675</v>
      </c>
      <c r="D82" s="660" t="s">
        <v>2676</v>
      </c>
      <c r="E82" s="660" t="s">
        <v>2677</v>
      </c>
      <c r="F82" s="660" t="s">
        <v>2678</v>
      </c>
      <c r="G82" s="660" t="s">
        <v>2679</v>
      </c>
      <c r="H82" s="539"/>
      <c r="I82" s="539"/>
      <c r="J82" s="539"/>
      <c r="K82" s="539"/>
      <c r="L82" s="539"/>
      <c r="M82" s="1381"/>
      <c r="N82" s="1153"/>
      <c r="O82" s="1153"/>
      <c r="P82" s="2631"/>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1"/>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2"/>
      <c r="O84" s="1152"/>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2680</v>
      </c>
      <c r="C86" s="554"/>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1"/>
      <c r="Q87" s="504"/>
    </row>
    <row r="88" spans="1:17" s="117" customFormat="1" ht="14.4"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4.4" thickBot="1">
      <c r="A89" s="579"/>
      <c r="B89" s="543"/>
      <c r="C89" s="560"/>
      <c r="D89" s="536"/>
      <c r="E89" s="536"/>
      <c r="F89" s="536"/>
      <c r="G89" s="536"/>
      <c r="H89" s="536"/>
      <c r="I89" s="536"/>
      <c r="J89" s="536"/>
      <c r="K89" s="536"/>
      <c r="L89" s="536"/>
      <c r="M89" s="536"/>
      <c r="N89" s="1153"/>
      <c r="O89" s="1153"/>
      <c r="P89" s="2631"/>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2"/>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4.4" thickTop="1">
      <c r="A92" s="534"/>
      <c r="B92" s="538" t="str">
        <f>B28</f>
        <v>楼层</v>
      </c>
      <c r="C92" s="554"/>
      <c r="D92" s="554"/>
      <c r="E92" s="554"/>
      <c r="F92" s="554"/>
      <c r="G92" s="554"/>
      <c r="H92" s="554"/>
      <c r="I92" s="554"/>
      <c r="J92" s="554"/>
      <c r="K92" s="554"/>
      <c r="L92" s="580"/>
      <c r="M92" s="581"/>
      <c r="N92" s="1152"/>
      <c r="O92" s="1152"/>
      <c r="P92" s="2631"/>
      <c r="Q92" s="504"/>
    </row>
    <row r="93" spans="1:17" ht="14.4" thickBot="1">
      <c r="A93" s="534"/>
      <c r="B93" s="543"/>
      <c r="C93" s="536"/>
      <c r="D93" s="536"/>
      <c r="E93" s="536"/>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36"/>
      <c r="E95" s="536"/>
      <c r="F95" s="536"/>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60"/>
      <c r="D97" s="536"/>
      <c r="E97" s="536"/>
      <c r="F97" s="536"/>
      <c r="G97" s="536"/>
      <c r="H97" s="536"/>
      <c r="I97" s="536"/>
      <c r="J97" s="536"/>
      <c r="K97" s="536"/>
      <c r="L97" s="536"/>
      <c r="M97" s="537"/>
      <c r="N97" s="1153"/>
      <c r="O97" s="1153"/>
      <c r="P97" s="2631"/>
      <c r="Q97" s="504"/>
    </row>
    <row r="98" spans="1:17" ht="14.4" thickTop="1">
      <c r="A98" s="534"/>
      <c r="B98" s="546">
        <f>B31</f>
        <v>111</v>
      </c>
      <c r="C98" s="554"/>
      <c r="D98" s="554"/>
      <c r="E98" s="554"/>
      <c r="F98" s="554"/>
      <c r="G98" s="587"/>
      <c r="H98" s="587"/>
      <c r="I98" s="587"/>
      <c r="J98" s="587"/>
      <c r="K98" s="588"/>
      <c r="L98" s="589"/>
      <c r="M98" s="590"/>
      <c r="N98" s="1152"/>
      <c r="O98" s="1152"/>
      <c r="P98" s="2631"/>
      <c r="Q98" s="504"/>
    </row>
    <row r="99" spans="1:17" ht="14.4" thickBot="1">
      <c r="A99" s="2637"/>
      <c r="B99" s="569"/>
      <c r="C99" s="570"/>
      <c r="D99" s="570"/>
      <c r="E99" s="570"/>
      <c r="F99" s="570"/>
      <c r="G99" s="591"/>
      <c r="H99" s="591"/>
      <c r="I99" s="591"/>
      <c r="J99" s="591"/>
      <c r="K99" s="591"/>
      <c r="L99" s="591"/>
      <c r="M99" s="592"/>
      <c r="N99" s="1153"/>
      <c r="O99" s="1153"/>
      <c r="P99" s="2631"/>
      <c r="Q99" s="504"/>
    </row>
    <row r="100" spans="1:17" ht="14.4">
      <c r="A100" s="527" t="s">
        <v>2563</v>
      </c>
      <c r="B100" s="528" t="s">
        <v>2681</v>
      </c>
      <c r="C100" s="530"/>
      <c r="D100" s="530"/>
      <c r="E100" s="530"/>
      <c r="F100" s="530"/>
      <c r="G100" s="530"/>
      <c r="H100" s="530"/>
      <c r="I100" s="530"/>
      <c r="J100" s="530"/>
      <c r="K100" s="531"/>
      <c r="L100" s="532"/>
      <c r="M100" s="533"/>
      <c r="N100" s="1152"/>
      <c r="O100" s="1152"/>
      <c r="P100" s="2631"/>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1"/>
      <c r="Q101" s="504"/>
    </row>
    <row r="102" spans="1:17" ht="1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2"/>
      <c r="Q104" s="559"/>
    </row>
    <row r="105" spans="1:17" ht="15" thickTop="1">
      <c r="A105" s="599"/>
      <c r="B105" s="538" t="s">
        <v>2614</v>
      </c>
      <c r="C105" s="554"/>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5" thickTop="1">
      <c r="A107" s="599"/>
      <c r="B107" s="538" t="s">
        <v>2616</v>
      </c>
      <c r="C107" s="554"/>
      <c r="D107" s="554"/>
      <c r="E107" s="554"/>
      <c r="F107" s="583"/>
      <c r="G107" s="583"/>
      <c r="H107" s="583"/>
      <c r="I107" s="583"/>
      <c r="J107" s="583"/>
      <c r="K107" s="584"/>
      <c r="L107" s="585"/>
      <c r="M107" s="586"/>
      <c r="N107" s="1152"/>
      <c r="O107" s="1152"/>
      <c r="P107" s="2631"/>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1"/>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2"/>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2682</v>
      </c>
      <c r="C114" s="554"/>
      <c r="D114" s="554"/>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2683</v>
      </c>
      <c r="C116" s="554"/>
      <c r="D116" s="554"/>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2684</v>
      </c>
      <c r="C118" s="627"/>
      <c r="D118" s="627"/>
      <c r="E118" s="627"/>
      <c r="F118" s="627"/>
      <c r="G118" s="627"/>
      <c r="H118" s="555"/>
      <c r="I118" s="555"/>
      <c r="J118" s="555"/>
      <c r="K118" s="555"/>
      <c r="L118" s="556"/>
      <c r="M118" s="557"/>
      <c r="N118" s="1152"/>
      <c r="O118" s="1152"/>
      <c r="P118" s="2631"/>
      <c r="Q118" s="504"/>
    </row>
    <row r="119" spans="1:17" ht="14.4"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2"/>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2620</v>
      </c>
      <c r="C122" s="554"/>
      <c r="D122" s="554"/>
      <c r="E122" s="554"/>
      <c r="F122" s="583"/>
      <c r="G122" s="583"/>
      <c r="H122" s="583"/>
      <c r="I122" s="583"/>
      <c r="J122" s="583"/>
      <c r="K122" s="584"/>
      <c r="L122" s="585"/>
      <c r="M122" s="586"/>
      <c r="N122" s="1152"/>
      <c r="O122" s="1152"/>
      <c r="P122" s="2631"/>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1"/>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36"/>
      <c r="E129" s="536"/>
      <c r="F129" s="536"/>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2528</v>
      </c>
      <c r="B1" s="2670" t="s">
        <v>2686</v>
      </c>
      <c r="C1" s="1619" t="s">
        <v>2530</v>
      </c>
      <c r="D1" s="1620"/>
      <c r="E1" s="1629"/>
      <c r="F1" s="2585"/>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IF(C2="——",ROUND(C50*D3/10000,0),ROUND(C50*D3/10000,0)-D2)</f>
        <v>#DIV/0!</v>
      </c>
      <c r="C2" s="2587"/>
      <c r="D2" s="1364" t="e">
        <f ca="1">SUMIF(INDIRECT("'"&amp;F2&amp;"'"&amp;"!A:A"),"承租人权益价值",INDIRECT("'"&amp;F2&amp;"'"&amp;"!c:c"))</f>
        <v>#REF!</v>
      </c>
      <c r="E2" s="2588" t="s">
        <v>2328</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102921.28</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30" t="s">
        <v>2651</v>
      </c>
      <c r="Q4" s="3231"/>
      <c r="R4" s="3225" t="s">
        <v>2647</v>
      </c>
      <c r="S4" s="3226"/>
      <c r="T4" s="3225" t="s">
        <v>2648</v>
      </c>
      <c r="U4" s="3226"/>
      <c r="V4" s="3234" t="s">
        <v>2649</v>
      </c>
      <c r="W4" s="3234"/>
      <c r="X4" s="2671"/>
      <c r="Y4" s="3225" t="s">
        <v>2651</v>
      </c>
      <c r="Z4" s="3226"/>
      <c r="AA4" s="3224" t="s">
        <v>2647</v>
      </c>
      <c r="AB4" s="3224" t="s">
        <v>2648</v>
      </c>
      <c r="AC4" s="3227" t="s">
        <v>2649</v>
      </c>
    </row>
    <row r="5" spans="1:29">
      <c r="A5" s="404"/>
      <c r="B5" s="405"/>
      <c r="C5" s="3189" t="s">
        <v>2542</v>
      </c>
      <c r="D5" s="3190"/>
      <c r="E5" s="3187" t="s">
        <v>2543</v>
      </c>
      <c r="F5" s="3188"/>
      <c r="G5" s="3189" t="s">
        <v>2544</v>
      </c>
      <c r="H5" s="3190"/>
      <c r="I5" s="3189" t="s">
        <v>2545</v>
      </c>
      <c r="J5" s="3190"/>
      <c r="K5" s="610"/>
      <c r="L5" s="1130"/>
      <c r="M5" s="1131"/>
      <c r="N5" s="1131"/>
      <c r="O5" s="1131"/>
      <c r="P5" s="3232"/>
      <c r="Q5" s="3203"/>
      <c r="R5" s="3185"/>
      <c r="S5" s="3186"/>
      <c r="T5" s="3185"/>
      <c r="U5" s="3186"/>
      <c r="V5" s="3208"/>
      <c r="W5" s="3208"/>
      <c r="X5" s="1812"/>
      <c r="Y5" s="3185"/>
      <c r="Z5" s="3186"/>
      <c r="AA5" s="3179"/>
      <c r="AB5" s="3179"/>
      <c r="AC5" s="3228"/>
    </row>
    <row r="6" spans="1:29" ht="15" thickBot="1">
      <c r="A6" s="406"/>
      <c r="B6" s="407"/>
      <c r="C6" s="3191" t="s">
        <v>2546</v>
      </c>
      <c r="D6" s="3192"/>
      <c r="E6" s="3193" t="s">
        <v>2546</v>
      </c>
      <c r="F6" s="3194"/>
      <c r="G6" s="3191" t="s">
        <v>2546</v>
      </c>
      <c r="H6" s="3192"/>
      <c r="I6" s="3191" t="s">
        <v>2546</v>
      </c>
      <c r="J6" s="3192"/>
      <c r="K6" s="610" t="s">
        <v>2547</v>
      </c>
      <c r="L6" s="1130"/>
      <c r="M6" s="1131"/>
      <c r="N6" s="1131"/>
      <c r="O6" s="1131"/>
      <c r="P6" s="3233"/>
      <c r="Q6" s="3205"/>
      <c r="R6" s="3185"/>
      <c r="S6" s="3186"/>
      <c r="T6" s="3206"/>
      <c r="U6" s="3207"/>
      <c r="V6" s="3208"/>
      <c r="W6" s="3208"/>
      <c r="X6" s="1812"/>
      <c r="Y6" s="3206"/>
      <c r="Z6" s="3207"/>
      <c r="AA6" s="3180"/>
      <c r="AB6" s="3180"/>
      <c r="AC6" s="3229"/>
    </row>
    <row r="7" spans="1:29" s="117" customFormat="1" ht="15" thickBot="1">
      <c r="A7" s="408" t="s">
        <v>2548</v>
      </c>
      <c r="B7" s="409"/>
      <c r="C7" s="410">
        <f>'数据-取费表'!B2</f>
        <v>43802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5" t="s">
        <v>2549</v>
      </c>
      <c r="Q7" s="3209"/>
      <c r="R7" s="770" t="s">
        <v>17</v>
      </c>
      <c r="S7" s="771">
        <f t="shared" ref="S7:S15" si="0">F7</f>
        <v>0</v>
      </c>
      <c r="T7" s="770" t="s">
        <v>17</v>
      </c>
      <c r="U7" s="771">
        <f t="shared" ref="U7:U15" si="1">H7</f>
        <v>0</v>
      </c>
      <c r="V7" s="770" t="s">
        <v>17</v>
      </c>
      <c r="W7" s="771">
        <f t="shared" ref="W7:W15" si="2">J7</f>
        <v>0</v>
      </c>
      <c r="X7" s="772"/>
      <c r="Y7" s="3181" t="s">
        <v>2549</v>
      </c>
      <c r="Z7" s="3182"/>
      <c r="AA7" s="773" t="e">
        <f>D7/F7</f>
        <v>#DIV/0!</v>
      </c>
      <c r="AB7" s="773" t="e">
        <f>D7/H7</f>
        <v>#DIV/0!</v>
      </c>
      <c r="AC7" s="2672" t="e">
        <f>D7/J7</f>
        <v>#DIV/0!</v>
      </c>
    </row>
    <row r="8" spans="1:29" s="117" customFormat="1" ht="1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5" t="s">
        <v>2552</v>
      </c>
      <c r="Q8" s="3182"/>
      <c r="R8" s="770" t="s">
        <v>17</v>
      </c>
      <c r="S8" s="771">
        <f t="shared" si="0"/>
        <v>0</v>
      </c>
      <c r="T8" s="770" t="s">
        <v>17</v>
      </c>
      <c r="U8" s="771">
        <f t="shared" si="1"/>
        <v>0</v>
      </c>
      <c r="V8" s="770" t="s">
        <v>17</v>
      </c>
      <c r="W8" s="771">
        <f t="shared" si="2"/>
        <v>0</v>
      </c>
      <c r="X8" s="772"/>
      <c r="Y8" s="3181" t="s">
        <v>2552</v>
      </c>
      <c r="Z8" s="3182"/>
      <c r="AA8" s="773" t="e">
        <f t="shared" ref="AA8:AA47" si="3">D8/F8</f>
        <v>#DIV/0!</v>
      </c>
      <c r="AB8" s="773" t="e">
        <f t="shared" ref="AB8:AB47" si="4">D8/H8</f>
        <v>#DIV/0!</v>
      </c>
      <c r="AC8" s="2672" t="e">
        <f t="shared" ref="AC8:AC47" si="5">D8/J8</f>
        <v>#DIV/0!</v>
      </c>
    </row>
    <row r="9" spans="1:29" s="117" customFormat="1" ht="14.4">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5"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2672">
        <f t="shared" si="5"/>
        <v>1</v>
      </c>
    </row>
    <row r="10" spans="1:29" s="427" customFormat="1" ht="28.8">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5"/>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2672">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5"/>
      <c r="Q11" s="1794"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195"/>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195"/>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2672">
        <f t="shared" si="5"/>
        <v>1</v>
      </c>
    </row>
    <row r="14" spans="1:29" ht="15.6"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195"/>
      <c r="Q14" s="1794">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2672">
        <f t="shared" si="5"/>
        <v>1</v>
      </c>
    </row>
    <row r="15" spans="1:29" ht="69">
      <c r="A15" s="440" t="s">
        <v>2559</v>
      </c>
      <c r="B15" s="629" t="s">
        <v>2687</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2" t="s">
        <v>2560</v>
      </c>
      <c r="Q15" s="1809" t="str">
        <f t="shared" si="6"/>
        <v>办公集聚程度</v>
      </c>
      <c r="R15" s="774" t="s">
        <v>17</v>
      </c>
      <c r="S15" s="775">
        <f t="shared" si="0"/>
        <v>100</v>
      </c>
      <c r="T15" s="774" t="s">
        <v>17</v>
      </c>
      <c r="U15" s="775">
        <f t="shared" si="1"/>
        <v>100</v>
      </c>
      <c r="V15" s="774" t="s">
        <v>17</v>
      </c>
      <c r="W15" s="775">
        <f t="shared" si="2"/>
        <v>100</v>
      </c>
      <c r="X15" s="1812"/>
      <c r="Y15" s="3215" t="s">
        <v>2560</v>
      </c>
      <c r="Z15" s="1813" t="str">
        <f t="shared" si="7"/>
        <v>办公集聚程度</v>
      </c>
      <c r="AA15" s="1810">
        <f t="shared" si="3"/>
        <v>1</v>
      </c>
      <c r="AB15" s="1810">
        <f t="shared" si="4"/>
        <v>1</v>
      </c>
      <c r="AC15" s="2675">
        <f t="shared" si="5"/>
        <v>1</v>
      </c>
    </row>
    <row r="16" spans="1:29" ht="15">
      <c r="A16" s="428"/>
      <c r="B16" s="630"/>
      <c r="C16" s="2612"/>
      <c r="D16" s="448"/>
      <c r="E16" s="447"/>
      <c r="F16" s="448"/>
      <c r="G16" s="2612"/>
      <c r="H16" s="450"/>
      <c r="I16" s="447"/>
      <c r="J16" s="448"/>
      <c r="K16" s="615"/>
      <c r="L16" s="1140"/>
      <c r="M16" s="1131"/>
      <c r="N16" s="1131"/>
      <c r="O16" s="1131"/>
      <c r="P16" s="3223"/>
      <c r="Q16" s="1809"/>
      <c r="R16" s="774"/>
      <c r="S16" s="775"/>
      <c r="T16" s="774"/>
      <c r="U16" s="775"/>
      <c r="V16" s="774"/>
      <c r="W16" s="775"/>
      <c r="X16" s="1812"/>
      <c r="Y16" s="3216"/>
      <c r="Z16" s="1813"/>
      <c r="AA16" s="1810">
        <v>1</v>
      </c>
      <c r="AB16" s="1810">
        <v>1</v>
      </c>
      <c r="AC16" s="2675">
        <v>1</v>
      </c>
    </row>
    <row r="17" spans="1:29" ht="82.8">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3"/>
      <c r="Q17" s="1809" t="str">
        <f>B17</f>
        <v>交通便捷度</v>
      </c>
      <c r="R17" s="774" t="s">
        <v>17</v>
      </c>
      <c r="S17" s="775">
        <f>F17</f>
        <v>100</v>
      </c>
      <c r="T17" s="774" t="s">
        <v>17</v>
      </c>
      <c r="U17" s="775">
        <f>H17</f>
        <v>100</v>
      </c>
      <c r="V17" s="774" t="s">
        <v>17</v>
      </c>
      <c r="W17" s="775">
        <f>J17</f>
        <v>100</v>
      </c>
      <c r="X17" s="1812"/>
      <c r="Y17" s="3216"/>
      <c r="Z17" s="1813" t="str">
        <f>Q17</f>
        <v>交通便捷度</v>
      </c>
      <c r="AA17" s="1810">
        <f t="shared" si="3"/>
        <v>1</v>
      </c>
      <c r="AB17" s="1810">
        <f t="shared" si="4"/>
        <v>1</v>
      </c>
      <c r="AC17" s="2675">
        <f t="shared" si="5"/>
        <v>1</v>
      </c>
    </row>
    <row r="18" spans="1:29" ht="15">
      <c r="A18" s="428"/>
      <c r="B18" s="632"/>
      <c r="C18" s="2677"/>
      <c r="D18" s="450"/>
      <c r="E18" s="2610"/>
      <c r="F18" s="450"/>
      <c r="G18" s="2611"/>
      <c r="H18" s="448"/>
      <c r="I18" s="2611"/>
      <c r="J18" s="448"/>
      <c r="K18" s="615"/>
      <c r="L18" s="1140"/>
      <c r="M18" s="1131"/>
      <c r="N18" s="1131"/>
      <c r="O18" s="1131"/>
      <c r="P18" s="3223"/>
      <c r="Q18" s="1809"/>
      <c r="R18" s="774"/>
      <c r="S18" s="775"/>
      <c r="T18" s="774"/>
      <c r="U18" s="775"/>
      <c r="V18" s="774"/>
      <c r="W18" s="775"/>
      <c r="X18" s="1812"/>
      <c r="Y18" s="3216"/>
      <c r="Z18" s="1813"/>
      <c r="AA18" s="1810">
        <v>1</v>
      </c>
      <c r="AB18" s="1810">
        <v>1</v>
      </c>
      <c r="AC18" s="2675">
        <v>1</v>
      </c>
    </row>
    <row r="19" spans="1:29" ht="41.4">
      <c r="A19" s="428"/>
      <c r="B19" s="631" t="s">
        <v>2688</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3"/>
      <c r="Q19" s="1809" t="str">
        <f>B19</f>
        <v>公共配套设施</v>
      </c>
      <c r="R19" s="774" t="s">
        <v>17</v>
      </c>
      <c r="S19" s="775">
        <f>F19</f>
        <v>100</v>
      </c>
      <c r="T19" s="774" t="s">
        <v>17</v>
      </c>
      <c r="U19" s="775">
        <f>H19</f>
        <v>100</v>
      </c>
      <c r="V19" s="774" t="s">
        <v>17</v>
      </c>
      <c r="W19" s="775">
        <f>J19</f>
        <v>100</v>
      </c>
      <c r="X19" s="1812"/>
      <c r="Y19" s="3216"/>
      <c r="Z19" s="1813" t="str">
        <f>Q19</f>
        <v>公共配套设施</v>
      </c>
      <c r="AA19" s="1810">
        <f t="shared" si="3"/>
        <v>1</v>
      </c>
      <c r="AB19" s="1810">
        <f t="shared" si="4"/>
        <v>1</v>
      </c>
      <c r="AC19" s="2675">
        <f t="shared" si="5"/>
        <v>1</v>
      </c>
    </row>
    <row r="20" spans="1:29" ht="15">
      <c r="A20" s="428"/>
      <c r="B20" s="632"/>
      <c r="C20" s="2612"/>
      <c r="D20" s="448"/>
      <c r="E20" s="2605"/>
      <c r="F20" s="448"/>
      <c r="G20" s="2606"/>
      <c r="H20" s="448"/>
      <c r="I20" s="2606"/>
      <c r="J20" s="448"/>
      <c r="K20" s="615"/>
      <c r="L20" s="1140"/>
      <c r="M20" s="1131"/>
      <c r="N20" s="1131"/>
      <c r="O20" s="1131"/>
      <c r="P20" s="3223"/>
      <c r="Q20" s="1809"/>
      <c r="R20" s="774"/>
      <c r="S20" s="775"/>
      <c r="T20" s="774"/>
      <c r="U20" s="775"/>
      <c r="V20" s="774"/>
      <c r="W20" s="775"/>
      <c r="X20" s="1812"/>
      <c r="Y20" s="3216"/>
      <c r="Z20" s="1813"/>
      <c r="AA20" s="1810">
        <v>1</v>
      </c>
      <c r="AB20" s="1810">
        <v>1</v>
      </c>
      <c r="AC20" s="2675">
        <v>1</v>
      </c>
    </row>
    <row r="21" spans="1:29" ht="27.6">
      <c r="A21" s="428"/>
      <c r="B21" s="633" t="s">
        <v>2689</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3"/>
      <c r="Q21" s="1809" t="str">
        <f>B21</f>
        <v>基础设施水平</v>
      </c>
      <c r="R21" s="774" t="s">
        <v>17</v>
      </c>
      <c r="S21" s="775">
        <f>F21</f>
        <v>100</v>
      </c>
      <c r="T21" s="774" t="s">
        <v>17</v>
      </c>
      <c r="U21" s="775">
        <f>H21</f>
        <v>100</v>
      </c>
      <c r="V21" s="774" t="s">
        <v>17</v>
      </c>
      <c r="W21" s="775">
        <f>J21</f>
        <v>100</v>
      </c>
      <c r="X21" s="1812"/>
      <c r="Y21" s="3216"/>
      <c r="Z21" s="1813" t="str">
        <f>Q21</f>
        <v>基础设施水平</v>
      </c>
      <c r="AA21" s="1810">
        <f t="shared" ref="AA21" si="8">D21/F21</f>
        <v>1</v>
      </c>
      <c r="AB21" s="1810">
        <f t="shared" ref="AB21" si="9">D21/H21</f>
        <v>1</v>
      </c>
      <c r="AC21" s="2675">
        <f t="shared" ref="AC21" si="10">D21/J21</f>
        <v>1</v>
      </c>
    </row>
    <row r="22" spans="1:29" ht="15">
      <c r="A22" s="428"/>
      <c r="B22" s="633"/>
      <c r="C22" s="2677"/>
      <c r="D22" s="448"/>
      <c r="E22" s="447"/>
      <c r="F22" s="448"/>
      <c r="G22" s="2612"/>
      <c r="H22" s="448"/>
      <c r="I22" s="2612"/>
      <c r="J22" s="448"/>
      <c r="K22" s="1382"/>
      <c r="L22" s="1140"/>
      <c r="M22" s="1131"/>
      <c r="N22" s="1131"/>
      <c r="O22" s="1131"/>
      <c r="P22" s="3223"/>
      <c r="Q22" s="1809"/>
      <c r="R22" s="774"/>
      <c r="S22" s="775"/>
      <c r="T22" s="774"/>
      <c r="U22" s="775"/>
      <c r="V22" s="774"/>
      <c r="W22" s="775"/>
      <c r="X22" s="1812"/>
      <c r="Y22" s="3216"/>
      <c r="Z22" s="1813"/>
      <c r="AA22" s="1810">
        <v>1</v>
      </c>
      <c r="AB22" s="1810">
        <v>1</v>
      </c>
      <c r="AC22" s="2675">
        <v>1</v>
      </c>
    </row>
    <row r="23" spans="1:29" ht="55.2">
      <c r="A23" s="428"/>
      <c r="B23" s="631" t="s">
        <v>2690</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3"/>
      <c r="Q23" s="1809" t="str">
        <f>B23</f>
        <v>环境质量</v>
      </c>
      <c r="R23" s="774" t="s">
        <v>17</v>
      </c>
      <c r="S23" s="775">
        <f>F23</f>
        <v>100</v>
      </c>
      <c r="T23" s="774" t="s">
        <v>17</v>
      </c>
      <c r="U23" s="775">
        <f>H23</f>
        <v>100</v>
      </c>
      <c r="V23" s="774" t="s">
        <v>17</v>
      </c>
      <c r="W23" s="775">
        <f>J23</f>
        <v>100</v>
      </c>
      <c r="X23" s="1812"/>
      <c r="Y23" s="3216"/>
      <c r="Z23" s="1813" t="str">
        <f>Q23</f>
        <v>环境质量</v>
      </c>
      <c r="AA23" s="1810">
        <f t="shared" si="3"/>
        <v>1</v>
      </c>
      <c r="AB23" s="1810">
        <f t="shared" si="4"/>
        <v>1</v>
      </c>
      <c r="AC23" s="2675">
        <f t="shared" si="5"/>
        <v>1</v>
      </c>
    </row>
    <row r="24" spans="1:29" ht="15">
      <c r="A24" s="428"/>
      <c r="B24" s="633"/>
      <c r="C24" s="2612"/>
      <c r="D24" s="448"/>
      <c r="E24" s="2605"/>
      <c r="F24" s="448"/>
      <c r="G24" s="2606"/>
      <c r="H24" s="448"/>
      <c r="I24" s="2606"/>
      <c r="J24" s="448"/>
      <c r="K24" s="615"/>
      <c r="L24" s="1140"/>
      <c r="M24" s="1131"/>
      <c r="N24" s="1131"/>
      <c r="O24" s="1131"/>
      <c r="P24" s="3223"/>
      <c r="Q24" s="1809"/>
      <c r="R24" s="774"/>
      <c r="S24" s="775"/>
      <c r="T24" s="774"/>
      <c r="U24" s="775"/>
      <c r="V24" s="774"/>
      <c r="W24" s="775"/>
      <c r="X24" s="1812"/>
      <c r="Y24" s="3216"/>
      <c r="Z24" s="1813"/>
      <c r="AA24" s="1810">
        <v>1</v>
      </c>
      <c r="AB24" s="1810">
        <v>1</v>
      </c>
      <c r="AC24" s="2675">
        <v>1</v>
      </c>
    </row>
    <row r="25" spans="1:29" ht="28.8">
      <c r="A25" s="404"/>
      <c r="B25" s="631" t="s">
        <v>2691</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223"/>
      <c r="Q25" s="1809" t="str">
        <f>B25</f>
        <v>毗邻道路的类型与等级</v>
      </c>
      <c r="R25" s="774" t="s">
        <v>17</v>
      </c>
      <c r="S25" s="775">
        <f>F25</f>
        <v>100</v>
      </c>
      <c r="T25" s="774" t="s">
        <v>17</v>
      </c>
      <c r="U25" s="775">
        <f>H25</f>
        <v>100</v>
      </c>
      <c r="V25" s="774" t="s">
        <v>17</v>
      </c>
      <c r="W25" s="775">
        <f>J25</f>
        <v>100</v>
      </c>
      <c r="X25" s="1812"/>
      <c r="Y25" s="3216"/>
      <c r="Z25" s="1813" t="str">
        <f>Q25</f>
        <v>毗邻道路的类型与等级</v>
      </c>
      <c r="AA25" s="1810">
        <f t="shared" si="3"/>
        <v>1</v>
      </c>
      <c r="AB25" s="1810">
        <f t="shared" si="4"/>
        <v>1</v>
      </c>
      <c r="AC25" s="2675">
        <f t="shared" si="5"/>
        <v>1</v>
      </c>
    </row>
    <row r="26" spans="1:29" ht="15">
      <c r="A26" s="404"/>
      <c r="B26" s="632"/>
      <c r="C26" s="634"/>
      <c r="D26" s="435"/>
      <c r="E26" s="616"/>
      <c r="F26" s="435"/>
      <c r="G26" s="634"/>
      <c r="H26" s="435"/>
      <c r="I26" s="616"/>
      <c r="J26" s="435"/>
      <c r="K26" s="615"/>
      <c r="L26" s="1140"/>
      <c r="M26" s="1131"/>
      <c r="N26" s="1131"/>
      <c r="O26" s="1131"/>
      <c r="P26" s="3223"/>
      <c r="Q26" s="1809"/>
      <c r="R26" s="774"/>
      <c r="S26" s="775"/>
      <c r="T26" s="774"/>
      <c r="U26" s="775"/>
      <c r="V26" s="774"/>
      <c r="W26" s="775"/>
      <c r="X26" s="1812"/>
      <c r="Y26" s="3216"/>
      <c r="Z26" s="1813"/>
      <c r="AA26" s="1810">
        <v>1</v>
      </c>
      <c r="AB26" s="1810">
        <v>1</v>
      </c>
      <c r="AC26" s="2675">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3"/>
      <c r="Q27" s="1809" t="str">
        <f t="shared" ref="Q27:Q47" si="11">B27</f>
        <v>楼层</v>
      </c>
      <c r="R27" s="774" t="s">
        <v>17</v>
      </c>
      <c r="S27" s="775">
        <f>F27</f>
        <v>100</v>
      </c>
      <c r="T27" s="774" t="s">
        <v>17</v>
      </c>
      <c r="U27" s="775">
        <f>H27</f>
        <v>100</v>
      </c>
      <c r="V27" s="774" t="s">
        <v>17</v>
      </c>
      <c r="W27" s="775">
        <f>J27</f>
        <v>100</v>
      </c>
      <c r="X27" s="1812"/>
      <c r="Y27" s="3216"/>
      <c r="Z27" s="1813" t="str">
        <f>Q27</f>
        <v>楼层</v>
      </c>
      <c r="AA27" s="1810">
        <f t="shared" si="3"/>
        <v>1</v>
      </c>
      <c r="AB27" s="1810">
        <f t="shared" si="4"/>
        <v>1</v>
      </c>
      <c r="AC27" s="2675">
        <f t="shared" si="5"/>
        <v>1</v>
      </c>
    </row>
    <row r="28" spans="1:29" s="117" customFormat="1" ht="15">
      <c r="A28" s="431"/>
      <c r="B28" s="631" t="s">
        <v>2692</v>
      </c>
      <c r="C28" s="2678"/>
      <c r="D28" s="462">
        <v>100</v>
      </c>
      <c r="E28" s="2666"/>
      <c r="F28" s="462">
        <f>SUMIF(91:91,E28,92:92)-SUMIF(91:91,C28,92:92)+100</f>
        <v>100</v>
      </c>
      <c r="G28" s="2678"/>
      <c r="H28" s="462">
        <f>SUMIF(91:91,G28,92:92)-SUMIF(91:91,C28,92:92)+100</f>
        <v>100</v>
      </c>
      <c r="I28" s="2666"/>
      <c r="J28" s="462">
        <f>SUMIF(91:91,I28,92:92)-SUMIF(91:91,C28,92:92)+100</f>
        <v>100</v>
      </c>
      <c r="K28" s="612"/>
      <c r="L28" s="1132"/>
      <c r="M28" s="1133"/>
      <c r="N28" s="1133"/>
      <c r="O28" s="1133"/>
      <c r="P28" s="3223"/>
      <c r="Q28" s="1794" t="str">
        <f t="shared" si="11"/>
        <v>朝向</v>
      </c>
      <c r="R28" s="770" t="s">
        <v>17</v>
      </c>
      <c r="S28" s="771">
        <f>F28</f>
        <v>100</v>
      </c>
      <c r="T28" s="770" t="s">
        <v>17</v>
      </c>
      <c r="U28" s="771">
        <f>H28</f>
        <v>100</v>
      </c>
      <c r="V28" s="770" t="s">
        <v>17</v>
      </c>
      <c r="W28" s="771">
        <f>J28</f>
        <v>100</v>
      </c>
      <c r="X28" s="772"/>
      <c r="Y28" s="3216"/>
      <c r="Z28" s="55" t="str">
        <f>Q28</f>
        <v>朝向</v>
      </c>
      <c r="AA28" s="1810">
        <f>D28/F28</f>
        <v>1</v>
      </c>
      <c r="AB28" s="1810">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223"/>
      <c r="Q29" s="1809">
        <f t="shared" si="11"/>
        <v>111</v>
      </c>
      <c r="R29" s="774" t="s">
        <v>17</v>
      </c>
      <c r="S29" s="775">
        <f t="shared" ref="S29:S47" si="12">F29</f>
        <v>100</v>
      </c>
      <c r="T29" s="774" t="s">
        <v>17</v>
      </c>
      <c r="U29" s="775">
        <f t="shared" ref="U29:U47" si="13">H29</f>
        <v>100</v>
      </c>
      <c r="V29" s="774" t="s">
        <v>17</v>
      </c>
      <c r="W29" s="775">
        <f t="shared" ref="W29:W47" si="14">J29</f>
        <v>100</v>
      </c>
      <c r="X29" s="1812"/>
      <c r="Y29" s="3216"/>
      <c r="Z29" s="1813">
        <f t="shared" ref="Z29:Z47" si="15">Q29</f>
        <v>111</v>
      </c>
      <c r="AA29" s="1810">
        <f t="shared" si="3"/>
        <v>1</v>
      </c>
      <c r="AB29" s="1810">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223"/>
      <c r="Q30" s="1809">
        <f t="shared" si="11"/>
        <v>111</v>
      </c>
      <c r="R30" s="774" t="s">
        <v>17</v>
      </c>
      <c r="S30" s="775">
        <f t="shared" si="12"/>
        <v>100</v>
      </c>
      <c r="T30" s="774" t="s">
        <v>17</v>
      </c>
      <c r="U30" s="775">
        <f t="shared" si="13"/>
        <v>100</v>
      </c>
      <c r="V30" s="774" t="s">
        <v>17</v>
      </c>
      <c r="W30" s="775">
        <f t="shared" si="14"/>
        <v>100</v>
      </c>
      <c r="X30" s="1812"/>
      <c r="Y30" s="3216"/>
      <c r="Z30" s="1813">
        <f t="shared" si="15"/>
        <v>111</v>
      </c>
      <c r="AA30" s="1810">
        <f t="shared" si="3"/>
        <v>1</v>
      </c>
      <c r="AB30" s="1810">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223"/>
      <c r="Q31" s="1809">
        <f t="shared" si="11"/>
        <v>111</v>
      </c>
      <c r="R31" s="774" t="s">
        <v>17</v>
      </c>
      <c r="S31" s="775">
        <f t="shared" si="12"/>
        <v>100</v>
      </c>
      <c r="T31" s="774" t="s">
        <v>17</v>
      </c>
      <c r="U31" s="775">
        <f t="shared" si="13"/>
        <v>100</v>
      </c>
      <c r="V31" s="774" t="s">
        <v>17</v>
      </c>
      <c r="W31" s="775">
        <f t="shared" si="14"/>
        <v>100</v>
      </c>
      <c r="X31" s="1812"/>
      <c r="Y31" s="3216"/>
      <c r="Z31" s="1813">
        <f t="shared" si="15"/>
        <v>111</v>
      </c>
      <c r="AA31" s="1810">
        <f t="shared" si="3"/>
        <v>1</v>
      </c>
      <c r="AB31" s="1810">
        <f t="shared" si="4"/>
        <v>1</v>
      </c>
      <c r="AC31" s="2675">
        <f t="shared" si="5"/>
        <v>1</v>
      </c>
    </row>
    <row r="32" spans="1:29" ht="15.6"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223"/>
      <c r="Q32" s="1809">
        <f t="shared" si="11"/>
        <v>111</v>
      </c>
      <c r="R32" s="774" t="s">
        <v>17</v>
      </c>
      <c r="S32" s="775">
        <f t="shared" si="12"/>
        <v>100</v>
      </c>
      <c r="T32" s="774" t="s">
        <v>17</v>
      </c>
      <c r="U32" s="775">
        <f t="shared" si="13"/>
        <v>100</v>
      </c>
      <c r="V32" s="774" t="s">
        <v>17</v>
      </c>
      <c r="W32" s="775">
        <f t="shared" si="14"/>
        <v>100</v>
      </c>
      <c r="X32" s="1812"/>
      <c r="Y32" s="3216"/>
      <c r="Z32" s="1813">
        <f t="shared" si="15"/>
        <v>111</v>
      </c>
      <c r="AA32" s="1810">
        <f t="shared" si="3"/>
        <v>1</v>
      </c>
      <c r="AB32" s="1810">
        <f t="shared" si="4"/>
        <v>1</v>
      </c>
      <c r="AC32" s="2675">
        <f t="shared" si="5"/>
        <v>1</v>
      </c>
    </row>
    <row r="33" spans="1:29" ht="15">
      <c r="A33" s="440" t="s">
        <v>2563</v>
      </c>
      <c r="B33" s="71" t="s">
        <v>2693</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0"/>
      <c r="M33" s="1131"/>
      <c r="N33" s="1131"/>
      <c r="O33" s="1131"/>
      <c r="P33" s="3217" t="s">
        <v>2565</v>
      </c>
      <c r="Q33" s="1809" t="str">
        <f t="shared" si="11"/>
        <v>建筑类型</v>
      </c>
      <c r="R33" s="774" t="s">
        <v>17</v>
      </c>
      <c r="S33" s="775">
        <f t="shared" si="12"/>
        <v>100</v>
      </c>
      <c r="T33" s="774" t="s">
        <v>17</v>
      </c>
      <c r="U33" s="775">
        <f t="shared" si="13"/>
        <v>100</v>
      </c>
      <c r="V33" s="774" t="s">
        <v>17</v>
      </c>
      <c r="W33" s="775">
        <f t="shared" si="14"/>
        <v>100</v>
      </c>
      <c r="X33" s="1812"/>
      <c r="Y33" s="3220" t="s">
        <v>2565</v>
      </c>
      <c r="Z33" s="1813" t="str">
        <f t="shared" si="15"/>
        <v>建筑类型</v>
      </c>
      <c r="AA33" s="1810">
        <f t="shared" si="3"/>
        <v>1</v>
      </c>
      <c r="AB33" s="1810">
        <f t="shared" si="4"/>
        <v>1</v>
      </c>
      <c r="AC33" s="2675">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8"/>
      <c r="Q34" s="776" t="str">
        <f t="shared" si="11"/>
        <v>项目建筑规模</v>
      </c>
      <c r="R34" s="777" t="s">
        <v>17</v>
      </c>
      <c r="S34" s="778" t="e">
        <f t="shared" si="12"/>
        <v>#N/A</v>
      </c>
      <c r="T34" s="777" t="s">
        <v>17</v>
      </c>
      <c r="U34" s="778" t="e">
        <f t="shared" si="13"/>
        <v>#N/A</v>
      </c>
      <c r="V34" s="777" t="s">
        <v>17</v>
      </c>
      <c r="W34" s="778" t="e">
        <f t="shared" si="14"/>
        <v>#N/A</v>
      </c>
      <c r="X34" s="779"/>
      <c r="Y34" s="3220"/>
      <c r="Z34" s="780" t="str">
        <f t="shared" si="15"/>
        <v>项目建筑规模</v>
      </c>
      <c r="AA34" s="1810" t="e">
        <f t="shared" si="3"/>
        <v>#N/A</v>
      </c>
      <c r="AB34" s="1810" t="e">
        <f t="shared" si="4"/>
        <v>#N/A</v>
      </c>
      <c r="AC34" s="2675"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8"/>
      <c r="Q35" s="1809" t="str">
        <f t="shared" si="11"/>
        <v>建筑结构</v>
      </c>
      <c r="R35" s="774" t="s">
        <v>17</v>
      </c>
      <c r="S35" s="775">
        <f t="shared" si="12"/>
        <v>100</v>
      </c>
      <c r="T35" s="774" t="s">
        <v>17</v>
      </c>
      <c r="U35" s="775">
        <f t="shared" si="13"/>
        <v>100</v>
      </c>
      <c r="V35" s="774" t="s">
        <v>17</v>
      </c>
      <c r="W35" s="775">
        <f t="shared" si="14"/>
        <v>100</v>
      </c>
      <c r="X35" s="1812"/>
      <c r="Y35" s="3220"/>
      <c r="Z35" s="1813" t="str">
        <f t="shared" si="15"/>
        <v>建筑结构</v>
      </c>
      <c r="AA35" s="1810">
        <f t="shared" si="3"/>
        <v>1</v>
      </c>
      <c r="AB35" s="1810">
        <f t="shared" si="4"/>
        <v>1</v>
      </c>
      <c r="AC35" s="2675">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8"/>
      <c r="Q36" s="1809" t="str">
        <f t="shared" si="11"/>
        <v>公共部分装修</v>
      </c>
      <c r="R36" s="774" t="s">
        <v>17</v>
      </c>
      <c r="S36" s="775">
        <f t="shared" si="12"/>
        <v>100</v>
      </c>
      <c r="T36" s="774" t="s">
        <v>17</v>
      </c>
      <c r="U36" s="775">
        <f t="shared" si="13"/>
        <v>100</v>
      </c>
      <c r="V36" s="774" t="s">
        <v>17</v>
      </c>
      <c r="W36" s="775">
        <f t="shared" si="14"/>
        <v>100</v>
      </c>
      <c r="X36" s="1812"/>
      <c r="Y36" s="3220"/>
      <c r="Z36" s="1813" t="str">
        <f t="shared" si="15"/>
        <v>公共部分装修</v>
      </c>
      <c r="AA36" s="1810">
        <f t="shared" si="3"/>
        <v>1</v>
      </c>
      <c r="AB36" s="1810">
        <f t="shared" si="4"/>
        <v>1</v>
      </c>
      <c r="AC36" s="2675">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8"/>
      <c r="Q37" s="1809" t="str">
        <f t="shared" si="11"/>
        <v>成新度</v>
      </c>
      <c r="R37" s="774" t="s">
        <v>17</v>
      </c>
      <c r="S37" s="775" t="e">
        <f t="shared" si="12"/>
        <v>#N/A</v>
      </c>
      <c r="T37" s="774" t="s">
        <v>17</v>
      </c>
      <c r="U37" s="775" t="e">
        <f t="shared" si="13"/>
        <v>#N/A</v>
      </c>
      <c r="V37" s="774" t="s">
        <v>17</v>
      </c>
      <c r="W37" s="775" t="e">
        <f t="shared" si="14"/>
        <v>#N/A</v>
      </c>
      <c r="X37" s="1812"/>
      <c r="Y37" s="3220"/>
      <c r="Z37" s="1813" t="str">
        <f t="shared" si="15"/>
        <v>成新度</v>
      </c>
      <c r="AA37" s="1810" t="e">
        <f t="shared" si="3"/>
        <v>#N/A</v>
      </c>
      <c r="AB37" s="1810" t="e">
        <f t="shared" si="4"/>
        <v>#N/A</v>
      </c>
      <c r="AC37" s="2675"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8"/>
      <c r="Q38" s="1794" t="str">
        <f t="shared" si="11"/>
        <v>写字楼等级</v>
      </c>
      <c r="R38" s="770" t="s">
        <v>17</v>
      </c>
      <c r="S38" s="771">
        <f t="shared" si="12"/>
        <v>100</v>
      </c>
      <c r="T38" s="770" t="s">
        <v>17</v>
      </c>
      <c r="U38" s="771">
        <f t="shared" si="13"/>
        <v>100</v>
      </c>
      <c r="V38" s="770" t="s">
        <v>17</v>
      </c>
      <c r="W38" s="771">
        <f t="shared" si="14"/>
        <v>100</v>
      </c>
      <c r="X38" s="772"/>
      <c r="Y38" s="3220"/>
      <c r="Z38" s="55" t="str">
        <f t="shared" si="15"/>
        <v>写字楼等级</v>
      </c>
      <c r="AA38" s="773">
        <f t="shared" si="3"/>
        <v>1</v>
      </c>
      <c r="AB38" s="773">
        <f t="shared" si="4"/>
        <v>1</v>
      </c>
      <c r="AC38" s="2672">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8" t="s">
        <v>2565</v>
      </c>
      <c r="Q39" s="1809" t="str">
        <f t="shared" si="11"/>
        <v>物业管理</v>
      </c>
      <c r="R39" s="774" t="s">
        <v>17</v>
      </c>
      <c r="S39" s="775">
        <f t="shared" si="12"/>
        <v>100</v>
      </c>
      <c r="T39" s="774" t="s">
        <v>17</v>
      </c>
      <c r="U39" s="775">
        <f t="shared" si="13"/>
        <v>100</v>
      </c>
      <c r="V39" s="774" t="s">
        <v>17</v>
      </c>
      <c r="W39" s="775">
        <f t="shared" si="14"/>
        <v>100</v>
      </c>
      <c r="X39" s="1812"/>
      <c r="Y39" s="3220" t="s">
        <v>2565</v>
      </c>
      <c r="Z39" s="1813" t="str">
        <f t="shared" si="15"/>
        <v>物业管理</v>
      </c>
      <c r="AA39" s="1810">
        <f t="shared" si="3"/>
        <v>1</v>
      </c>
      <c r="AB39" s="1810">
        <f t="shared" si="4"/>
        <v>1</v>
      </c>
      <c r="AC39" s="2675">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8"/>
      <c r="Q40" s="1809" t="str">
        <f t="shared" si="11"/>
        <v>市政基础设施</v>
      </c>
      <c r="R40" s="774" t="s">
        <v>17</v>
      </c>
      <c r="S40" s="775">
        <f t="shared" si="12"/>
        <v>100</v>
      </c>
      <c r="T40" s="774" t="s">
        <v>17</v>
      </c>
      <c r="U40" s="775">
        <f t="shared" si="13"/>
        <v>100</v>
      </c>
      <c r="V40" s="774" t="s">
        <v>17</v>
      </c>
      <c r="W40" s="775">
        <f t="shared" si="14"/>
        <v>100</v>
      </c>
      <c r="X40" s="1812"/>
      <c r="Y40" s="3220"/>
      <c r="Z40" s="1813" t="str">
        <f t="shared" si="15"/>
        <v>市政基础设施</v>
      </c>
      <c r="AA40" s="1810">
        <f t="shared" si="3"/>
        <v>1</v>
      </c>
      <c r="AB40" s="1810">
        <f t="shared" si="4"/>
        <v>1</v>
      </c>
      <c r="AC40" s="2675">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8"/>
      <c r="Q41" s="1809" t="str">
        <f t="shared" si="11"/>
        <v>层高</v>
      </c>
      <c r="R41" s="774" t="s">
        <v>17</v>
      </c>
      <c r="S41" s="775">
        <f t="shared" si="12"/>
        <v>100</v>
      </c>
      <c r="T41" s="774" t="s">
        <v>17</v>
      </c>
      <c r="U41" s="775">
        <f t="shared" si="13"/>
        <v>100</v>
      </c>
      <c r="V41" s="774" t="s">
        <v>17</v>
      </c>
      <c r="W41" s="775">
        <f t="shared" si="14"/>
        <v>100</v>
      </c>
      <c r="X41" s="1812"/>
      <c r="Y41" s="3220"/>
      <c r="Z41" s="1813" t="str">
        <f t="shared" si="15"/>
        <v>层高</v>
      </c>
      <c r="AA41" s="1810">
        <f t="shared" si="3"/>
        <v>1</v>
      </c>
      <c r="AB41" s="1810">
        <f t="shared" si="4"/>
        <v>1</v>
      </c>
      <c r="AC41" s="2675">
        <f t="shared" si="5"/>
        <v>1</v>
      </c>
    </row>
    <row r="42" spans="1:29" s="471" customFormat="1" ht="15">
      <c r="A42" s="468"/>
      <c r="B42" s="1811"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8"/>
      <c r="Q42" s="776" t="str">
        <f t="shared" si="11"/>
        <v>单套建筑面积</v>
      </c>
      <c r="R42" s="777" t="s">
        <v>17</v>
      </c>
      <c r="S42" s="778">
        <f t="shared" si="12"/>
        <v>100</v>
      </c>
      <c r="T42" s="777" t="s">
        <v>17</v>
      </c>
      <c r="U42" s="778">
        <f t="shared" si="13"/>
        <v>100</v>
      </c>
      <c r="V42" s="777" t="s">
        <v>17</v>
      </c>
      <c r="W42" s="778">
        <f t="shared" si="14"/>
        <v>100</v>
      </c>
      <c r="X42" s="779"/>
      <c r="Y42" s="3220"/>
      <c r="Z42" s="780" t="str">
        <f t="shared" si="15"/>
        <v>单套建筑面积</v>
      </c>
      <c r="AA42" s="1810">
        <f t="shared" si="3"/>
        <v>1</v>
      </c>
      <c r="AB42" s="1810">
        <f t="shared" si="4"/>
        <v>1</v>
      </c>
      <c r="AC42" s="2675">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8"/>
      <c r="Q43" s="1809" t="str">
        <f t="shared" si="11"/>
        <v>内部装修</v>
      </c>
      <c r="R43" s="774" t="s">
        <v>17</v>
      </c>
      <c r="S43" s="775">
        <f t="shared" si="12"/>
        <v>100</v>
      </c>
      <c r="T43" s="774" t="s">
        <v>17</v>
      </c>
      <c r="U43" s="775">
        <f t="shared" si="13"/>
        <v>100</v>
      </c>
      <c r="V43" s="774" t="s">
        <v>17</v>
      </c>
      <c r="W43" s="775">
        <f t="shared" si="14"/>
        <v>100</v>
      </c>
      <c r="X43" s="1812"/>
      <c r="Y43" s="3220"/>
      <c r="Z43" s="1813" t="str">
        <f t="shared" si="15"/>
        <v>内部装修</v>
      </c>
      <c r="AA43" s="1810">
        <f t="shared" si="3"/>
        <v>1</v>
      </c>
      <c r="AB43" s="1810">
        <f t="shared" si="4"/>
        <v>1</v>
      </c>
      <c r="AC43" s="2675">
        <f t="shared" si="5"/>
        <v>1</v>
      </c>
    </row>
    <row r="44" spans="1:29" ht="28.8">
      <c r="A44" s="472"/>
      <c r="B44" s="422" t="s">
        <v>2576</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218"/>
      <c r="Q44" s="1809" t="str">
        <f t="shared" si="11"/>
        <v>内部装修维护情况</v>
      </c>
      <c r="R44" s="774" t="s">
        <v>17</v>
      </c>
      <c r="S44" s="775">
        <f t="shared" si="12"/>
        <v>100</v>
      </c>
      <c r="T44" s="774" t="s">
        <v>17</v>
      </c>
      <c r="U44" s="775">
        <f t="shared" si="13"/>
        <v>100</v>
      </c>
      <c r="V44" s="774" t="s">
        <v>17</v>
      </c>
      <c r="W44" s="775">
        <f t="shared" si="14"/>
        <v>100</v>
      </c>
      <c r="X44" s="1812"/>
      <c r="Y44" s="3220"/>
      <c r="Z44" s="1813" t="str">
        <f t="shared" si="15"/>
        <v>内部装修维护情况</v>
      </c>
      <c r="AA44" s="1810">
        <f t="shared" si="3"/>
        <v>1</v>
      </c>
      <c r="AB44" s="1810">
        <f t="shared" si="4"/>
        <v>1</v>
      </c>
      <c r="AC44" s="2675">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8"/>
      <c r="Q45" s="1794">
        <f t="shared" si="11"/>
        <v>111</v>
      </c>
      <c r="R45" s="770" t="s">
        <v>17</v>
      </c>
      <c r="S45" s="771">
        <f t="shared" si="12"/>
        <v>100</v>
      </c>
      <c r="T45" s="770" t="s">
        <v>17</v>
      </c>
      <c r="U45" s="771">
        <f t="shared" si="13"/>
        <v>100</v>
      </c>
      <c r="V45" s="770" t="s">
        <v>17</v>
      </c>
      <c r="W45" s="771">
        <f t="shared" si="14"/>
        <v>100</v>
      </c>
      <c r="X45" s="772"/>
      <c r="Y45" s="3220"/>
      <c r="Z45" s="55">
        <f t="shared" si="15"/>
        <v>111</v>
      </c>
      <c r="AA45" s="773">
        <f t="shared" si="3"/>
        <v>1</v>
      </c>
      <c r="AB45" s="773">
        <f t="shared" si="4"/>
        <v>1</v>
      </c>
      <c r="AC45" s="2672">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8"/>
      <c r="Q46" s="1809">
        <f t="shared" si="11"/>
        <v>111</v>
      </c>
      <c r="R46" s="774" t="s">
        <v>17</v>
      </c>
      <c r="S46" s="775">
        <f t="shared" si="12"/>
        <v>100</v>
      </c>
      <c r="T46" s="774" t="s">
        <v>17</v>
      </c>
      <c r="U46" s="775">
        <f t="shared" si="13"/>
        <v>100</v>
      </c>
      <c r="V46" s="774" t="s">
        <v>17</v>
      </c>
      <c r="W46" s="775">
        <f t="shared" si="14"/>
        <v>100</v>
      </c>
      <c r="X46" s="1812"/>
      <c r="Y46" s="3220"/>
      <c r="Z46" s="1813">
        <f t="shared" si="15"/>
        <v>111</v>
      </c>
      <c r="AA46" s="1810">
        <f t="shared" si="3"/>
        <v>1</v>
      </c>
      <c r="AB46" s="1810">
        <f t="shared" si="4"/>
        <v>1</v>
      </c>
      <c r="AC46" s="2675">
        <f t="shared" si="5"/>
        <v>1</v>
      </c>
    </row>
    <row r="47" spans="1:29" ht="15.6"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9"/>
      <c r="Q47" s="1809">
        <f t="shared" si="11"/>
        <v>111</v>
      </c>
      <c r="R47" s="774" t="s">
        <v>17</v>
      </c>
      <c r="S47" s="775">
        <f t="shared" si="12"/>
        <v>100</v>
      </c>
      <c r="T47" s="774" t="s">
        <v>17</v>
      </c>
      <c r="U47" s="775">
        <f t="shared" si="13"/>
        <v>100</v>
      </c>
      <c r="V47" s="774" t="s">
        <v>17</v>
      </c>
      <c r="W47" s="775">
        <f t="shared" si="14"/>
        <v>100</v>
      </c>
      <c r="X47" s="1812"/>
      <c r="Y47" s="3221"/>
      <c r="Z47" s="1813">
        <f t="shared" si="15"/>
        <v>111</v>
      </c>
      <c r="AA47" s="1810">
        <f t="shared" si="3"/>
        <v>1</v>
      </c>
      <c r="AB47" s="1810">
        <f t="shared" si="4"/>
        <v>1</v>
      </c>
      <c r="AC47" s="2675">
        <f t="shared" si="5"/>
        <v>1</v>
      </c>
    </row>
    <row r="48" spans="1:29" ht="14.4">
      <c r="A48" s="479" t="s">
        <v>2577</v>
      </c>
      <c r="B48" s="480"/>
      <c r="C48" s="1406" t="s">
        <v>1</v>
      </c>
      <c r="D48" s="1407"/>
      <c r="E48" s="1408"/>
      <c r="F48" s="1409"/>
      <c r="G48" s="1410"/>
      <c r="H48" s="1411"/>
      <c r="I48" s="1408"/>
      <c r="J48" s="485"/>
      <c r="K48" s="783"/>
      <c r="L48" s="1143"/>
      <c r="M48" s="1131"/>
      <c r="N48" s="1131"/>
      <c r="O48" s="1131"/>
      <c r="P48" s="3195" t="str">
        <f>A48</f>
        <v>成交单价（元/平方米）</v>
      </c>
      <c r="Q48" s="3213"/>
      <c r="R48" s="3214">
        <f>E48</f>
        <v>0</v>
      </c>
      <c r="S48" s="3214"/>
      <c r="T48" s="3214">
        <f>G48</f>
        <v>0</v>
      </c>
      <c r="U48" s="3214"/>
      <c r="V48" s="3214">
        <f>I48</f>
        <v>0</v>
      </c>
      <c r="W48" s="3214"/>
      <c r="X48" s="446"/>
      <c r="Y48" s="781"/>
      <c r="Z48" s="446"/>
      <c r="AA48" s="446"/>
      <c r="AB48" s="446"/>
      <c r="AC48" s="630"/>
    </row>
    <row r="49" spans="1:29" ht="15" thickBot="1">
      <c r="A49" s="486" t="s">
        <v>2669</v>
      </c>
      <c r="B49" s="487"/>
      <c r="C49" s="1412" t="e">
        <f>R50</f>
        <v>#DIV/0!</v>
      </c>
      <c r="D49" s="1413"/>
      <c r="E49" s="1414" t="e">
        <f>R49</f>
        <v>#DIV/0!</v>
      </c>
      <c r="F49" s="1414"/>
      <c r="G49" s="1412" t="e">
        <f>T49</f>
        <v>#DIV/0!</v>
      </c>
      <c r="H49" s="1413"/>
      <c r="I49" s="1414" t="e">
        <f>V49</f>
        <v>#DIV/0!</v>
      </c>
      <c r="J49" s="489"/>
      <c r="K49" s="784"/>
      <c r="L49" s="1143"/>
      <c r="M49" s="1131"/>
      <c r="N49" s="1131"/>
      <c r="O49" s="1131"/>
      <c r="P49" s="3195" t="str">
        <f>A49</f>
        <v>比较价值（元/平方米）</v>
      </c>
      <c r="Q49" s="3213"/>
      <c r="R49" s="3214" t="e">
        <f>IF(F1="售价",ROUND(PRODUCT(R48,AA7:AA47),0),ROUND(PRODUCT(R48,AA7:AA47),1))</f>
        <v>#DIV/0!</v>
      </c>
      <c r="S49" s="3214"/>
      <c r="T49" s="3214" t="e">
        <f>IF(F1="售价",ROUND(PRODUCT(T48,AB7:AB47),0),ROUND(PRODUCT(T48,AB7:AB47),1))</f>
        <v>#DIV/0!</v>
      </c>
      <c r="U49" s="3214"/>
      <c r="V49" s="3214" t="e">
        <f>IF(F1="售价",ROUND(PRODUCT(V48,AC7:AC47),0),ROUND(PRODUCT(V48,AC7:AC47),1))</f>
        <v>#DIV/0!</v>
      </c>
      <c r="W49" s="3214"/>
      <c r="X49" s="446"/>
      <c r="Y49" s="446"/>
      <c r="Z49" s="446"/>
      <c r="AA49" s="446"/>
      <c r="AB49" s="446"/>
      <c r="AC49" s="630"/>
    </row>
    <row r="50" spans="1:29" ht="15" thickBot="1">
      <c r="A50" s="492" t="s">
        <v>2670</v>
      </c>
      <c r="B50" s="493"/>
      <c r="C50" s="1416" t="e">
        <f>R50</f>
        <v>#DIV/0!</v>
      </c>
      <c r="D50" s="1416"/>
      <c r="E50" s="1416"/>
      <c r="F50" s="1416"/>
      <c r="G50" s="1416"/>
      <c r="H50" s="1416"/>
      <c r="I50" s="1416"/>
      <c r="J50" s="494"/>
      <c r="K50" s="785"/>
      <c r="L50" s="1143"/>
      <c r="M50" s="1131"/>
      <c r="N50" s="1131"/>
      <c r="O50" s="1131"/>
      <c r="P50" s="3236" t="str">
        <f>A50</f>
        <v>估价对象XX用房的比较价值（楼面单价，元/平方米）</v>
      </c>
      <c r="Q50" s="3237"/>
      <c r="R50" s="3238" t="e">
        <f>IF(F1="售价",ROUND(AVERAGE(R49:V49),0),ROUND(AVERAGE(R49:V49),1))</f>
        <v>#DIV/0!</v>
      </c>
      <c r="S50" s="3238"/>
      <c r="T50" s="3238"/>
      <c r="U50" s="3238"/>
      <c r="V50" s="3238"/>
      <c r="W50" s="3238"/>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2.2" thickBot="1">
      <c r="A58" s="763" t="s">
        <v>2674</v>
      </c>
      <c r="B58" s="759"/>
      <c r="C58" s="764"/>
      <c r="D58" s="764"/>
      <c r="E58" s="764"/>
      <c r="F58" s="765"/>
      <c r="G58" s="765"/>
      <c r="H58" s="764"/>
      <c r="I58" s="764"/>
      <c r="J58" s="764"/>
      <c r="K58" s="766"/>
      <c r="L58" s="1161"/>
      <c r="M58" s="1159"/>
      <c r="N58" s="1159"/>
      <c r="O58" s="1159"/>
      <c r="P58" s="2682"/>
      <c r="Q58" s="504"/>
    </row>
    <row r="59" spans="1:29" s="508" customFormat="1" ht="14.4">
      <c r="A59" s="505" t="s">
        <v>2548</v>
      </c>
      <c r="B59" s="506"/>
      <c r="C59" s="1573" t="str">
        <f>YEAR(C7)&amp;"-"&amp;MONTH(C7)</f>
        <v>2019-12</v>
      </c>
      <c r="D59" s="1574">
        <f>EDATE(C59,-1)</f>
        <v>43770</v>
      </c>
      <c r="E59" s="1574">
        <f>EDATE(D59,-1)</f>
        <v>43739</v>
      </c>
      <c r="F59" s="1574">
        <f t="shared" ref="F59:O59" si="16">EDATE(E59,-1)</f>
        <v>43709</v>
      </c>
      <c r="G59" s="1574">
        <f t="shared" si="16"/>
        <v>43678</v>
      </c>
      <c r="H59" s="1574">
        <f t="shared" si="16"/>
        <v>43647</v>
      </c>
      <c r="I59" s="1574">
        <f t="shared" si="16"/>
        <v>43617</v>
      </c>
      <c r="J59" s="1574">
        <f t="shared" si="16"/>
        <v>43586</v>
      </c>
      <c r="K59" s="1574">
        <f t="shared" si="16"/>
        <v>43556</v>
      </c>
      <c r="L59" s="1574">
        <f t="shared" si="16"/>
        <v>43525</v>
      </c>
      <c r="M59" s="1574">
        <f t="shared" si="16"/>
        <v>43497</v>
      </c>
      <c r="N59" s="1574">
        <f t="shared" si="16"/>
        <v>43466</v>
      </c>
      <c r="O59" s="1574">
        <f t="shared" si="16"/>
        <v>43435</v>
      </c>
      <c r="P59" s="1570"/>
    </row>
    <row r="60" spans="1:29" s="117" customFormat="1">
      <c r="A60" s="509"/>
      <c r="B60" s="510"/>
      <c r="C60" s="1572">
        <v>100</v>
      </c>
      <c r="D60" s="512"/>
      <c r="E60" s="512"/>
      <c r="F60" s="512"/>
      <c r="G60" s="512"/>
      <c r="H60" s="512"/>
      <c r="I60" s="512"/>
      <c r="J60" s="512"/>
      <c r="K60" s="512"/>
      <c r="L60" s="512"/>
      <c r="M60" s="513"/>
      <c r="N60" s="512"/>
      <c r="O60" s="513"/>
      <c r="P60" s="2683"/>
    </row>
    <row r="61" spans="1:29" s="117" customFormat="1" ht="15" thickBot="1">
      <c r="A61" s="515" t="s">
        <v>2585</v>
      </c>
      <c r="B61" s="516"/>
      <c r="C61" s="517"/>
      <c r="D61" s="518"/>
      <c r="E61" s="518"/>
      <c r="F61" s="518"/>
      <c r="G61" s="518"/>
      <c r="H61" s="518"/>
      <c r="I61" s="518"/>
      <c r="J61" s="518"/>
      <c r="K61" s="518"/>
      <c r="L61" s="518"/>
      <c r="M61" s="519"/>
      <c r="N61" s="518"/>
      <c r="O61" s="519"/>
      <c r="P61" s="2683"/>
      <c r="Q61" s="504"/>
    </row>
    <row r="62" spans="1:29" s="117" customFormat="1" ht="14.4">
      <c r="A62" s="521" t="s">
        <v>2550</v>
      </c>
      <c r="B62" s="510"/>
      <c r="C62" s="522" t="s">
        <v>2652</v>
      </c>
      <c r="D62" s="523"/>
      <c r="E62" s="523"/>
      <c r="F62" s="523"/>
      <c r="G62" s="523"/>
      <c r="H62" s="523"/>
      <c r="I62" s="523"/>
      <c r="J62" s="523"/>
      <c r="K62" s="523"/>
      <c r="L62" s="524"/>
      <c r="M62" s="525"/>
      <c r="N62" s="1151"/>
      <c r="O62" s="1151"/>
      <c r="P62" s="2684"/>
      <c r="Q62" s="504"/>
    </row>
    <row r="63" spans="1:29" s="117" customFormat="1" ht="14.4" thickBot="1">
      <c r="A63" s="521"/>
      <c r="B63" s="510"/>
      <c r="C63" s="511">
        <v>100</v>
      </c>
      <c r="D63" s="512"/>
      <c r="E63" s="512"/>
      <c r="F63" s="512"/>
      <c r="G63" s="512"/>
      <c r="H63" s="512"/>
      <c r="I63" s="512"/>
      <c r="J63" s="512"/>
      <c r="K63" s="512"/>
      <c r="L63" s="512"/>
      <c r="M63" s="514"/>
      <c r="N63" s="1151"/>
      <c r="O63" s="1151"/>
      <c r="P63" s="2683"/>
      <c r="Q63" s="504"/>
    </row>
    <row r="64" spans="1:29" ht="14.4">
      <c r="A64" s="527" t="s">
        <v>2588</v>
      </c>
      <c r="B64" s="528" t="s">
        <v>2554</v>
      </c>
      <c r="C64" s="529">
        <f>C9</f>
        <v>0</v>
      </c>
      <c r="D64" s="530"/>
      <c r="E64" s="530"/>
      <c r="F64" s="530"/>
      <c r="G64" s="530"/>
      <c r="H64" s="530"/>
      <c r="I64" s="530"/>
      <c r="J64" s="530"/>
      <c r="K64" s="531"/>
      <c r="L64" s="532"/>
      <c r="M64" s="533"/>
      <c r="N64" s="1152"/>
      <c r="O64" s="1152"/>
      <c r="P64" s="2685"/>
      <c r="Q64" s="504"/>
    </row>
    <row r="65" spans="1:17" ht="14.4" thickBot="1">
      <c r="A65" s="534"/>
      <c r="B65" s="535"/>
      <c r="C65" s="536">
        <v>100</v>
      </c>
      <c r="D65" s="536"/>
      <c r="E65" s="536"/>
      <c r="F65" s="536"/>
      <c r="G65" s="536"/>
      <c r="H65" s="536"/>
      <c r="I65" s="536"/>
      <c r="J65" s="536"/>
      <c r="K65" s="536"/>
      <c r="L65" s="536"/>
      <c r="M65" s="537"/>
      <c r="N65" s="1153"/>
      <c r="O65" s="1153"/>
      <c r="P65" s="2685"/>
      <c r="Q65" s="504"/>
    </row>
    <row r="66" spans="1:17" ht="29.4"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5"/>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c r="A69" s="534"/>
      <c r="B69" s="548"/>
      <c r="C69" s="549"/>
      <c r="D69" s="549"/>
      <c r="E69" s="549"/>
      <c r="F69" s="549"/>
      <c r="G69" s="549"/>
      <c r="H69" s="549"/>
      <c r="I69" s="549"/>
      <c r="J69" s="549"/>
      <c r="K69" s="550"/>
      <c r="L69" s="551"/>
      <c r="M69" s="552"/>
      <c r="N69" s="1152"/>
      <c r="O69" s="1152"/>
      <c r="P69" s="2685"/>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4.4" thickTop="1">
      <c r="A71" s="553"/>
      <c r="B71" s="538">
        <f>B12</f>
        <v>111</v>
      </c>
      <c r="C71" s="554"/>
      <c r="D71" s="554"/>
      <c r="E71" s="554"/>
      <c r="F71" s="554"/>
      <c r="G71" s="554"/>
      <c r="H71" s="555"/>
      <c r="I71" s="555"/>
      <c r="J71" s="555"/>
      <c r="K71" s="555"/>
      <c r="L71" s="556"/>
      <c r="M71" s="557"/>
      <c r="N71" s="1154"/>
      <c r="O71" s="1154"/>
      <c r="P71" s="2686"/>
      <c r="Q71" s="559"/>
    </row>
    <row r="72" spans="1:17" s="471" customFormat="1" ht="14.4" thickBot="1">
      <c r="A72" s="553"/>
      <c r="B72" s="543"/>
      <c r="C72" s="560"/>
      <c r="D72" s="536"/>
      <c r="E72" s="536"/>
      <c r="F72" s="536"/>
      <c r="G72" s="536"/>
      <c r="H72" s="536"/>
      <c r="I72" s="536"/>
      <c r="J72" s="536"/>
      <c r="K72" s="536"/>
      <c r="L72" s="536"/>
      <c r="M72" s="537"/>
      <c r="N72" s="1153"/>
      <c r="O72" s="1153"/>
      <c r="P72" s="2686"/>
      <c r="Q72" s="559"/>
    </row>
    <row r="73" spans="1:17" s="471" customFormat="1" ht="14.4" thickTop="1">
      <c r="A73" s="553"/>
      <c r="B73" s="538">
        <f>B13</f>
        <v>111</v>
      </c>
      <c r="C73" s="554"/>
      <c r="D73" s="554"/>
      <c r="E73" s="554"/>
      <c r="F73" s="554"/>
      <c r="G73" s="554"/>
      <c r="H73" s="555"/>
      <c r="I73" s="555"/>
      <c r="J73" s="555"/>
      <c r="K73" s="555"/>
      <c r="L73" s="556"/>
      <c r="M73" s="557"/>
      <c r="N73" s="1154"/>
      <c r="O73" s="1154"/>
      <c r="P73" s="2687"/>
      <c r="Q73" s="561"/>
    </row>
    <row r="74" spans="1:17" s="471" customFormat="1" ht="14.4" thickBot="1">
      <c r="A74" s="553"/>
      <c r="B74" s="543"/>
      <c r="C74" s="560"/>
      <c r="D74" s="560"/>
      <c r="E74" s="560"/>
      <c r="F74" s="560"/>
      <c r="G74" s="560"/>
      <c r="H74" s="562"/>
      <c r="I74" s="562"/>
      <c r="J74" s="562"/>
      <c r="K74" s="562"/>
      <c r="L74" s="562"/>
      <c r="M74" s="563"/>
      <c r="N74" s="1154"/>
      <c r="O74" s="1154"/>
      <c r="P74" s="2686"/>
      <c r="Q74" s="559"/>
    </row>
    <row r="75" spans="1:17" s="471" customFormat="1" ht="14.4" thickTop="1">
      <c r="A75" s="553"/>
      <c r="B75" s="546">
        <f>B14</f>
        <v>111</v>
      </c>
      <c r="C75" s="523"/>
      <c r="D75" s="523"/>
      <c r="E75" s="523"/>
      <c r="F75" s="523"/>
      <c r="G75" s="523"/>
      <c r="H75" s="564"/>
      <c r="I75" s="564"/>
      <c r="J75" s="564"/>
      <c r="K75" s="564"/>
      <c r="L75" s="565"/>
      <c r="M75" s="566"/>
      <c r="N75" s="1154"/>
      <c r="O75" s="1154"/>
      <c r="P75" s="2688"/>
      <c r="Q75" s="559"/>
    </row>
    <row r="76" spans="1:17" s="471" customFormat="1" ht="14.4" thickBot="1">
      <c r="A76" s="568"/>
      <c r="B76" s="569"/>
      <c r="C76" s="570"/>
      <c r="D76" s="570"/>
      <c r="E76" s="570"/>
      <c r="F76" s="570"/>
      <c r="G76" s="570"/>
      <c r="H76" s="571"/>
      <c r="I76" s="571"/>
      <c r="J76" s="571"/>
      <c r="K76" s="571"/>
      <c r="L76" s="571"/>
      <c r="M76" s="572"/>
      <c r="N76" s="1154"/>
      <c r="O76" s="1154"/>
      <c r="P76" s="2686"/>
      <c r="Q76" s="559"/>
    </row>
    <row r="77" spans="1:17" ht="14.4">
      <c r="A77" s="527" t="s">
        <v>2559</v>
      </c>
      <c r="B77" s="528" t="s">
        <v>2697</v>
      </c>
      <c r="C77" s="573" t="s">
        <v>2597</v>
      </c>
      <c r="D77" s="573" t="s">
        <v>2598</v>
      </c>
      <c r="E77" s="573" t="s">
        <v>2599</v>
      </c>
      <c r="F77" s="573" t="s">
        <v>2600</v>
      </c>
      <c r="G77" s="573" t="s">
        <v>2601</v>
      </c>
      <c r="H77" s="529"/>
      <c r="I77" s="529"/>
      <c r="J77" s="529"/>
      <c r="K77" s="574"/>
      <c r="L77" s="575"/>
      <c r="M77" s="576"/>
      <c r="N77" s="1152"/>
      <c r="O77" s="1152"/>
      <c r="P77" s="2689"/>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5"/>
      <c r="Q78" s="504"/>
    </row>
    <row r="79" spans="1:17" ht="15" thickTop="1">
      <c r="A79" s="534"/>
      <c r="B79" s="538" t="s">
        <v>2602</v>
      </c>
      <c r="C79" s="578" t="s">
        <v>2597</v>
      </c>
      <c r="D79" s="578" t="s">
        <v>2598</v>
      </c>
      <c r="E79" s="578" t="s">
        <v>2599</v>
      </c>
      <c r="F79" s="578" t="s">
        <v>2600</v>
      </c>
      <c r="G79" s="578" t="s">
        <v>2601</v>
      </c>
      <c r="H79" s="539"/>
      <c r="I79" s="539"/>
      <c r="J79" s="539"/>
      <c r="K79" s="540"/>
      <c r="L79" s="541"/>
      <c r="M79" s="542"/>
      <c r="N79" s="1152"/>
      <c r="O79" s="1152"/>
      <c r="P79" s="2685"/>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5"/>
      <c r="Q80" s="504"/>
    </row>
    <row r="81" spans="1:17" ht="15" thickTop="1">
      <c r="A81" s="534"/>
      <c r="B81" s="538" t="s">
        <v>2603</v>
      </c>
      <c r="C81" s="578" t="s">
        <v>2597</v>
      </c>
      <c r="D81" s="578" t="s">
        <v>2598</v>
      </c>
      <c r="E81" s="578" t="s">
        <v>2599</v>
      </c>
      <c r="F81" s="578" t="s">
        <v>2600</v>
      </c>
      <c r="G81" s="578" t="s">
        <v>2601</v>
      </c>
      <c r="H81" s="539"/>
      <c r="I81" s="539"/>
      <c r="J81" s="539"/>
      <c r="K81" s="540"/>
      <c r="L81" s="541"/>
      <c r="M81" s="542"/>
      <c r="N81" s="1152"/>
      <c r="O81" s="1152"/>
      <c r="P81" s="2685"/>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 thickTop="1">
      <c r="A83" s="534"/>
      <c r="B83" s="546" t="s">
        <v>2689</v>
      </c>
      <c r="C83" s="660" t="s">
        <v>2675</v>
      </c>
      <c r="D83" s="660" t="s">
        <v>2676</v>
      </c>
      <c r="E83" s="660" t="s">
        <v>2677</v>
      </c>
      <c r="F83" s="660" t="s">
        <v>2678</v>
      </c>
      <c r="G83" s="660" t="s">
        <v>2679</v>
      </c>
      <c r="H83" s="539"/>
      <c r="I83" s="539"/>
      <c r="J83" s="539"/>
      <c r="K83" s="539"/>
      <c r="L83" s="539"/>
      <c r="M83" s="1381"/>
      <c r="N83" s="1153"/>
      <c r="O83" s="1153"/>
      <c r="P83" s="2685"/>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 thickTop="1">
      <c r="A85" s="534"/>
      <c r="B85" s="538" t="s">
        <v>2698</v>
      </c>
      <c r="C85" s="578" t="s">
        <v>2597</v>
      </c>
      <c r="D85" s="578" t="s">
        <v>2598</v>
      </c>
      <c r="E85" s="578" t="s">
        <v>2599</v>
      </c>
      <c r="F85" s="578" t="s">
        <v>2600</v>
      </c>
      <c r="G85" s="578" t="s">
        <v>2601</v>
      </c>
      <c r="H85" s="539"/>
      <c r="I85" s="539"/>
      <c r="J85" s="539"/>
      <c r="K85" s="540"/>
      <c r="L85" s="541"/>
      <c r="M85" s="542"/>
      <c r="N85" s="1152"/>
      <c r="O85" s="1152"/>
      <c r="P85" s="2685"/>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9.4" thickTop="1">
      <c r="A87" s="579"/>
      <c r="B87" s="538" t="s">
        <v>2699</v>
      </c>
      <c r="C87" s="554"/>
      <c r="D87" s="554"/>
      <c r="E87" s="554"/>
      <c r="F87" s="554"/>
      <c r="G87" s="554"/>
      <c r="H87" s="554"/>
      <c r="I87" s="554"/>
      <c r="J87" s="554"/>
      <c r="K87" s="554"/>
      <c r="L87" s="580"/>
      <c r="M87" s="581"/>
      <c r="N87" s="1151"/>
      <c r="O87" s="1151"/>
      <c r="P87" s="2685"/>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5"/>
      <c r="Q88" s="504"/>
    </row>
    <row r="89" spans="1:17" s="117" customFormat="1" ht="14.4" thickTop="1">
      <c r="A89" s="579"/>
      <c r="B89" s="538" t="str">
        <f>B27</f>
        <v>楼层</v>
      </c>
      <c r="C89" s="554"/>
      <c r="D89" s="554"/>
      <c r="E89" s="554"/>
      <c r="F89" s="2636"/>
      <c r="G89" s="554"/>
      <c r="H89" s="554"/>
      <c r="I89" s="554"/>
      <c r="J89" s="554"/>
      <c r="K89" s="554"/>
      <c r="L89" s="554"/>
      <c r="M89" s="581"/>
      <c r="N89" s="1151"/>
      <c r="O89" s="1151"/>
      <c r="P89" s="2685"/>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5"/>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4.4" thickTop="1">
      <c r="A93" s="534"/>
      <c r="B93" s="538">
        <f>B29</f>
        <v>111</v>
      </c>
      <c r="C93" s="554"/>
      <c r="D93" s="554"/>
      <c r="E93" s="554"/>
      <c r="F93" s="554"/>
      <c r="G93" s="554"/>
      <c r="H93" s="554"/>
      <c r="I93" s="554"/>
      <c r="J93" s="554"/>
      <c r="K93" s="554"/>
      <c r="L93" s="580"/>
      <c r="M93" s="581"/>
      <c r="N93" s="1152"/>
      <c r="O93" s="1152"/>
      <c r="P93" s="2685"/>
      <c r="Q93" s="504"/>
    </row>
    <row r="94" spans="1:17" ht="14.4" thickBot="1">
      <c r="A94" s="534"/>
      <c r="B94" s="543"/>
      <c r="C94" s="560"/>
      <c r="D94" s="536"/>
      <c r="E94" s="536"/>
      <c r="F94" s="536"/>
      <c r="G94" s="536"/>
      <c r="H94" s="536"/>
      <c r="I94" s="536"/>
      <c r="J94" s="536"/>
      <c r="K94" s="536"/>
      <c r="L94" s="536"/>
      <c r="M94" s="537"/>
      <c r="N94" s="1153"/>
      <c r="O94" s="1153"/>
      <c r="P94" s="2685"/>
      <c r="Q94" s="504"/>
    </row>
    <row r="95" spans="1:17" ht="14.4" thickTop="1">
      <c r="A95" s="534"/>
      <c r="B95" s="538">
        <f>B30</f>
        <v>111</v>
      </c>
      <c r="C95" s="554"/>
      <c r="D95" s="554"/>
      <c r="E95" s="554"/>
      <c r="F95" s="554"/>
      <c r="G95" s="583"/>
      <c r="H95" s="583"/>
      <c r="I95" s="583"/>
      <c r="J95" s="583"/>
      <c r="K95" s="584"/>
      <c r="L95" s="585"/>
      <c r="M95" s="586"/>
      <c r="N95" s="1152"/>
      <c r="O95" s="1152"/>
      <c r="P95" s="2685"/>
      <c r="Q95" s="504"/>
    </row>
    <row r="96" spans="1:17" ht="14.4" thickBot="1">
      <c r="A96" s="534"/>
      <c r="B96" s="543"/>
      <c r="C96" s="560"/>
      <c r="D96" s="560"/>
      <c r="E96" s="560"/>
      <c r="F96" s="560"/>
      <c r="G96" s="536"/>
      <c r="H96" s="536"/>
      <c r="I96" s="536"/>
      <c r="J96" s="536"/>
      <c r="K96" s="536"/>
      <c r="L96" s="536"/>
      <c r="M96" s="537"/>
      <c r="N96" s="1153"/>
      <c r="O96" s="1153"/>
      <c r="P96" s="2685"/>
      <c r="Q96" s="504"/>
    </row>
    <row r="97" spans="1:17" ht="14.4" thickTop="1">
      <c r="A97" s="534"/>
      <c r="B97" s="538">
        <f>B31</f>
        <v>111</v>
      </c>
      <c r="C97" s="554"/>
      <c r="D97" s="554"/>
      <c r="E97" s="554"/>
      <c r="F97" s="554"/>
      <c r="G97" s="583"/>
      <c r="H97" s="583"/>
      <c r="I97" s="583"/>
      <c r="J97" s="583"/>
      <c r="K97" s="584"/>
      <c r="L97" s="585"/>
      <c r="M97" s="586"/>
      <c r="N97" s="1152"/>
      <c r="O97" s="1152"/>
      <c r="P97" s="2685"/>
      <c r="Q97" s="504"/>
    </row>
    <row r="98" spans="1:17" ht="14.4" thickBot="1">
      <c r="A98" s="534"/>
      <c r="B98" s="543"/>
      <c r="C98" s="560"/>
      <c r="D98" s="536"/>
      <c r="E98" s="536"/>
      <c r="F98" s="536"/>
      <c r="G98" s="536"/>
      <c r="H98" s="536"/>
      <c r="I98" s="536"/>
      <c r="J98" s="536"/>
      <c r="K98" s="536"/>
      <c r="L98" s="536"/>
      <c r="M98" s="537"/>
      <c r="N98" s="1153"/>
      <c r="O98" s="1153"/>
      <c r="P98" s="2685"/>
      <c r="Q98" s="504"/>
    </row>
    <row r="99" spans="1:17" ht="14.4" thickTop="1">
      <c r="A99" s="534"/>
      <c r="B99" s="546">
        <f>B32</f>
        <v>111</v>
      </c>
      <c r="C99" s="523"/>
      <c r="D99" s="523"/>
      <c r="E99" s="523"/>
      <c r="F99" s="523"/>
      <c r="G99" s="587"/>
      <c r="H99" s="587"/>
      <c r="I99" s="587"/>
      <c r="J99" s="587"/>
      <c r="K99" s="588"/>
      <c r="L99" s="589"/>
      <c r="M99" s="590"/>
      <c r="N99" s="1152"/>
      <c r="O99" s="1152"/>
      <c r="P99" s="2685"/>
      <c r="Q99" s="504"/>
    </row>
    <row r="100" spans="1:17" ht="14.4" thickBot="1">
      <c r="A100" s="2637"/>
      <c r="B100" s="569"/>
      <c r="C100" s="570"/>
      <c r="D100" s="570"/>
      <c r="E100" s="570"/>
      <c r="F100" s="570"/>
      <c r="G100" s="591"/>
      <c r="H100" s="591"/>
      <c r="I100" s="591"/>
      <c r="J100" s="591"/>
      <c r="K100" s="591"/>
      <c r="L100" s="591"/>
      <c r="M100" s="592"/>
      <c r="N100" s="1153"/>
      <c r="O100" s="1153"/>
      <c r="P100" s="2685"/>
      <c r="Q100" s="504"/>
    </row>
    <row r="101" spans="1:17" ht="14.4">
      <c r="A101" s="527" t="s">
        <v>2563</v>
      </c>
      <c r="B101" s="528" t="s">
        <v>2612</v>
      </c>
      <c r="C101" s="530"/>
      <c r="D101" s="530"/>
      <c r="E101" s="530"/>
      <c r="F101" s="530"/>
      <c r="G101" s="530"/>
      <c r="H101" s="530"/>
      <c r="I101" s="530"/>
      <c r="J101" s="530"/>
      <c r="K101" s="531"/>
      <c r="L101" s="532"/>
      <c r="M101" s="533"/>
      <c r="N101" s="1152"/>
      <c r="O101" s="1152"/>
      <c r="P101" s="2685"/>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c r="D104" s="595"/>
      <c r="E104" s="595"/>
      <c r="F104" s="595"/>
      <c r="G104" s="595"/>
      <c r="H104" s="595"/>
      <c r="I104" s="595"/>
      <c r="J104" s="596"/>
      <c r="K104" s="596"/>
      <c r="L104" s="597"/>
      <c r="M104" s="598"/>
      <c r="N104" s="1154"/>
      <c r="O104" s="1154"/>
      <c r="P104" s="2686"/>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6"/>
      <c r="Q105" s="559"/>
    </row>
    <row r="106" spans="1:17" ht="15" thickTop="1">
      <c r="A106" s="599"/>
      <c r="B106" s="538" t="s">
        <v>2614</v>
      </c>
      <c r="C106" s="554"/>
      <c r="D106" s="554"/>
      <c r="E106" s="583"/>
      <c r="F106" s="583"/>
      <c r="G106" s="583"/>
      <c r="H106" s="583"/>
      <c r="I106" s="583"/>
      <c r="J106" s="583"/>
      <c r="K106" s="584"/>
      <c r="L106" s="585"/>
      <c r="M106" s="586"/>
      <c r="N106" s="1152"/>
      <c r="O106" s="1152"/>
      <c r="P106" s="2685"/>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2616</v>
      </c>
      <c r="C108" s="554"/>
      <c r="D108" s="554"/>
      <c r="E108" s="554"/>
      <c r="F108" s="583"/>
      <c r="G108" s="583"/>
      <c r="H108" s="583"/>
      <c r="I108" s="583"/>
      <c r="J108" s="583"/>
      <c r="K108" s="584"/>
      <c r="L108" s="585"/>
      <c r="M108" s="586"/>
      <c r="N108" s="1152"/>
      <c r="O108" s="1152"/>
      <c r="P108" s="2685"/>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6"/>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2617</v>
      </c>
      <c r="C115" s="554"/>
      <c r="D115" s="554"/>
      <c r="E115" s="583"/>
      <c r="F115" s="583"/>
      <c r="G115" s="583"/>
      <c r="H115" s="583"/>
      <c r="I115" s="583"/>
      <c r="J115" s="583"/>
      <c r="K115" s="584"/>
      <c r="L115" s="585"/>
      <c r="M115" s="586"/>
      <c r="N115" s="1152"/>
      <c r="O115" s="1152"/>
      <c r="P115" s="2685"/>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2618</v>
      </c>
      <c r="C117" s="554"/>
      <c r="D117" s="554"/>
      <c r="E117" s="554"/>
      <c r="F117" s="554"/>
      <c r="G117" s="554"/>
      <c r="H117" s="583"/>
      <c r="I117" s="583"/>
      <c r="J117" s="583"/>
      <c r="K117" s="584"/>
      <c r="L117" s="585"/>
      <c r="M117" s="586"/>
      <c r="N117" s="1152"/>
      <c r="O117" s="1152"/>
      <c r="P117" s="2685"/>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2701</v>
      </c>
      <c r="C119" s="583"/>
      <c r="D119" s="583"/>
      <c r="E119" s="583"/>
      <c r="F119" s="583"/>
      <c r="G119" s="583"/>
      <c r="H119" s="583"/>
      <c r="I119" s="583"/>
      <c r="J119" s="583"/>
      <c r="K119" s="583"/>
      <c r="L119" s="2690"/>
      <c r="M119" s="2691"/>
      <c r="N119" s="1153"/>
      <c r="O119" s="1153"/>
      <c r="P119" s="2692"/>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6"/>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2620</v>
      </c>
      <c r="C123" s="554"/>
      <c r="D123" s="554"/>
      <c r="E123" s="554"/>
      <c r="F123" s="583"/>
      <c r="G123" s="583"/>
      <c r="H123" s="583"/>
      <c r="I123" s="583"/>
      <c r="J123" s="583"/>
      <c r="K123" s="584"/>
      <c r="L123" s="585"/>
      <c r="M123" s="586"/>
      <c r="N123" s="1152"/>
      <c r="O123" s="1152"/>
      <c r="P123" s="2685"/>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5"/>
      <c r="Q124" s="504"/>
    </row>
    <row r="125" spans="1:17" ht="29.4"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6"/>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6"/>
      <c r="Q128" s="559"/>
    </row>
    <row r="129" spans="1:17" ht="14.4" thickTop="1">
      <c r="A129" s="599"/>
      <c r="B129" s="538">
        <f>B46</f>
        <v>111</v>
      </c>
      <c r="C129" s="554"/>
      <c r="D129" s="554"/>
      <c r="E129" s="554"/>
      <c r="F129" s="554"/>
      <c r="G129" s="583"/>
      <c r="H129" s="583"/>
      <c r="I129" s="583"/>
      <c r="J129" s="583"/>
      <c r="K129" s="584"/>
      <c r="L129" s="585"/>
      <c r="M129" s="586"/>
      <c r="N129" s="1152"/>
      <c r="O129" s="1152"/>
      <c r="P129" s="2685"/>
      <c r="Q129" s="504"/>
    </row>
    <row r="130" spans="1:17" ht="14.4" thickBot="1">
      <c r="A130" s="534"/>
      <c r="B130" s="543"/>
      <c r="C130" s="560"/>
      <c r="D130" s="560"/>
      <c r="E130" s="560"/>
      <c r="F130" s="560"/>
      <c r="G130" s="536"/>
      <c r="H130" s="536"/>
      <c r="I130" s="536"/>
      <c r="J130" s="536"/>
      <c r="K130" s="536"/>
      <c r="L130" s="536"/>
      <c r="M130" s="537"/>
      <c r="N130" s="1153"/>
      <c r="O130" s="1153"/>
      <c r="P130" s="2685"/>
      <c r="Q130" s="504"/>
    </row>
    <row r="131" spans="1:17" ht="14.4" thickTop="1">
      <c r="A131" s="599"/>
      <c r="B131" s="546">
        <f>B47</f>
        <v>111</v>
      </c>
      <c r="C131" s="523"/>
      <c r="D131" s="523"/>
      <c r="E131" s="523"/>
      <c r="F131" s="523"/>
      <c r="G131" s="587"/>
      <c r="H131" s="587"/>
      <c r="I131" s="587"/>
      <c r="J131" s="587"/>
      <c r="K131" s="523"/>
      <c r="L131" s="524"/>
      <c r="M131" s="590"/>
      <c r="N131" s="1152"/>
      <c r="O131" s="1152"/>
      <c r="P131" s="2685"/>
      <c r="Q131" s="504"/>
    </row>
    <row r="132" spans="1:17" ht="14.4" thickBot="1">
      <c r="A132" s="2637"/>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2528</v>
      </c>
      <c r="B1" s="2670" t="s">
        <v>2702</v>
      </c>
      <c r="C1" s="1619" t="s">
        <v>2530</v>
      </c>
      <c r="D1" s="1620"/>
      <c r="E1" s="1629"/>
      <c r="F1" s="2585"/>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IF(C2="——",ROUND(C43*D3/10000,0),ROUND(C43*D3/10000,0)-D2)</f>
        <v>#DIV/0!</v>
      </c>
      <c r="C2" s="2587"/>
      <c r="D2" s="1124" t="e">
        <f ca="1">SUMIF(INDIRECT("'"&amp;F2&amp;"'"&amp;"!A:A"),"承租人权益价值",INDIRECT("'"&amp;F2&amp;"'"&amp;"!c:c"))</f>
        <v>#REF!</v>
      </c>
      <c r="E2" s="2588" t="s">
        <v>2328</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102921.28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179" t="s">
        <v>2648</v>
      </c>
      <c r="AC4" s="3178" t="s">
        <v>2649</v>
      </c>
    </row>
    <row r="5" spans="1:29">
      <c r="A5" s="404"/>
      <c r="B5" s="405"/>
      <c r="C5" s="3189" t="s">
        <v>2542</v>
      </c>
      <c r="D5" s="3190"/>
      <c r="E5" s="3187" t="s">
        <v>2543</v>
      </c>
      <c r="F5" s="3188"/>
      <c r="G5" s="3189" t="s">
        <v>2544</v>
      </c>
      <c r="H5" s="3190"/>
      <c r="I5" s="3189" t="s">
        <v>2545</v>
      </c>
      <c r="J5" s="3190"/>
      <c r="K5" s="610"/>
      <c r="L5" s="1130"/>
      <c r="M5" s="1131"/>
      <c r="N5" s="1131"/>
      <c r="O5" s="1131"/>
      <c r="P5" s="3202"/>
      <c r="Q5" s="3203"/>
      <c r="R5" s="3185"/>
      <c r="S5" s="3186"/>
      <c r="T5" s="3185"/>
      <c r="U5" s="3186"/>
      <c r="V5" s="3208"/>
      <c r="W5" s="3208"/>
      <c r="X5" s="1812"/>
      <c r="Y5" s="3185"/>
      <c r="Z5" s="3186"/>
      <c r="AA5" s="3179"/>
      <c r="AB5" s="3179"/>
      <c r="AC5" s="3179"/>
    </row>
    <row r="6" spans="1:29" ht="15" thickBot="1">
      <c r="A6" s="406"/>
      <c r="B6" s="407"/>
      <c r="C6" s="3191" t="s">
        <v>2546</v>
      </c>
      <c r="D6" s="3192"/>
      <c r="E6" s="3193" t="s">
        <v>2546</v>
      </c>
      <c r="F6" s="3194"/>
      <c r="G6" s="3191" t="s">
        <v>2546</v>
      </c>
      <c r="H6" s="3192"/>
      <c r="I6" s="3191" t="s">
        <v>2546</v>
      </c>
      <c r="J6" s="3192"/>
      <c r="K6" s="610" t="s">
        <v>2547</v>
      </c>
      <c r="L6" s="1130"/>
      <c r="M6" s="1131"/>
      <c r="N6" s="1131"/>
      <c r="O6" s="1131"/>
      <c r="P6" s="3204"/>
      <c r="Q6" s="3205"/>
      <c r="R6" s="3185"/>
      <c r="S6" s="3186"/>
      <c r="T6" s="3206"/>
      <c r="U6" s="3207"/>
      <c r="V6" s="3208"/>
      <c r="W6" s="3208"/>
      <c r="X6" s="1812"/>
      <c r="Y6" s="3206"/>
      <c r="Z6" s="3207"/>
      <c r="AA6" s="3180"/>
      <c r="AB6" s="3180"/>
      <c r="AC6" s="3180"/>
    </row>
    <row r="7" spans="1:29" s="117" customFormat="1" ht="15" thickBot="1">
      <c r="A7" s="408" t="s">
        <v>2548</v>
      </c>
      <c r="B7" s="409"/>
      <c r="C7" s="410">
        <f>'数据-取费表'!B2</f>
        <v>43802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1" t="s">
        <v>2549</v>
      </c>
      <c r="Q7" s="3209"/>
      <c r="R7" s="770" t="s">
        <v>17</v>
      </c>
      <c r="S7" s="771">
        <f t="shared" ref="S7:S15" si="0">F7</f>
        <v>0</v>
      </c>
      <c r="T7" s="770" t="s">
        <v>17</v>
      </c>
      <c r="U7" s="771">
        <f t="shared" ref="U7:U15" si="1">H7</f>
        <v>0</v>
      </c>
      <c r="V7" s="770" t="s">
        <v>17</v>
      </c>
      <c r="W7" s="771">
        <f t="shared" ref="W7:W15" si="2">J7</f>
        <v>0</v>
      </c>
      <c r="X7" s="772"/>
      <c r="Y7" s="3181" t="s">
        <v>2549</v>
      </c>
      <c r="Z7" s="3182"/>
      <c r="AA7" s="773" t="e">
        <f>D7/F7</f>
        <v>#DIV/0!</v>
      </c>
      <c r="AB7" s="773" t="e">
        <f>D7/H7</f>
        <v>#DIV/0!</v>
      </c>
      <c r="AC7" s="773" t="e">
        <f>D7/J7</f>
        <v>#DIV/0!</v>
      </c>
    </row>
    <row r="8" spans="1:29" s="117" customFormat="1" ht="1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1" t="s">
        <v>2552</v>
      </c>
      <c r="Q8" s="3182"/>
      <c r="R8" s="770" t="s">
        <v>17</v>
      </c>
      <c r="S8" s="771">
        <f t="shared" si="0"/>
        <v>0</v>
      </c>
      <c r="T8" s="770" t="s">
        <v>17</v>
      </c>
      <c r="U8" s="771">
        <f t="shared" si="1"/>
        <v>0</v>
      </c>
      <c r="V8" s="770" t="s">
        <v>17</v>
      </c>
      <c r="W8" s="771">
        <f t="shared" si="2"/>
        <v>0</v>
      </c>
      <c r="X8" s="772"/>
      <c r="Y8" s="3181" t="s">
        <v>2552</v>
      </c>
      <c r="Z8" s="3182"/>
      <c r="AA8" s="773" t="e">
        <f t="shared" ref="AA8:AA40" si="3">D8/F8</f>
        <v>#DIV/0!</v>
      </c>
      <c r="AB8" s="773" t="e">
        <f t="shared" ref="AB8:AB40" si="4">D8/H8</f>
        <v>#DIV/0!</v>
      </c>
      <c r="AC8" s="773" t="e">
        <f t="shared" ref="AC8:AC40" si="5">D8/J8</f>
        <v>#DIV/0!</v>
      </c>
    </row>
    <row r="9" spans="1:29" s="117" customFormat="1" ht="14.4">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3"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3"/>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3"/>
      <c r="Q11" s="1794"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213"/>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213"/>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6"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213"/>
      <c r="Q14" s="1794">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69">
      <c r="A15" s="440" t="s">
        <v>2559</v>
      </c>
      <c r="B15" s="69" t="s">
        <v>2703</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5" t="s">
        <v>2560</v>
      </c>
      <c r="Q15" s="1809" t="str">
        <f t="shared" si="6"/>
        <v>产业集聚程度</v>
      </c>
      <c r="R15" s="774" t="s">
        <v>17</v>
      </c>
      <c r="S15" s="775">
        <f t="shared" si="0"/>
        <v>100</v>
      </c>
      <c r="T15" s="774" t="s">
        <v>17</v>
      </c>
      <c r="U15" s="775">
        <f t="shared" si="1"/>
        <v>100</v>
      </c>
      <c r="V15" s="774" t="s">
        <v>17</v>
      </c>
      <c r="W15" s="775">
        <f t="shared" si="2"/>
        <v>100</v>
      </c>
      <c r="X15" s="1812"/>
      <c r="Y15" s="3215" t="s">
        <v>2560</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6"/>
      <c r="Q16" s="1809"/>
      <c r="R16" s="774"/>
      <c r="S16" s="775"/>
      <c r="T16" s="774"/>
      <c r="U16" s="775"/>
      <c r="V16" s="774"/>
      <c r="W16" s="775"/>
      <c r="X16" s="1812"/>
      <c r="Y16" s="3216"/>
      <c r="Z16" s="1813"/>
      <c r="AA16" s="1810">
        <v>1</v>
      </c>
      <c r="AB16" s="1810">
        <v>1</v>
      </c>
      <c r="AC16" s="1810">
        <v>1</v>
      </c>
    </row>
    <row r="17" spans="1:29" ht="96.6">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6"/>
      <c r="Q17" s="1809" t="str">
        <f>B17</f>
        <v>交通便捷度</v>
      </c>
      <c r="R17" s="774" t="s">
        <v>17</v>
      </c>
      <c r="S17" s="775">
        <f>F17</f>
        <v>100</v>
      </c>
      <c r="T17" s="774" t="s">
        <v>17</v>
      </c>
      <c r="U17" s="775">
        <f>H17</f>
        <v>100</v>
      </c>
      <c r="V17" s="774" t="s">
        <v>17</v>
      </c>
      <c r="W17" s="775">
        <f>J17</f>
        <v>100</v>
      </c>
      <c r="X17" s="1812"/>
      <c r="Y17" s="3216"/>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40"/>
      <c r="M18" s="1131"/>
      <c r="N18" s="1131"/>
      <c r="O18" s="1139"/>
      <c r="P18" s="3216"/>
      <c r="Q18" s="1809"/>
      <c r="R18" s="774"/>
      <c r="S18" s="775"/>
      <c r="T18" s="774"/>
      <c r="U18" s="775"/>
      <c r="V18" s="774"/>
      <c r="W18" s="775"/>
      <c r="X18" s="1812"/>
      <c r="Y18" s="3216"/>
      <c r="Z18" s="1813"/>
      <c r="AA18" s="1810">
        <v>1</v>
      </c>
      <c r="AB18" s="1810">
        <v>1</v>
      </c>
      <c r="AC18" s="1810">
        <v>1</v>
      </c>
    </row>
    <row r="19" spans="1:29" ht="41.4">
      <c r="A19" s="428"/>
      <c r="B19" s="451" t="s">
        <v>2688</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6"/>
      <c r="Q19" s="1809" t="str">
        <f>B19</f>
        <v>公共配套设施</v>
      </c>
      <c r="R19" s="774" t="s">
        <v>17</v>
      </c>
      <c r="S19" s="775">
        <f>F19</f>
        <v>100</v>
      </c>
      <c r="T19" s="774" t="s">
        <v>17</v>
      </c>
      <c r="U19" s="775">
        <f>H19</f>
        <v>100</v>
      </c>
      <c r="V19" s="774" t="s">
        <v>17</v>
      </c>
      <c r="W19" s="775">
        <f>J19</f>
        <v>100</v>
      </c>
      <c r="X19" s="1812"/>
      <c r="Y19" s="3216"/>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40"/>
      <c r="M20" s="1131"/>
      <c r="N20" s="1131"/>
      <c r="O20" s="1139"/>
      <c r="P20" s="3216"/>
      <c r="Q20" s="1809"/>
      <c r="R20" s="774"/>
      <c r="S20" s="775"/>
      <c r="T20" s="774"/>
      <c r="U20" s="775"/>
      <c r="V20" s="774"/>
      <c r="W20" s="775"/>
      <c r="X20" s="1812"/>
      <c r="Y20" s="3216"/>
      <c r="Z20" s="1813"/>
      <c r="AA20" s="1810">
        <v>1</v>
      </c>
      <c r="AB20" s="1810">
        <v>1</v>
      </c>
      <c r="AC20" s="1810">
        <v>1</v>
      </c>
    </row>
    <row r="21" spans="1:29" ht="41.4">
      <c r="A21" s="428"/>
      <c r="B21" s="1383" t="s">
        <v>2689</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6"/>
      <c r="Q21" s="1809" t="str">
        <f>B21</f>
        <v>基础设施水平</v>
      </c>
      <c r="R21" s="774" t="s">
        <v>17</v>
      </c>
      <c r="S21" s="775">
        <f>F21</f>
        <v>100</v>
      </c>
      <c r="T21" s="774" t="s">
        <v>17</v>
      </c>
      <c r="U21" s="775">
        <f>H21</f>
        <v>100</v>
      </c>
      <c r="V21" s="774" t="s">
        <v>17</v>
      </c>
      <c r="W21" s="775">
        <f>J21</f>
        <v>100</v>
      </c>
      <c r="X21" s="1812"/>
      <c r="Y21" s="321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40"/>
      <c r="M22" s="1131"/>
      <c r="N22" s="1131"/>
      <c r="O22" s="1139"/>
      <c r="P22" s="3216"/>
      <c r="Q22" s="1809"/>
      <c r="R22" s="774"/>
      <c r="S22" s="775"/>
      <c r="T22" s="774"/>
      <c r="U22" s="775"/>
      <c r="V22" s="774"/>
      <c r="W22" s="775"/>
      <c r="X22" s="1812"/>
      <c r="Y22" s="3216"/>
      <c r="Z22" s="1813"/>
      <c r="AA22" s="1810">
        <v>1</v>
      </c>
      <c r="AB22" s="1810">
        <v>1</v>
      </c>
      <c r="AC22" s="1810">
        <v>1</v>
      </c>
    </row>
    <row r="23" spans="1:29" ht="82.8">
      <c r="A23" s="428"/>
      <c r="B23" s="451" t="s">
        <v>2690</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6"/>
      <c r="Q23" s="1809" t="str">
        <f>B23</f>
        <v>环境质量</v>
      </c>
      <c r="R23" s="774" t="s">
        <v>17</v>
      </c>
      <c r="S23" s="775">
        <f>F23</f>
        <v>100</v>
      </c>
      <c r="T23" s="774" t="s">
        <v>17</v>
      </c>
      <c r="U23" s="775">
        <f>H23</f>
        <v>100</v>
      </c>
      <c r="V23" s="774" t="s">
        <v>17</v>
      </c>
      <c r="W23" s="775">
        <f>J23</f>
        <v>100</v>
      </c>
      <c r="X23" s="1812"/>
      <c r="Y23" s="3216"/>
      <c r="Z23" s="1813" t="str">
        <f>Q23</f>
        <v>环境质量</v>
      </c>
      <c r="AA23" s="1810">
        <f t="shared" si="3"/>
        <v>1</v>
      </c>
      <c r="AB23" s="1810">
        <f t="shared" si="4"/>
        <v>1</v>
      </c>
      <c r="AC23" s="1810">
        <f t="shared" si="5"/>
        <v>1</v>
      </c>
    </row>
    <row r="24" spans="1:29" ht="15">
      <c r="A24" s="428"/>
      <c r="B24" s="1383"/>
      <c r="C24" s="447"/>
      <c r="D24" s="448"/>
      <c r="E24" s="2606"/>
      <c r="F24" s="449"/>
      <c r="G24" s="2605"/>
      <c r="H24" s="448"/>
      <c r="I24" s="2606"/>
      <c r="J24" s="448"/>
      <c r="K24" s="615"/>
      <c r="L24" s="1140"/>
      <c r="M24" s="1131"/>
      <c r="N24" s="1131"/>
      <c r="O24" s="1139"/>
      <c r="P24" s="3216"/>
      <c r="Q24" s="1809"/>
      <c r="R24" s="774"/>
      <c r="S24" s="775"/>
      <c r="T24" s="774"/>
      <c r="U24" s="775"/>
      <c r="V24" s="774"/>
      <c r="W24" s="775"/>
      <c r="X24" s="1812"/>
      <c r="Y24" s="3216"/>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6"/>
      <c r="Q25" s="1809">
        <f>B25</f>
        <v>111</v>
      </c>
      <c r="R25" s="774" t="s">
        <v>17</v>
      </c>
      <c r="S25" s="775">
        <f>F25</f>
        <v>100</v>
      </c>
      <c r="T25" s="774" t="s">
        <v>17</v>
      </c>
      <c r="U25" s="775">
        <f>H25</f>
        <v>100</v>
      </c>
      <c r="V25" s="774" t="s">
        <v>17</v>
      </c>
      <c r="W25" s="775">
        <f>J25</f>
        <v>100</v>
      </c>
      <c r="X25" s="1812"/>
      <c r="Y25" s="3216"/>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6"/>
      <c r="Q26" s="1809">
        <f t="shared" ref="Q26:Q40" si="11">B26</f>
        <v>111</v>
      </c>
      <c r="R26" s="774" t="s">
        <v>17</v>
      </c>
      <c r="S26" s="775">
        <f>F26</f>
        <v>100</v>
      </c>
      <c r="T26" s="774" t="s">
        <v>17</v>
      </c>
      <c r="U26" s="775">
        <f>H26</f>
        <v>100</v>
      </c>
      <c r="V26" s="774" t="s">
        <v>17</v>
      </c>
      <c r="W26" s="775">
        <f>J26</f>
        <v>100</v>
      </c>
      <c r="X26" s="1812"/>
      <c r="Y26" s="3216"/>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6"/>
      <c r="Q27" s="1794">
        <f t="shared" si="11"/>
        <v>111</v>
      </c>
      <c r="R27" s="770" t="s">
        <v>17</v>
      </c>
      <c r="S27" s="771">
        <f>F27</f>
        <v>100</v>
      </c>
      <c r="T27" s="770" t="s">
        <v>17</v>
      </c>
      <c r="U27" s="771">
        <f>H27</f>
        <v>100</v>
      </c>
      <c r="V27" s="770" t="s">
        <v>17</v>
      </c>
      <c r="W27" s="771">
        <f>J27</f>
        <v>100</v>
      </c>
      <c r="X27" s="772"/>
      <c r="Y27" s="3216"/>
      <c r="Z27" s="55">
        <f>Q27</f>
        <v>111</v>
      </c>
      <c r="AA27" s="1810">
        <f>D27/F27</f>
        <v>1</v>
      </c>
      <c r="AB27" s="1810">
        <f>D27/H27</f>
        <v>1</v>
      </c>
      <c r="AC27" s="1810">
        <f>D27/J27</f>
        <v>1</v>
      </c>
    </row>
    <row r="28" spans="1:29" ht="15.6"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6"/>
      <c r="Q28" s="1809">
        <f t="shared" si="11"/>
        <v>111</v>
      </c>
      <c r="R28" s="774" t="s">
        <v>17</v>
      </c>
      <c r="S28" s="775">
        <f t="shared" ref="S28:S40" si="12">F28</f>
        <v>100</v>
      </c>
      <c r="T28" s="774" t="s">
        <v>17</v>
      </c>
      <c r="U28" s="775">
        <f t="shared" ref="U28:U40" si="13">H28</f>
        <v>100</v>
      </c>
      <c r="V28" s="774" t="s">
        <v>17</v>
      </c>
      <c r="W28" s="775">
        <f t="shared" ref="W28:W40" si="14">J28</f>
        <v>100</v>
      </c>
      <c r="X28" s="1812"/>
      <c r="Y28" s="3216"/>
      <c r="Z28" s="1813">
        <f t="shared" ref="Z28:Z40" si="15">Q28</f>
        <v>111</v>
      </c>
      <c r="AA28" s="1810">
        <f t="shared" si="3"/>
        <v>1</v>
      </c>
      <c r="AB28" s="1810">
        <f t="shared" si="4"/>
        <v>1</v>
      </c>
      <c r="AC28" s="1810">
        <f t="shared" si="5"/>
        <v>1</v>
      </c>
    </row>
    <row r="29" spans="1:29" ht="30">
      <c r="A29" s="466" t="s">
        <v>2563</v>
      </c>
      <c r="B29" s="71" t="s">
        <v>2693</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39" t="s">
        <v>2565</v>
      </c>
      <c r="Q29" s="1809" t="str">
        <f t="shared" si="11"/>
        <v>建筑类型</v>
      </c>
      <c r="R29" s="774" t="s">
        <v>17</v>
      </c>
      <c r="S29" s="775">
        <f t="shared" si="12"/>
        <v>100</v>
      </c>
      <c r="T29" s="774" t="s">
        <v>17</v>
      </c>
      <c r="U29" s="775">
        <f t="shared" si="13"/>
        <v>100</v>
      </c>
      <c r="V29" s="774" t="s">
        <v>17</v>
      </c>
      <c r="W29" s="775">
        <f t="shared" si="14"/>
        <v>100</v>
      </c>
      <c r="X29" s="1812"/>
      <c r="Y29" s="3220" t="s">
        <v>2565</v>
      </c>
      <c r="Z29" s="1813" t="str">
        <f t="shared" si="15"/>
        <v>建筑类型</v>
      </c>
      <c r="AA29" s="1810">
        <f t="shared" si="3"/>
        <v>1</v>
      </c>
      <c r="AB29" s="1810">
        <f t="shared" si="4"/>
        <v>1</v>
      </c>
      <c r="AC29" s="1810">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0"/>
      <c r="Q30" s="776" t="str">
        <f t="shared" si="11"/>
        <v>项目建筑规模</v>
      </c>
      <c r="R30" s="777" t="s">
        <v>17</v>
      </c>
      <c r="S30" s="778" t="e">
        <f t="shared" si="12"/>
        <v>#N/A</v>
      </c>
      <c r="T30" s="777" t="s">
        <v>17</v>
      </c>
      <c r="U30" s="778" t="e">
        <f t="shared" si="13"/>
        <v>#N/A</v>
      </c>
      <c r="V30" s="777" t="s">
        <v>17</v>
      </c>
      <c r="W30" s="778" t="e">
        <f t="shared" si="14"/>
        <v>#N/A</v>
      </c>
      <c r="X30" s="779"/>
      <c r="Y30" s="3220"/>
      <c r="Z30" s="780" t="str">
        <f t="shared" si="15"/>
        <v>项目建筑规模</v>
      </c>
      <c r="AA30" s="1810" t="e">
        <f t="shared" si="3"/>
        <v>#N/A</v>
      </c>
      <c r="AB30" s="1810" t="e">
        <f t="shared" si="4"/>
        <v>#N/A</v>
      </c>
      <c r="AC30" s="1810"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0"/>
      <c r="Q31" s="1809" t="str">
        <f t="shared" si="11"/>
        <v>建筑结构</v>
      </c>
      <c r="R31" s="774" t="s">
        <v>17</v>
      </c>
      <c r="S31" s="775">
        <f t="shared" si="12"/>
        <v>100</v>
      </c>
      <c r="T31" s="774" t="s">
        <v>17</v>
      </c>
      <c r="U31" s="775">
        <f t="shared" si="13"/>
        <v>100</v>
      </c>
      <c r="V31" s="774" t="s">
        <v>17</v>
      </c>
      <c r="W31" s="775">
        <f t="shared" si="14"/>
        <v>100</v>
      </c>
      <c r="X31" s="1812"/>
      <c r="Y31" s="3220"/>
      <c r="Z31" s="1813" t="str">
        <f t="shared" si="15"/>
        <v>建筑结构</v>
      </c>
      <c r="AA31" s="1810">
        <f t="shared" si="3"/>
        <v>1</v>
      </c>
      <c r="AB31" s="1810">
        <f t="shared" si="4"/>
        <v>1</v>
      </c>
      <c r="AC31" s="1810">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0"/>
      <c r="Q32" s="1809" t="str">
        <f t="shared" si="11"/>
        <v>公共部分装修</v>
      </c>
      <c r="R32" s="774" t="s">
        <v>17</v>
      </c>
      <c r="S32" s="775">
        <f t="shared" si="12"/>
        <v>100</v>
      </c>
      <c r="T32" s="774" t="s">
        <v>17</v>
      </c>
      <c r="U32" s="775">
        <f t="shared" si="13"/>
        <v>100</v>
      </c>
      <c r="V32" s="774" t="s">
        <v>17</v>
      </c>
      <c r="W32" s="775">
        <f t="shared" si="14"/>
        <v>100</v>
      </c>
      <c r="X32" s="1812"/>
      <c r="Y32" s="3220"/>
      <c r="Z32" s="1813" t="str">
        <f t="shared" si="15"/>
        <v>公共部分装修</v>
      </c>
      <c r="AA32" s="1810">
        <f t="shared" si="3"/>
        <v>1</v>
      </c>
      <c r="AB32" s="1810">
        <f t="shared" si="4"/>
        <v>1</v>
      </c>
      <c r="AC32" s="1810">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0"/>
      <c r="Q33" s="1809" t="str">
        <f t="shared" si="11"/>
        <v>成新度</v>
      </c>
      <c r="R33" s="774" t="s">
        <v>17</v>
      </c>
      <c r="S33" s="775" t="e">
        <f t="shared" si="12"/>
        <v>#N/A</v>
      </c>
      <c r="T33" s="774" t="s">
        <v>17</v>
      </c>
      <c r="U33" s="775" t="e">
        <f t="shared" si="13"/>
        <v>#N/A</v>
      </c>
      <c r="V33" s="774" t="s">
        <v>17</v>
      </c>
      <c r="W33" s="775" t="e">
        <f t="shared" si="14"/>
        <v>#N/A</v>
      </c>
      <c r="X33" s="1812"/>
      <c r="Y33" s="3220"/>
      <c r="Z33" s="1813" t="str">
        <f t="shared" si="15"/>
        <v>成新度</v>
      </c>
      <c r="AA33" s="1810" t="e">
        <f t="shared" si="3"/>
        <v>#N/A</v>
      </c>
      <c r="AB33" s="1810" t="e">
        <f t="shared" si="4"/>
        <v>#N/A</v>
      </c>
      <c r="AC33" s="1810"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0"/>
      <c r="Q34" s="1794" t="str">
        <f t="shared" si="11"/>
        <v>物业管理</v>
      </c>
      <c r="R34" s="770" t="s">
        <v>17</v>
      </c>
      <c r="S34" s="771">
        <f t="shared" si="12"/>
        <v>100</v>
      </c>
      <c r="T34" s="770" t="s">
        <v>17</v>
      </c>
      <c r="U34" s="771">
        <f t="shared" si="13"/>
        <v>100</v>
      </c>
      <c r="V34" s="770" t="s">
        <v>17</v>
      </c>
      <c r="W34" s="771">
        <f t="shared" si="14"/>
        <v>100</v>
      </c>
      <c r="X34" s="772"/>
      <c r="Y34" s="3220"/>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0" t="s">
        <v>2565</v>
      </c>
      <c r="Q35" s="1809" t="str">
        <f t="shared" si="11"/>
        <v>市政基础设施</v>
      </c>
      <c r="R35" s="774" t="s">
        <v>17</v>
      </c>
      <c r="S35" s="775">
        <f t="shared" si="12"/>
        <v>100</v>
      </c>
      <c r="T35" s="774" t="s">
        <v>17</v>
      </c>
      <c r="U35" s="775">
        <f t="shared" si="13"/>
        <v>100</v>
      </c>
      <c r="V35" s="774" t="s">
        <v>17</v>
      </c>
      <c r="W35" s="775">
        <f t="shared" si="14"/>
        <v>100</v>
      </c>
      <c r="X35" s="1812"/>
      <c r="Y35" s="3220" t="s">
        <v>2565</v>
      </c>
      <c r="Z35" s="1813" t="str">
        <f t="shared" si="15"/>
        <v>市政基础设施</v>
      </c>
      <c r="AA35" s="1810">
        <f t="shared" si="3"/>
        <v>1</v>
      </c>
      <c r="AB35" s="1810">
        <f t="shared" si="4"/>
        <v>1</v>
      </c>
      <c r="AC35" s="1810">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0"/>
      <c r="Q36" s="1809" t="str">
        <f t="shared" si="11"/>
        <v>内部装修</v>
      </c>
      <c r="R36" s="774" t="s">
        <v>17</v>
      </c>
      <c r="S36" s="775">
        <f t="shared" si="12"/>
        <v>100</v>
      </c>
      <c r="T36" s="774" t="s">
        <v>17</v>
      </c>
      <c r="U36" s="775">
        <f t="shared" si="13"/>
        <v>100</v>
      </c>
      <c r="V36" s="774" t="s">
        <v>17</v>
      </c>
      <c r="W36" s="775">
        <f t="shared" si="14"/>
        <v>100</v>
      </c>
      <c r="X36" s="1812"/>
      <c r="Y36" s="3220"/>
      <c r="Z36" s="1813" t="str">
        <f t="shared" si="15"/>
        <v>内部装修</v>
      </c>
      <c r="AA36" s="1810">
        <f t="shared" si="3"/>
        <v>1</v>
      </c>
      <c r="AB36" s="1810">
        <f t="shared" si="4"/>
        <v>1</v>
      </c>
      <c r="AC36" s="1810">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0"/>
      <c r="Q37" s="1809" t="str">
        <f t="shared" si="11"/>
        <v>内部装修状况</v>
      </c>
      <c r="R37" s="774" t="s">
        <v>17</v>
      </c>
      <c r="S37" s="775">
        <f t="shared" si="12"/>
        <v>100</v>
      </c>
      <c r="T37" s="774" t="s">
        <v>17</v>
      </c>
      <c r="U37" s="775">
        <f t="shared" si="13"/>
        <v>100</v>
      </c>
      <c r="V37" s="774" t="s">
        <v>17</v>
      </c>
      <c r="W37" s="775">
        <f t="shared" si="14"/>
        <v>100</v>
      </c>
      <c r="X37" s="1812"/>
      <c r="Y37" s="3220"/>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0"/>
      <c r="Q38" s="776">
        <f t="shared" si="11"/>
        <v>111</v>
      </c>
      <c r="R38" s="777" t="s">
        <v>17</v>
      </c>
      <c r="S38" s="778">
        <f t="shared" si="12"/>
        <v>100</v>
      </c>
      <c r="T38" s="777" t="s">
        <v>17</v>
      </c>
      <c r="U38" s="778">
        <f t="shared" si="13"/>
        <v>100</v>
      </c>
      <c r="V38" s="777" t="s">
        <v>17</v>
      </c>
      <c r="W38" s="778">
        <f t="shared" si="14"/>
        <v>100</v>
      </c>
      <c r="X38" s="779"/>
      <c r="Y38" s="3220"/>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0"/>
      <c r="Q39" s="1809">
        <f t="shared" si="11"/>
        <v>111</v>
      </c>
      <c r="R39" s="774" t="s">
        <v>17</v>
      </c>
      <c r="S39" s="775">
        <f t="shared" si="12"/>
        <v>100</v>
      </c>
      <c r="T39" s="774" t="s">
        <v>17</v>
      </c>
      <c r="U39" s="775">
        <f t="shared" si="13"/>
        <v>100</v>
      </c>
      <c r="V39" s="774" t="s">
        <v>17</v>
      </c>
      <c r="W39" s="775">
        <f t="shared" si="14"/>
        <v>100</v>
      </c>
      <c r="X39" s="1812"/>
      <c r="Y39" s="3220"/>
      <c r="Z39" s="1813">
        <f t="shared" si="15"/>
        <v>111</v>
      </c>
      <c r="AA39" s="1810">
        <f t="shared" si="3"/>
        <v>1</v>
      </c>
      <c r="AB39" s="1810">
        <f t="shared" si="4"/>
        <v>1</v>
      </c>
      <c r="AC39" s="1810">
        <f t="shared" si="5"/>
        <v>1</v>
      </c>
    </row>
    <row r="40" spans="1:29" ht="15.6"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1"/>
      <c r="Q40" s="1809">
        <f t="shared" si="11"/>
        <v>111</v>
      </c>
      <c r="R40" s="774" t="s">
        <v>17</v>
      </c>
      <c r="S40" s="775">
        <f t="shared" si="12"/>
        <v>100</v>
      </c>
      <c r="T40" s="774" t="s">
        <v>17</v>
      </c>
      <c r="U40" s="775">
        <f t="shared" si="13"/>
        <v>100</v>
      </c>
      <c r="V40" s="774" t="s">
        <v>17</v>
      </c>
      <c r="W40" s="775">
        <f t="shared" si="14"/>
        <v>100</v>
      </c>
      <c r="X40" s="1812"/>
      <c r="Y40" s="3221"/>
      <c r="Z40" s="1813">
        <f t="shared" si="15"/>
        <v>111</v>
      </c>
      <c r="AA40" s="1810">
        <f t="shared" si="3"/>
        <v>1</v>
      </c>
      <c r="AB40" s="1810">
        <f t="shared" si="4"/>
        <v>1</v>
      </c>
      <c r="AC40" s="1810">
        <f t="shared" si="5"/>
        <v>1</v>
      </c>
    </row>
    <row r="41" spans="1:29" ht="14.4">
      <c r="A41" s="479" t="s">
        <v>2577</v>
      </c>
      <c r="B41" s="480"/>
      <c r="C41" s="1406" t="s">
        <v>1</v>
      </c>
      <c r="D41" s="1407"/>
      <c r="E41" s="1408"/>
      <c r="F41" s="1409"/>
      <c r="G41" s="1410"/>
      <c r="H41" s="1411"/>
      <c r="I41" s="1408"/>
      <c r="J41" s="1411"/>
      <c r="K41" s="783"/>
      <c r="L41" s="1143"/>
      <c r="M41" s="1144"/>
      <c r="N41" s="1131"/>
      <c r="O41" s="1144"/>
      <c r="P41" s="3213" t="str">
        <f>A41</f>
        <v>成交单价（元/平方米）</v>
      </c>
      <c r="Q41" s="3213"/>
      <c r="R41" s="3214">
        <f>E41</f>
        <v>0</v>
      </c>
      <c r="S41" s="3214"/>
      <c r="T41" s="3214">
        <f>G41</f>
        <v>0</v>
      </c>
      <c r="U41" s="3214"/>
      <c r="V41" s="3214">
        <f>I41</f>
        <v>0</v>
      </c>
      <c r="W41" s="3214"/>
      <c r="X41" s="759"/>
      <c r="Y41" s="781"/>
      <c r="Z41" s="759"/>
      <c r="AA41" s="759"/>
      <c r="AB41" s="759"/>
      <c r="AC41" s="759"/>
    </row>
    <row r="42" spans="1:29" ht="15" thickBot="1">
      <c r="A42" s="486" t="s">
        <v>2669</v>
      </c>
      <c r="B42" s="487"/>
      <c r="C42" s="1412" t="e">
        <f>R43</f>
        <v>#DIV/0!</v>
      </c>
      <c r="D42" s="1413"/>
      <c r="E42" s="1414" t="e">
        <f>R42</f>
        <v>#DIV/0!</v>
      </c>
      <c r="F42" s="1414"/>
      <c r="G42" s="1412" t="e">
        <f>T42</f>
        <v>#DIV/0!</v>
      </c>
      <c r="H42" s="1413"/>
      <c r="I42" s="1414" t="e">
        <f>V42</f>
        <v>#DIV/0!</v>
      </c>
      <c r="J42" s="1413"/>
      <c r="K42" s="784"/>
      <c r="L42" s="1143"/>
      <c r="M42" s="1144"/>
      <c r="N42" s="1131"/>
      <c r="O42" s="1144"/>
      <c r="P42" s="3213" t="str">
        <f>A42</f>
        <v>比较价值（元/平方米）</v>
      </c>
      <c r="Q42" s="3213"/>
      <c r="R42" s="3214" t="e">
        <f>IF(F1="售价",ROUND(PRODUCT(R41,AA7:AA40),0),ROUND(PRODUCT(R41,AA7:AA40),1))</f>
        <v>#DIV/0!</v>
      </c>
      <c r="S42" s="3214"/>
      <c r="T42" s="3214" t="e">
        <f>IF(F1="售价",ROUND(PRODUCT(T41,AB7:AB40),0),ROUND(PRODUCT(T41,AB7:AB40),1))</f>
        <v>#DIV/0!</v>
      </c>
      <c r="U42" s="3214"/>
      <c r="V42" s="3214" t="e">
        <f>IF(F1="售价",ROUND(PRODUCT(V41,AC7:AC40),0),ROUND(PRODUCT(V41,AC7:AC40),1))</f>
        <v>#DIV/0!</v>
      </c>
      <c r="W42" s="3214"/>
      <c r="X42" s="759"/>
      <c r="Y42" s="759"/>
      <c r="Z42" s="759"/>
      <c r="AA42" s="759"/>
      <c r="AB42" s="759"/>
      <c r="AC42" s="759"/>
    </row>
    <row r="43" spans="1:29" ht="15" thickBot="1">
      <c r="A43" s="492" t="s">
        <v>2670</v>
      </c>
      <c r="B43" s="493"/>
      <c r="C43" s="1416" t="e">
        <f>R43</f>
        <v>#DIV/0!</v>
      </c>
      <c r="D43" s="1416"/>
      <c r="E43" s="1416"/>
      <c r="F43" s="1416"/>
      <c r="G43" s="1416"/>
      <c r="H43" s="1416"/>
      <c r="I43" s="1416"/>
      <c r="J43" s="1416"/>
      <c r="K43" s="785"/>
      <c r="L43" s="1143"/>
      <c r="M43" s="1144"/>
      <c r="N43" s="1144"/>
      <c r="O43" s="1144"/>
      <c r="P43" s="3210" t="str">
        <f>A43</f>
        <v>估价对象XX用房的比较价值（楼面单价，元/平方米）</v>
      </c>
      <c r="Q43" s="3211"/>
      <c r="R43" s="3212" t="e">
        <f>IF(F1="售价",ROUND(AVERAGE(R42:V42),0),ROUND(AVERAGE(R42:V42),1))</f>
        <v>#DIV/0!</v>
      </c>
      <c r="S43" s="3212"/>
      <c r="T43" s="3212"/>
      <c r="U43" s="3212"/>
      <c r="V43" s="3212"/>
      <c r="W43" s="321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2674</v>
      </c>
      <c r="B51" s="759"/>
      <c r="C51" s="764"/>
      <c r="D51" s="764"/>
      <c r="E51" s="764"/>
      <c r="F51" s="765"/>
      <c r="G51" s="765"/>
      <c r="H51" s="764"/>
      <c r="I51" s="764"/>
      <c r="J51" s="764"/>
      <c r="K51" s="1160"/>
      <c r="L51" s="1161"/>
      <c r="M51" s="1159"/>
      <c r="N51" s="1159"/>
      <c r="O51" s="1159"/>
      <c r="P51" s="503"/>
      <c r="Q51" s="504"/>
    </row>
    <row r="52" spans="1:17" s="508" customFormat="1" ht="14.4">
      <c r="A52" s="505" t="s">
        <v>2548</v>
      </c>
      <c r="B52" s="506"/>
      <c r="C52" s="1573" t="str">
        <f>YEAR(C7)&amp;"-"&amp;MONTH(C7)</f>
        <v>2019-12</v>
      </c>
      <c r="D52" s="1574">
        <f>EDATE(C52,-1)</f>
        <v>43770</v>
      </c>
      <c r="E52" s="1574">
        <f t="shared" ref="E52:O52" si="16">EDATE(D52,-1)</f>
        <v>43739</v>
      </c>
      <c r="F52" s="1574">
        <f t="shared" si="16"/>
        <v>43709</v>
      </c>
      <c r="G52" s="1574">
        <f t="shared" si="16"/>
        <v>43678</v>
      </c>
      <c r="H52" s="1574">
        <f t="shared" si="16"/>
        <v>43647</v>
      </c>
      <c r="I52" s="1574">
        <f t="shared" si="16"/>
        <v>43617</v>
      </c>
      <c r="J52" s="1574">
        <f t="shared" si="16"/>
        <v>43586</v>
      </c>
      <c r="K52" s="1574">
        <f t="shared" si="16"/>
        <v>43556</v>
      </c>
      <c r="L52" s="1574">
        <f t="shared" si="16"/>
        <v>43525</v>
      </c>
      <c r="M52" s="1574">
        <f t="shared" si="16"/>
        <v>43497</v>
      </c>
      <c r="N52" s="1574">
        <f t="shared" si="16"/>
        <v>43466</v>
      </c>
      <c r="O52" s="1574">
        <f t="shared" si="16"/>
        <v>43435</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2585</v>
      </c>
      <c r="B54" s="516"/>
      <c r="C54" s="517"/>
      <c r="D54" s="518"/>
      <c r="E54" s="518"/>
      <c r="F54" s="518"/>
      <c r="G54" s="518"/>
      <c r="H54" s="518"/>
      <c r="I54" s="518"/>
      <c r="J54" s="518"/>
      <c r="K54" s="518"/>
      <c r="L54" s="518"/>
      <c r="M54" s="519"/>
      <c r="N54" s="518"/>
      <c r="O54" s="520"/>
      <c r="P54" s="504"/>
      <c r="Q54" s="504"/>
    </row>
    <row r="55" spans="1:17" s="117" customFormat="1" ht="14.4">
      <c r="A55" s="521" t="s">
        <v>2550</v>
      </c>
      <c r="B55" s="510"/>
      <c r="C55" s="522" t="s">
        <v>2652</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2588</v>
      </c>
      <c r="B57" s="528" t="s">
        <v>2554</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2689</v>
      </c>
      <c r="C76" s="660" t="s">
        <v>2675</v>
      </c>
      <c r="D76" s="660" t="s">
        <v>2676</v>
      </c>
      <c r="E76" s="660" t="s">
        <v>2677</v>
      </c>
      <c r="F76" s="660" t="s">
        <v>2678</v>
      </c>
      <c r="G76" s="660" t="s">
        <v>2679</v>
      </c>
      <c r="H76" s="539"/>
      <c r="I76" s="539"/>
      <c r="J76" s="539"/>
      <c r="K76" s="539"/>
      <c r="L76" s="539"/>
      <c r="M76" s="1381"/>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7"/>
      <c r="B87" s="569"/>
      <c r="C87" s="570"/>
      <c r="D87" s="570"/>
      <c r="E87" s="570"/>
      <c r="F87" s="570"/>
      <c r="G87" s="591"/>
      <c r="H87" s="591"/>
      <c r="I87" s="591"/>
      <c r="J87" s="591"/>
      <c r="K87" s="591"/>
      <c r="L87" s="591"/>
      <c r="M87" s="592"/>
      <c r="N87" s="1153"/>
      <c r="O87" s="1153"/>
      <c r="P87" s="45"/>
      <c r="Q87" s="504"/>
    </row>
    <row r="88" spans="1:17" ht="14.4">
      <c r="A88" s="527" t="s">
        <v>2563</v>
      </c>
      <c r="B88" s="528" t="s">
        <v>2612</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55" zoomScaleNormal="55" workbookViewId="0">
      <selection activeCell="Q44" sqref="Q44"/>
    </sheetView>
  </sheetViews>
  <sheetFormatPr defaultColWidth="9" defaultRowHeight="13.8"/>
  <cols>
    <col min="1" max="1" width="10.44140625" style="403" customWidth="1"/>
    <col min="2" max="2" width="15.77734375" style="403" customWidth="1"/>
    <col min="3" max="3" width="16.6640625" style="403" customWidth="1"/>
    <col min="4" max="4" width="12.21875" style="403" customWidth="1"/>
    <col min="5" max="5" width="16.88671875" style="403" customWidth="1"/>
    <col min="6" max="6" width="12.21875" style="403" customWidth="1"/>
    <col min="7" max="7" width="16.66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2707</v>
      </c>
      <c r="B1" s="1618" t="s">
        <v>1373</v>
      </c>
      <c r="C1" s="1619" t="s">
        <v>2530</v>
      </c>
      <c r="D1" s="1620" t="s">
        <v>3075</v>
      </c>
      <c r="E1" s="1621"/>
      <c r="F1" s="2585" t="s">
        <v>3093</v>
      </c>
      <c r="G1" s="1622" t="s">
        <v>2643</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7" t="e">
        <f>IF(C2="——",IF(B37="元/平方米",ROUND(C39*D3/10000,0),ROUND(F3*C39/10000,0)),IF(B37="元/平方米",ROUND(C39*D3/10000,0),ROUND(F3*C39/10000,0))-D2)</f>
        <v>#DIV/0!</v>
      </c>
      <c r="C2" s="2587" t="s">
        <v>70</v>
      </c>
      <c r="D2" s="1124" t="e">
        <f ca="1">SUMIF(INDIRECT("'"&amp;F2&amp;"'"&amp;"!A:A"),"承租人权益价值",INDIRECT("'"&amp;F2&amp;"'"&amp;"!c:c"))</f>
        <v>#REF!</v>
      </c>
      <c r="E2" s="2588" t="s">
        <v>2328</v>
      </c>
      <c r="F2" s="2589"/>
      <c r="G2" s="1125"/>
      <c r="H2" s="1125"/>
      <c r="I2" s="1125"/>
      <c r="J2" s="1125"/>
      <c r="K2" s="1127"/>
      <c r="L2" s="1128"/>
      <c r="M2" s="1129"/>
      <c r="N2" s="1129"/>
      <c r="O2" s="1129"/>
      <c r="P2" s="1418"/>
      <c r="Q2" s="768"/>
      <c r="R2" s="768"/>
      <c r="S2" s="768"/>
      <c r="T2" s="768"/>
      <c r="U2" s="768"/>
      <c r="V2" s="768"/>
      <c r="W2" s="768"/>
      <c r="X2" s="768"/>
      <c r="Y2" s="768"/>
      <c r="Z2" s="768"/>
      <c r="AA2" s="768"/>
      <c r="AB2" s="768"/>
      <c r="AC2" s="769"/>
    </row>
    <row r="3" spans="1:29" s="398" customFormat="1" ht="28.5" customHeight="1" thickBot="1">
      <c r="A3" s="247" t="s">
        <v>2329</v>
      </c>
      <c r="B3" s="609" t="e">
        <f>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8"/>
      <c r="Q3" s="768"/>
      <c r="R3" s="768"/>
      <c r="S3" s="768"/>
      <c r="T3" s="768"/>
      <c r="U3" s="768"/>
      <c r="V3" s="768"/>
      <c r="W3" s="768"/>
      <c r="X3" s="768"/>
      <c r="Y3" s="768"/>
      <c r="Z3" s="768"/>
      <c r="AA3" s="768"/>
      <c r="AB3" s="786"/>
      <c r="AC3" s="782"/>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179" t="s">
        <v>2648</v>
      </c>
      <c r="AC4" s="3178" t="s">
        <v>2649</v>
      </c>
    </row>
    <row r="5" spans="1:29">
      <c r="A5" s="404"/>
      <c r="B5" s="405"/>
      <c r="C5" s="3241" t="s">
        <v>3094</v>
      </c>
      <c r="D5" s="3190"/>
      <c r="E5" s="3240" t="s">
        <v>3096</v>
      </c>
      <c r="F5" s="3188"/>
      <c r="G5" s="3241" t="s">
        <v>3097</v>
      </c>
      <c r="H5" s="3190"/>
      <c r="I5" s="3241" t="s">
        <v>3098</v>
      </c>
      <c r="J5" s="3190"/>
      <c r="K5" s="610"/>
      <c r="L5" s="1130"/>
      <c r="M5" s="1131"/>
      <c r="N5" s="1131"/>
      <c r="O5" s="1131"/>
      <c r="P5" s="3202"/>
      <c r="Q5" s="3203"/>
      <c r="R5" s="3185"/>
      <c r="S5" s="3186"/>
      <c r="T5" s="3185"/>
      <c r="U5" s="3186"/>
      <c r="V5" s="3208"/>
      <c r="W5" s="3208"/>
      <c r="X5" s="1812"/>
      <c r="Y5" s="3185"/>
      <c r="Z5" s="3186"/>
      <c r="AA5" s="3179"/>
      <c r="AB5" s="3179"/>
      <c r="AC5" s="3179"/>
    </row>
    <row r="6" spans="1:29" ht="15" thickBot="1">
      <c r="A6" s="406"/>
      <c r="B6" s="407"/>
      <c r="C6" s="3242" t="s">
        <v>3095</v>
      </c>
      <c r="D6" s="3192"/>
      <c r="E6" s="3243" t="s">
        <v>614</v>
      </c>
      <c r="F6" s="3194"/>
      <c r="G6" s="3243" t="s">
        <v>614</v>
      </c>
      <c r="H6" s="3194"/>
      <c r="I6" s="3243" t="s">
        <v>614</v>
      </c>
      <c r="J6" s="3194"/>
      <c r="K6" s="610" t="s">
        <v>2547</v>
      </c>
      <c r="L6" s="1130"/>
      <c r="M6" s="1131"/>
      <c r="N6" s="1131"/>
      <c r="O6" s="1131"/>
      <c r="P6" s="3204"/>
      <c r="Q6" s="3205"/>
      <c r="R6" s="3185"/>
      <c r="S6" s="3186"/>
      <c r="T6" s="3206"/>
      <c r="U6" s="3207"/>
      <c r="V6" s="3208"/>
      <c r="W6" s="3208"/>
      <c r="X6" s="1812"/>
      <c r="Y6" s="3206"/>
      <c r="Z6" s="3207"/>
      <c r="AA6" s="3180"/>
      <c r="AB6" s="3180"/>
      <c r="AC6" s="3180"/>
    </row>
    <row r="7" spans="1:29" s="117" customFormat="1" ht="15" thickBot="1">
      <c r="A7" s="408" t="s">
        <v>2548</v>
      </c>
      <c r="B7" s="409"/>
      <c r="C7" s="410">
        <f>'数据-取费表'!B2</f>
        <v>43802</v>
      </c>
      <c r="D7" s="411">
        <v>100</v>
      </c>
      <c r="E7" s="412">
        <v>43678</v>
      </c>
      <c r="F7" s="413">
        <f>SUMIF(48:48,YEAR(E7)&amp;"-"&amp;MONTH(E7),49:49)</f>
        <v>99.5</v>
      </c>
      <c r="G7" s="412">
        <v>43709</v>
      </c>
      <c r="H7" s="411">
        <f>SUMIF(48:48,YEAR(G7)&amp;"-"&amp;MONTH(G7),49:49)</f>
        <v>99.5</v>
      </c>
      <c r="I7" s="412">
        <v>43709</v>
      </c>
      <c r="J7" s="411">
        <f>SUMIF(48:48,YEAR(I7)&amp;"-"&amp;MONTH(I7),49:49)</f>
        <v>99.5</v>
      </c>
      <c r="K7" s="611"/>
      <c r="L7" s="1132"/>
      <c r="M7" s="1133"/>
      <c r="N7" s="1133"/>
      <c r="O7" s="1133"/>
      <c r="P7" s="3181" t="s">
        <v>2549</v>
      </c>
      <c r="Q7" s="3209"/>
      <c r="R7" s="770" t="s">
        <v>17</v>
      </c>
      <c r="S7" s="771">
        <f t="shared" ref="S7:S14" si="0">F7</f>
        <v>99.5</v>
      </c>
      <c r="T7" s="770" t="s">
        <v>17</v>
      </c>
      <c r="U7" s="771">
        <f t="shared" ref="U7:U14" si="1">H7</f>
        <v>99.5</v>
      </c>
      <c r="V7" s="770" t="s">
        <v>17</v>
      </c>
      <c r="W7" s="771">
        <f t="shared" ref="W7:W14" si="2">J7</f>
        <v>99.5</v>
      </c>
      <c r="X7" s="772"/>
      <c r="Y7" s="3181" t="s">
        <v>2549</v>
      </c>
      <c r="Z7" s="3182"/>
      <c r="AA7" s="773">
        <f>D7/F7</f>
        <v>1.0050251256281406</v>
      </c>
      <c r="AB7" s="773">
        <f>D7/H7</f>
        <v>1.0050251256281406</v>
      </c>
      <c r="AC7" s="773">
        <f>D7/J7</f>
        <v>1.0050251256281406</v>
      </c>
    </row>
    <row r="8" spans="1:29" s="117" customFormat="1" ht="15" thickBot="1">
      <c r="A8" s="408" t="s">
        <v>2550</v>
      </c>
      <c r="B8" s="409"/>
      <c r="C8" s="414" t="s">
        <v>2652</v>
      </c>
      <c r="D8" s="411">
        <v>100</v>
      </c>
      <c r="E8" s="414" t="s">
        <v>3111</v>
      </c>
      <c r="F8" s="413">
        <f>SUMIF(51:51,E8,52:52)-SUMIF(51:51,C8,52:52)+100</f>
        <v>100</v>
      </c>
      <c r="G8" s="414" t="s">
        <v>3111</v>
      </c>
      <c r="H8" s="411">
        <f>SUMIF(51:51,G8,52:52)-SUMIF(51:51,C8,52:52)+100</f>
        <v>100</v>
      </c>
      <c r="I8" s="414" t="s">
        <v>3111</v>
      </c>
      <c r="J8" s="411">
        <f>SUMIF(51:51,I8,52:52)-SUMIF(51:51,C8,52:52)+100</f>
        <v>100</v>
      </c>
      <c r="K8" s="611"/>
      <c r="L8" s="1132"/>
      <c r="M8" s="1133"/>
      <c r="N8" s="1133"/>
      <c r="O8" s="1133"/>
      <c r="P8" s="3181" t="s">
        <v>2552</v>
      </c>
      <c r="Q8" s="3182"/>
      <c r="R8" s="770" t="s">
        <v>17</v>
      </c>
      <c r="S8" s="771">
        <f t="shared" si="0"/>
        <v>100</v>
      </c>
      <c r="T8" s="770" t="s">
        <v>17</v>
      </c>
      <c r="U8" s="771">
        <f t="shared" si="1"/>
        <v>100</v>
      </c>
      <c r="V8" s="770" t="s">
        <v>17</v>
      </c>
      <c r="W8" s="771">
        <f t="shared" si="2"/>
        <v>100</v>
      </c>
      <c r="X8" s="772"/>
      <c r="Y8" s="3181" t="s">
        <v>2552</v>
      </c>
      <c r="Z8" s="3182"/>
      <c r="AA8" s="773">
        <f t="shared" ref="AA8:AA36" si="3">D8/F8</f>
        <v>1</v>
      </c>
      <c r="AB8" s="773">
        <f t="shared" ref="AB8:AB36" si="4">D8/H8</f>
        <v>1</v>
      </c>
      <c r="AC8" s="773">
        <f t="shared" ref="AC8:AC36" si="5">D8/J8</f>
        <v>1</v>
      </c>
    </row>
    <row r="9" spans="1:29" s="117" customFormat="1" ht="14.4">
      <c r="A9" s="68" t="s">
        <v>2553</v>
      </c>
      <c r="B9" s="640" t="s">
        <v>2554</v>
      </c>
      <c r="C9" s="2956" t="s">
        <v>3099</v>
      </c>
      <c r="D9" s="135">
        <v>100</v>
      </c>
      <c r="E9" s="419" t="s">
        <v>3075</v>
      </c>
      <c r="F9" s="135">
        <f>SUMIF(53:53,E9,54:54)-SUMIF(53:53,C9,54:54)+100</f>
        <v>100</v>
      </c>
      <c r="G9" s="419" t="s">
        <v>3075</v>
      </c>
      <c r="H9" s="135">
        <f>SUMIF(53:53,G9,54:54)-SUMIF(53:53,C9,54:54)+100</f>
        <v>100</v>
      </c>
      <c r="I9" s="419" t="s">
        <v>3075</v>
      </c>
      <c r="J9" s="135">
        <f>SUMIF(53:53,I9,54:54)-SUMIF(53:53,C9,54:54)+100</f>
        <v>100</v>
      </c>
      <c r="K9" s="611"/>
      <c r="L9" s="1132"/>
      <c r="M9" s="1133"/>
      <c r="N9" s="1133"/>
      <c r="O9" s="1133"/>
      <c r="P9" s="3213" t="s">
        <v>2555</v>
      </c>
      <c r="Q9" s="1794" t="str">
        <f t="shared" ref="Q9:Q14" si="6">B9</f>
        <v>用途</v>
      </c>
      <c r="R9" s="770" t="s">
        <v>17</v>
      </c>
      <c r="S9" s="771">
        <f t="shared" si="0"/>
        <v>100</v>
      </c>
      <c r="T9" s="770" t="s">
        <v>17</v>
      </c>
      <c r="U9" s="771">
        <f t="shared" si="1"/>
        <v>100</v>
      </c>
      <c r="V9" s="770" t="s">
        <v>17</v>
      </c>
      <c r="W9" s="771">
        <f t="shared" si="2"/>
        <v>100</v>
      </c>
      <c r="X9" s="772"/>
      <c r="Y9" s="3028" t="s">
        <v>2556</v>
      </c>
      <c r="Z9" s="55" t="str">
        <f t="shared" ref="Z9:Z14" si="7">Q9</f>
        <v>用途</v>
      </c>
      <c r="AA9" s="773">
        <f t="shared" si="3"/>
        <v>1</v>
      </c>
      <c r="AB9" s="773">
        <f t="shared" si="4"/>
        <v>1</v>
      </c>
      <c r="AC9" s="773">
        <f t="shared" si="5"/>
        <v>1</v>
      </c>
    </row>
    <row r="10" spans="1:29" s="427" customFormat="1" ht="28.8">
      <c r="A10" s="641"/>
      <c r="B10" s="642" t="s">
        <v>2557</v>
      </c>
      <c r="C10" s="423" t="s">
        <v>3110</v>
      </c>
      <c r="D10" s="136">
        <v>100</v>
      </c>
      <c r="E10" s="423" t="s">
        <v>3110</v>
      </c>
      <c r="F10" s="136">
        <f>SUMIF(55:55,E10,56:56)-SUMIF(55:55,C10,56:56)+100</f>
        <v>100</v>
      </c>
      <c r="G10" s="423" t="s">
        <v>3110</v>
      </c>
      <c r="H10" s="136">
        <f>SUMIF(55:55,G10,56:56)-SUMIF(55:55,C10,56:56)+100</f>
        <v>100</v>
      </c>
      <c r="I10" s="423" t="s">
        <v>3110</v>
      </c>
      <c r="J10" s="136">
        <f>SUMIF(55:55,I10,56:56)-SUMIF(55:55,C10,56:56)+100</f>
        <v>100</v>
      </c>
      <c r="K10" s="612">
        <v>1</v>
      </c>
      <c r="L10" s="1135"/>
      <c r="M10" s="1136"/>
      <c r="N10" s="1136"/>
      <c r="O10" s="1136"/>
      <c r="P10" s="3213"/>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3"/>
      <c r="Q11" s="1794">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3"/>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3"/>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82.8">
      <c r="A14" s="401" t="s">
        <v>2559</v>
      </c>
      <c r="B14" s="629" t="s">
        <v>2709</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5" t="s">
        <v>2560</v>
      </c>
      <c r="Q14" s="1809" t="str">
        <f t="shared" si="6"/>
        <v>交通便捷度</v>
      </c>
      <c r="R14" s="774" t="s">
        <v>17</v>
      </c>
      <c r="S14" s="775">
        <f t="shared" si="0"/>
        <v>100</v>
      </c>
      <c r="T14" s="774" t="s">
        <v>17</v>
      </c>
      <c r="U14" s="775">
        <f t="shared" si="1"/>
        <v>100</v>
      </c>
      <c r="V14" s="774" t="s">
        <v>17</v>
      </c>
      <c r="W14" s="775">
        <f t="shared" si="2"/>
        <v>100</v>
      </c>
      <c r="X14" s="1812"/>
      <c r="Y14" s="3215" t="s">
        <v>2560</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6"/>
      <c r="Q15" s="1809"/>
      <c r="R15" s="774"/>
      <c r="S15" s="775"/>
      <c r="T15" s="774"/>
      <c r="U15" s="775"/>
      <c r="V15" s="774"/>
      <c r="W15" s="775"/>
      <c r="X15" s="1812"/>
      <c r="Y15" s="3216"/>
      <c r="Z15" s="1813"/>
      <c r="AA15" s="1810">
        <v>1</v>
      </c>
      <c r="AB15" s="1810">
        <v>1</v>
      </c>
      <c r="AC15" s="1810">
        <v>1</v>
      </c>
    </row>
    <row r="16" spans="1:29" ht="41.4">
      <c r="A16" s="404"/>
      <c r="B16" s="631" t="s">
        <v>2688</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6"/>
      <c r="Q16" s="1809" t="str">
        <f>B16</f>
        <v>公共配套设施</v>
      </c>
      <c r="R16" s="774" t="s">
        <v>17</v>
      </c>
      <c r="S16" s="775">
        <f>F16</f>
        <v>100</v>
      </c>
      <c r="T16" s="774" t="s">
        <v>17</v>
      </c>
      <c r="U16" s="775">
        <f>H16</f>
        <v>100</v>
      </c>
      <c r="V16" s="774" t="s">
        <v>17</v>
      </c>
      <c r="W16" s="775">
        <f>J16</f>
        <v>100</v>
      </c>
      <c r="X16" s="1812"/>
      <c r="Y16" s="3216"/>
      <c r="Z16" s="1813" t="str">
        <f>Q16</f>
        <v>公共配套设施</v>
      </c>
      <c r="AA16" s="1810">
        <f t="shared" si="3"/>
        <v>1</v>
      </c>
      <c r="AB16" s="1810">
        <f t="shared" si="4"/>
        <v>1</v>
      </c>
      <c r="AC16" s="1810">
        <f t="shared" si="5"/>
        <v>1</v>
      </c>
    </row>
    <row r="17" spans="1:29" ht="15">
      <c r="A17" s="404"/>
      <c r="B17" s="632"/>
      <c r="C17" s="2609"/>
      <c r="D17" s="448"/>
      <c r="E17" s="447"/>
      <c r="F17" s="449"/>
      <c r="G17" s="447"/>
      <c r="H17" s="448"/>
      <c r="I17" s="447"/>
      <c r="J17" s="448"/>
      <c r="K17" s="615"/>
      <c r="L17" s="1140"/>
      <c r="M17" s="1131"/>
      <c r="N17" s="1131"/>
      <c r="O17" s="1131"/>
      <c r="P17" s="3216"/>
      <c r="Q17" s="1809"/>
      <c r="R17" s="774"/>
      <c r="S17" s="775"/>
      <c r="T17" s="774"/>
      <c r="U17" s="775"/>
      <c r="V17" s="774"/>
      <c r="W17" s="775"/>
      <c r="X17" s="1812"/>
      <c r="Y17" s="3216"/>
      <c r="Z17" s="1813"/>
      <c r="AA17" s="1810">
        <v>1</v>
      </c>
      <c r="AB17" s="1810">
        <v>1</v>
      </c>
      <c r="AC17" s="1810">
        <v>1</v>
      </c>
    </row>
    <row r="18" spans="1:29" ht="27.6">
      <c r="A18" s="404"/>
      <c r="B18" s="633" t="s">
        <v>2689</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6"/>
      <c r="Q18" s="1809" t="str">
        <f>B18</f>
        <v>基础设施水平</v>
      </c>
      <c r="R18" s="774" t="s">
        <v>17</v>
      </c>
      <c r="S18" s="775">
        <f>F18</f>
        <v>100</v>
      </c>
      <c r="T18" s="774" t="s">
        <v>17</v>
      </c>
      <c r="U18" s="775">
        <f>H18</f>
        <v>100</v>
      </c>
      <c r="V18" s="774" t="s">
        <v>17</v>
      </c>
      <c r="W18" s="775">
        <f>J18</f>
        <v>100</v>
      </c>
      <c r="X18" s="1812"/>
      <c r="Y18" s="3216"/>
      <c r="Z18" s="1813" t="str">
        <f>Q18</f>
        <v>基础设施水平</v>
      </c>
      <c r="AA18" s="1810">
        <f t="shared" ref="AA18" si="8">D18/F18</f>
        <v>1</v>
      </c>
      <c r="AB18" s="1810">
        <f t="shared" ref="AB18" si="9">D18/H18</f>
        <v>1</v>
      </c>
      <c r="AC18" s="1810">
        <f t="shared" ref="AC18" si="10">D18/J18</f>
        <v>1</v>
      </c>
    </row>
    <row r="19" spans="1:29" ht="15">
      <c r="A19" s="404"/>
      <c r="B19" s="633"/>
      <c r="C19" s="2609"/>
      <c r="D19" s="450"/>
      <c r="E19" s="2609"/>
      <c r="F19" s="453"/>
      <c r="G19" s="2609"/>
      <c r="H19" s="448"/>
      <c r="I19" s="447"/>
      <c r="J19" s="448"/>
      <c r="K19" s="1382"/>
      <c r="L19" s="1140"/>
      <c r="M19" s="1131"/>
      <c r="N19" s="1131"/>
      <c r="O19" s="1131"/>
      <c r="P19" s="3216"/>
      <c r="Q19" s="1809"/>
      <c r="R19" s="774"/>
      <c r="S19" s="775"/>
      <c r="T19" s="774"/>
      <c r="U19" s="775"/>
      <c r="V19" s="774"/>
      <c r="W19" s="775"/>
      <c r="X19" s="1812"/>
      <c r="Y19" s="3216"/>
      <c r="Z19" s="1813"/>
      <c r="AA19" s="1810">
        <v>1</v>
      </c>
      <c r="AB19" s="1810">
        <v>1</v>
      </c>
      <c r="AC19" s="1810">
        <v>1</v>
      </c>
    </row>
    <row r="20" spans="1:29" ht="55.2">
      <c r="A20" s="404"/>
      <c r="B20" s="631" t="s">
        <v>2710</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6"/>
      <c r="Q20" s="1809" t="str">
        <f>B20</f>
        <v>自然及人文环境</v>
      </c>
      <c r="R20" s="774" t="s">
        <v>17</v>
      </c>
      <c r="S20" s="775">
        <f>F20</f>
        <v>100</v>
      </c>
      <c r="T20" s="774" t="s">
        <v>17</v>
      </c>
      <c r="U20" s="775">
        <f>H20</f>
        <v>100</v>
      </c>
      <c r="V20" s="774" t="s">
        <v>17</v>
      </c>
      <c r="W20" s="775">
        <f>J20</f>
        <v>100</v>
      </c>
      <c r="X20" s="1812"/>
      <c r="Y20" s="3216"/>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6"/>
      <c r="Q21" s="1809"/>
      <c r="R21" s="774"/>
      <c r="S21" s="775"/>
      <c r="T21" s="774"/>
      <c r="U21" s="775"/>
      <c r="V21" s="774"/>
      <c r="W21" s="775"/>
      <c r="X21" s="1812"/>
      <c r="Y21" s="3216"/>
      <c r="Z21" s="1813"/>
      <c r="AA21" s="1810">
        <v>1</v>
      </c>
      <c r="AB21" s="1810">
        <v>1</v>
      </c>
      <c r="AC21" s="1810">
        <v>1</v>
      </c>
    </row>
    <row r="22" spans="1:29" ht="15.6" thickBot="1">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6"/>
      <c r="Q22" s="1809" t="str">
        <f>B22</f>
        <v>楼层</v>
      </c>
      <c r="R22" s="774" t="s">
        <v>17</v>
      </c>
      <c r="S22" s="775">
        <f>F22</f>
        <v>100</v>
      </c>
      <c r="T22" s="774" t="s">
        <v>17</v>
      </c>
      <c r="U22" s="775">
        <f>H22</f>
        <v>100</v>
      </c>
      <c r="V22" s="774" t="s">
        <v>17</v>
      </c>
      <c r="W22" s="775">
        <f>J22</f>
        <v>100</v>
      </c>
      <c r="X22" s="1812"/>
      <c r="Y22" s="3216"/>
      <c r="Z22" s="1813" t="str">
        <f>Q22</f>
        <v>楼层</v>
      </c>
      <c r="AA22" s="1810">
        <f t="shared" si="3"/>
        <v>1</v>
      </c>
      <c r="AB22" s="1810">
        <f t="shared" si="4"/>
        <v>1</v>
      </c>
      <c r="AC22" s="1810">
        <f t="shared" si="5"/>
        <v>1</v>
      </c>
    </row>
    <row r="23" spans="1:29" ht="15" hidden="1">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6"/>
      <c r="Q23" s="1809">
        <f>B23</f>
        <v>111</v>
      </c>
      <c r="R23" s="774" t="s">
        <v>17</v>
      </c>
      <c r="S23" s="775">
        <f>F23</f>
        <v>100</v>
      </c>
      <c r="T23" s="774" t="s">
        <v>17</v>
      </c>
      <c r="U23" s="775">
        <f>H23</f>
        <v>100</v>
      </c>
      <c r="V23" s="774" t="s">
        <v>17</v>
      </c>
      <c r="W23" s="775">
        <f>J23</f>
        <v>100</v>
      </c>
      <c r="X23" s="1812"/>
      <c r="Y23" s="3216"/>
      <c r="Z23" s="1813">
        <f>Q23</f>
        <v>111</v>
      </c>
      <c r="AA23" s="1810">
        <f t="shared" si="3"/>
        <v>1</v>
      </c>
      <c r="AB23" s="1810">
        <f t="shared" si="4"/>
        <v>1</v>
      </c>
      <c r="AC23" s="1810">
        <f t="shared" si="5"/>
        <v>1</v>
      </c>
    </row>
    <row r="24" spans="1:29" ht="15" hidden="1">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6"/>
      <c r="Q24" s="1809">
        <f t="shared" ref="Q24:Q36" si="11">B24</f>
        <v>111</v>
      </c>
      <c r="R24" s="774" t="s">
        <v>17</v>
      </c>
      <c r="S24" s="775">
        <f>F24</f>
        <v>100</v>
      </c>
      <c r="T24" s="774" t="s">
        <v>17</v>
      </c>
      <c r="U24" s="775">
        <f>H24</f>
        <v>100</v>
      </c>
      <c r="V24" s="774" t="s">
        <v>17</v>
      </c>
      <c r="W24" s="775">
        <f>J24</f>
        <v>100</v>
      </c>
      <c r="X24" s="1812"/>
      <c r="Y24" s="3216"/>
      <c r="Z24" s="1813">
        <f>Q24</f>
        <v>111</v>
      </c>
      <c r="AA24" s="1810">
        <f t="shared" si="3"/>
        <v>1</v>
      </c>
      <c r="AB24" s="1810">
        <f t="shared" si="4"/>
        <v>1</v>
      </c>
      <c r="AC24" s="1810">
        <f t="shared" si="5"/>
        <v>1</v>
      </c>
    </row>
    <row r="25" spans="1:29" s="117" customFormat="1" ht="15.6" hidden="1"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6"/>
      <c r="Q25" s="1794">
        <f t="shared" si="11"/>
        <v>111</v>
      </c>
      <c r="R25" s="770" t="s">
        <v>17</v>
      </c>
      <c r="S25" s="771">
        <f>F25</f>
        <v>100</v>
      </c>
      <c r="T25" s="770" t="s">
        <v>17</v>
      </c>
      <c r="U25" s="771">
        <f>H25</f>
        <v>100</v>
      </c>
      <c r="V25" s="770" t="s">
        <v>17</v>
      </c>
      <c r="W25" s="771">
        <f>J25</f>
        <v>100</v>
      </c>
      <c r="X25" s="772"/>
      <c r="Y25" s="3216"/>
      <c r="Z25" s="55">
        <f>Q25</f>
        <v>111</v>
      </c>
      <c r="AA25" s="1810">
        <f>D25/F25</f>
        <v>1</v>
      </c>
      <c r="AB25" s="1810">
        <f>D25/H25</f>
        <v>1</v>
      </c>
      <c r="AC25" s="1810">
        <f>D25/J25</f>
        <v>1</v>
      </c>
    </row>
    <row r="26" spans="1:29" ht="30">
      <c r="A26" s="652" t="s">
        <v>2563</v>
      </c>
      <c r="B26" s="70" t="s">
        <v>2712</v>
      </c>
      <c r="C26" s="2695" t="str">
        <f>B1</f>
        <v>商业</v>
      </c>
      <c r="D26" s="448">
        <v>100</v>
      </c>
      <c r="E26" s="447" t="s">
        <v>3100</v>
      </c>
      <c r="F26" s="449">
        <f>SUMIF(79:79,E26,80:80)-SUMIF(79:79,C26,80:80)+100</f>
        <v>95</v>
      </c>
      <c r="G26" s="447" t="s">
        <v>3100</v>
      </c>
      <c r="H26" s="448">
        <f>SUMIF(79:79,G26,80:80)-SUMIF(79:79,C26,80:80)+100</f>
        <v>95</v>
      </c>
      <c r="I26" s="447" t="s">
        <v>3100</v>
      </c>
      <c r="J26" s="448">
        <f>SUMIF(79:79,I26,80:80)-SUMIF(79:79,C26,80:80)+100</f>
        <v>95</v>
      </c>
      <c r="K26" s="612">
        <v>5</v>
      </c>
      <c r="L26" s="1140"/>
      <c r="M26" s="1131"/>
      <c r="N26" s="1131"/>
      <c r="O26" s="1131"/>
      <c r="P26" s="3239" t="s">
        <v>2565</v>
      </c>
      <c r="Q26" s="1809" t="str">
        <f t="shared" si="11"/>
        <v>配套类型</v>
      </c>
      <c r="R26" s="774" t="s">
        <v>17</v>
      </c>
      <c r="S26" s="775">
        <f t="shared" ref="S26:S36" si="12">F26</f>
        <v>95</v>
      </c>
      <c r="T26" s="774" t="s">
        <v>17</v>
      </c>
      <c r="U26" s="775">
        <f t="shared" ref="U26:U36" si="13">H26</f>
        <v>95</v>
      </c>
      <c r="V26" s="774" t="s">
        <v>17</v>
      </c>
      <c r="W26" s="775">
        <f t="shared" ref="W26:W36" si="14">J26</f>
        <v>95</v>
      </c>
      <c r="X26" s="1812"/>
      <c r="Y26" s="3220" t="s">
        <v>2565</v>
      </c>
      <c r="Z26" s="1813" t="str">
        <f t="shared" ref="Z26:Z36" si="15">Q26</f>
        <v>配套类型</v>
      </c>
      <c r="AA26" s="1810">
        <f t="shared" si="3"/>
        <v>1.0526315789473684</v>
      </c>
      <c r="AB26" s="1810">
        <f t="shared" si="4"/>
        <v>1.0526315789473684</v>
      </c>
      <c r="AC26" s="1810">
        <f t="shared" si="5"/>
        <v>1.0526315789473684</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20"/>
      <c r="Q27" s="776" t="str">
        <f t="shared" si="11"/>
        <v>项目停车位配比</v>
      </c>
      <c r="R27" s="777" t="s">
        <v>17</v>
      </c>
      <c r="S27" s="778">
        <f t="shared" si="12"/>
        <v>100</v>
      </c>
      <c r="T27" s="777" t="s">
        <v>17</v>
      </c>
      <c r="U27" s="778">
        <f t="shared" si="13"/>
        <v>100</v>
      </c>
      <c r="V27" s="777" t="s">
        <v>17</v>
      </c>
      <c r="W27" s="778">
        <f t="shared" si="14"/>
        <v>100</v>
      </c>
      <c r="X27" s="779"/>
      <c r="Y27" s="3220"/>
      <c r="Z27" s="780" t="str">
        <f t="shared" si="15"/>
        <v>项目停车位配比</v>
      </c>
      <c r="AA27" s="1810">
        <f t="shared" si="3"/>
        <v>1</v>
      </c>
      <c r="AB27" s="1810">
        <f t="shared" si="4"/>
        <v>1</v>
      </c>
      <c r="AC27" s="1810">
        <f t="shared" si="5"/>
        <v>1</v>
      </c>
    </row>
    <row r="28" spans="1:29" ht="15">
      <c r="A28" s="656"/>
      <c r="B28" s="654" t="s">
        <v>2714</v>
      </c>
      <c r="C28" s="460" t="s">
        <v>3102</v>
      </c>
      <c r="D28" s="435">
        <v>100</v>
      </c>
      <c r="E28" s="460" t="s">
        <v>3102</v>
      </c>
      <c r="F28" s="461">
        <f>SUMIF(83:83,E28,84:84)-SUMIF(83:83,C28,84:84)+100</f>
        <v>100</v>
      </c>
      <c r="G28" s="460" t="s">
        <v>3102</v>
      </c>
      <c r="H28" s="435">
        <f>SUMIF(83:83,G28,84:84)-SUMIF(83:83,C28,84:84)+100</f>
        <v>100</v>
      </c>
      <c r="I28" s="460" t="s">
        <v>3102</v>
      </c>
      <c r="J28" s="435">
        <f>SUMIF(83:83,I28,84:84)-SUMIF(83:83,C28,84:84)+100</f>
        <v>100</v>
      </c>
      <c r="K28" s="612">
        <v>2</v>
      </c>
      <c r="L28" s="1140"/>
      <c r="M28" s="1131"/>
      <c r="N28" s="1131"/>
      <c r="O28" s="1131"/>
      <c r="P28" s="3220"/>
      <c r="Q28" s="1809" t="str">
        <f t="shared" si="11"/>
        <v>公共部分装修</v>
      </c>
      <c r="R28" s="774" t="s">
        <v>17</v>
      </c>
      <c r="S28" s="775">
        <f t="shared" si="12"/>
        <v>100</v>
      </c>
      <c r="T28" s="774" t="s">
        <v>17</v>
      </c>
      <c r="U28" s="775">
        <f t="shared" si="13"/>
        <v>100</v>
      </c>
      <c r="V28" s="774" t="s">
        <v>17</v>
      </c>
      <c r="W28" s="775">
        <f t="shared" si="14"/>
        <v>100</v>
      </c>
      <c r="X28" s="1812"/>
      <c r="Y28" s="3220"/>
      <c r="Z28" s="1813" t="str">
        <f t="shared" si="15"/>
        <v>公共部分装修</v>
      </c>
      <c r="AA28" s="1810">
        <f t="shared" si="3"/>
        <v>1</v>
      </c>
      <c r="AB28" s="1810">
        <f t="shared" si="4"/>
        <v>1</v>
      </c>
      <c r="AC28" s="1810">
        <f t="shared" si="5"/>
        <v>1</v>
      </c>
    </row>
    <row r="29" spans="1:29" ht="15">
      <c r="A29" s="656"/>
      <c r="B29" s="654" t="s">
        <v>2715</v>
      </c>
      <c r="C29" s="474">
        <v>0.83</v>
      </c>
      <c r="D29" s="435">
        <v>100</v>
      </c>
      <c r="E29" s="474">
        <v>0.83</v>
      </c>
      <c r="F29" s="461">
        <f>LOOKUP(E29,86:86,87:87)-LOOKUP(C29,86:86,87:87)+100</f>
        <v>100</v>
      </c>
      <c r="G29" s="474">
        <v>0.83</v>
      </c>
      <c r="H29" s="461">
        <f>LOOKUP(G29,86:86,87:87)-LOOKUP(C29,86:86,87:87)+100</f>
        <v>100</v>
      </c>
      <c r="I29" s="474">
        <v>0.83</v>
      </c>
      <c r="J29" s="435">
        <f>LOOKUP(I29,86:86,87:87)-LOOKUP(C29,86:86,87:87)+100</f>
        <v>100</v>
      </c>
      <c r="K29" s="612">
        <v>1</v>
      </c>
      <c r="L29" s="1140"/>
      <c r="M29" s="1131"/>
      <c r="N29" s="1131"/>
      <c r="O29" s="1131"/>
      <c r="P29" s="3220"/>
      <c r="Q29" s="1809" t="str">
        <f t="shared" si="11"/>
        <v>成新率</v>
      </c>
      <c r="R29" s="774" t="s">
        <v>17</v>
      </c>
      <c r="S29" s="775">
        <f t="shared" si="12"/>
        <v>100</v>
      </c>
      <c r="T29" s="774" t="s">
        <v>17</v>
      </c>
      <c r="U29" s="775">
        <f t="shared" si="13"/>
        <v>100</v>
      </c>
      <c r="V29" s="774" t="s">
        <v>17</v>
      </c>
      <c r="W29" s="775">
        <f t="shared" si="14"/>
        <v>100</v>
      </c>
      <c r="X29" s="1812"/>
      <c r="Y29" s="3220"/>
      <c r="Z29" s="1813" t="str">
        <f t="shared" si="15"/>
        <v>成新率</v>
      </c>
      <c r="AA29" s="1810">
        <f t="shared" si="3"/>
        <v>1</v>
      </c>
      <c r="AB29" s="1810">
        <f t="shared" si="4"/>
        <v>1</v>
      </c>
      <c r="AC29" s="1810">
        <f t="shared" si="5"/>
        <v>1</v>
      </c>
    </row>
    <row r="30" spans="1:29" ht="15">
      <c r="A30" s="656"/>
      <c r="B30" s="654" t="s">
        <v>2716</v>
      </c>
      <c r="C30" s="657" t="s">
        <v>3104</v>
      </c>
      <c r="D30" s="435">
        <v>100</v>
      </c>
      <c r="E30" s="657" t="s">
        <v>3104</v>
      </c>
      <c r="F30" s="461">
        <f>SUMIF(88:88,E30,89:89)-SUMIF(88:88,C30,89:89)+100</f>
        <v>100</v>
      </c>
      <c r="G30" s="657" t="s">
        <v>3104</v>
      </c>
      <c r="H30" s="435">
        <f>SUMIF(88:88,E30,89:89)-SUMIF(88:88,C30,89:89)+100</f>
        <v>100</v>
      </c>
      <c r="I30" s="657" t="s">
        <v>3104</v>
      </c>
      <c r="J30" s="435">
        <f>SUMIF(88:88,E30,89:89)-SUMIF(88:88,C30,89:89)+100</f>
        <v>100</v>
      </c>
      <c r="K30" s="612">
        <v>2</v>
      </c>
      <c r="L30" s="1140"/>
      <c r="M30" s="1131"/>
      <c r="N30" s="1131"/>
      <c r="O30" s="1131"/>
      <c r="P30" s="3220"/>
      <c r="Q30" s="1809" t="str">
        <f t="shared" si="11"/>
        <v>物业等级</v>
      </c>
      <c r="R30" s="774" t="s">
        <v>17</v>
      </c>
      <c r="S30" s="775">
        <f t="shared" si="12"/>
        <v>100</v>
      </c>
      <c r="T30" s="774" t="s">
        <v>17</v>
      </c>
      <c r="U30" s="775">
        <f t="shared" si="13"/>
        <v>100</v>
      </c>
      <c r="V30" s="774" t="s">
        <v>17</v>
      </c>
      <c r="W30" s="775">
        <f t="shared" si="14"/>
        <v>100</v>
      </c>
      <c r="X30" s="1812"/>
      <c r="Y30" s="3220"/>
      <c r="Z30" s="1813" t="str">
        <f t="shared" si="15"/>
        <v>物业等级</v>
      </c>
      <c r="AA30" s="1810">
        <f t="shared" si="3"/>
        <v>1</v>
      </c>
      <c r="AB30" s="1810">
        <f t="shared" si="4"/>
        <v>1</v>
      </c>
      <c r="AC30" s="1810">
        <f t="shared" si="5"/>
        <v>1</v>
      </c>
    </row>
    <row r="31" spans="1:29" s="117" customFormat="1" ht="15">
      <c r="A31" s="658"/>
      <c r="B31" s="654" t="s">
        <v>2717</v>
      </c>
      <c r="C31" s="469" t="e">
        <f>ROUND(D3/F3,2)</f>
        <v>#DIV/0!</v>
      </c>
      <c r="D31" s="136">
        <v>100</v>
      </c>
      <c r="E31" s="469">
        <v>13.5</v>
      </c>
      <c r="F31" s="461" t="e">
        <f>LOOKUP(E31,91:91,92:92)-LOOKUP(C31,91:91,92:92)+100</f>
        <v>#DIV/0!</v>
      </c>
      <c r="G31" s="469">
        <v>53</v>
      </c>
      <c r="H31" s="435" t="e">
        <f>LOOKUP(G31,91:91,92:92)-LOOKUP(C31,91:91,92:92)+100</f>
        <v>#DIV/0!</v>
      </c>
      <c r="I31" s="469">
        <v>12</v>
      </c>
      <c r="J31" s="435" t="e">
        <f>LOOKUP(I31,91:91,92:92)-LOOKUP(C31,91:91,92:92)+100</f>
        <v>#DIV/0!</v>
      </c>
      <c r="K31" s="612"/>
      <c r="L31" s="1132"/>
      <c r="M31" s="1133"/>
      <c r="N31" s="1133"/>
      <c r="O31" s="1133"/>
      <c r="P31" s="3220"/>
      <c r="Q31" s="1794" t="str">
        <f t="shared" si="11"/>
        <v>停车位面积</v>
      </c>
      <c r="R31" s="770" t="s">
        <v>17</v>
      </c>
      <c r="S31" s="771" t="e">
        <f t="shared" si="12"/>
        <v>#DIV/0!</v>
      </c>
      <c r="T31" s="770" t="s">
        <v>17</v>
      </c>
      <c r="U31" s="771" t="e">
        <f t="shared" si="13"/>
        <v>#DIV/0!</v>
      </c>
      <c r="V31" s="770" t="s">
        <v>17</v>
      </c>
      <c r="W31" s="771" t="e">
        <f t="shared" si="14"/>
        <v>#DIV/0!</v>
      </c>
      <c r="X31" s="772"/>
      <c r="Y31" s="3220"/>
      <c r="Z31" s="55" t="str">
        <f t="shared" si="15"/>
        <v>停车位面积</v>
      </c>
      <c r="AA31" s="773" t="e">
        <f t="shared" si="3"/>
        <v>#DIV/0!</v>
      </c>
      <c r="AB31" s="773" t="e">
        <f t="shared" si="4"/>
        <v>#DIV/0!</v>
      </c>
      <c r="AC31" s="773" t="e">
        <f t="shared" si="5"/>
        <v>#DIV/0!</v>
      </c>
    </row>
    <row r="32" spans="1:29" ht="15">
      <c r="A32" s="656"/>
      <c r="B32" s="654" t="s">
        <v>2718</v>
      </c>
      <c r="C32" s="460" t="s">
        <v>3106</v>
      </c>
      <c r="D32" s="435">
        <v>100</v>
      </c>
      <c r="E32" s="460" t="s">
        <v>3106</v>
      </c>
      <c r="F32" s="461">
        <f>SUMIF(93:93,E32,94:94)-SUMIF(93:93,C32,94:94)+100</f>
        <v>100</v>
      </c>
      <c r="G32" s="460" t="s">
        <v>3106</v>
      </c>
      <c r="H32" s="435">
        <f>SUMIF(93:93,G32,94:94)-SUMIF(93:93,C32,94:94)+100</f>
        <v>100</v>
      </c>
      <c r="I32" s="460" t="s">
        <v>3106</v>
      </c>
      <c r="J32" s="435">
        <f>SUMIF(93:93,I32,94:94)-SUMIF(93:93,C32,94:94)+100</f>
        <v>100</v>
      </c>
      <c r="K32" s="612">
        <v>2</v>
      </c>
      <c r="L32" s="1140"/>
      <c r="M32" s="1131"/>
      <c r="N32" s="1131"/>
      <c r="O32" s="1131"/>
      <c r="P32" s="3220" t="s">
        <v>2565</v>
      </c>
      <c r="Q32" s="1809" t="str">
        <f t="shared" si="11"/>
        <v>车位类型</v>
      </c>
      <c r="R32" s="774" t="s">
        <v>17</v>
      </c>
      <c r="S32" s="775">
        <f t="shared" si="12"/>
        <v>100</v>
      </c>
      <c r="T32" s="774" t="s">
        <v>17</v>
      </c>
      <c r="U32" s="775">
        <f t="shared" si="13"/>
        <v>100</v>
      </c>
      <c r="V32" s="774" t="s">
        <v>17</v>
      </c>
      <c r="W32" s="775">
        <f t="shared" si="14"/>
        <v>100</v>
      </c>
      <c r="X32" s="1812"/>
      <c r="Y32" s="3220" t="s">
        <v>2565</v>
      </c>
      <c r="Z32" s="1813" t="str">
        <f t="shared" si="15"/>
        <v>车位类型</v>
      </c>
      <c r="AA32" s="1810">
        <f t="shared" si="3"/>
        <v>1</v>
      </c>
      <c r="AB32" s="1810">
        <f t="shared" si="4"/>
        <v>1</v>
      </c>
      <c r="AC32" s="1810">
        <f t="shared" si="5"/>
        <v>1</v>
      </c>
    </row>
    <row r="33" spans="1:29" ht="15.6" thickBot="1">
      <c r="A33" s="656"/>
      <c r="B33" s="654" t="s">
        <v>2719</v>
      </c>
      <c r="C33" s="460" t="s">
        <v>3108</v>
      </c>
      <c r="D33" s="435">
        <v>100</v>
      </c>
      <c r="E33" s="460" t="s">
        <v>3108</v>
      </c>
      <c r="F33" s="461">
        <f>SUMIF(95:95,E33,96:96)-SUMIF(95:95,C33,96:96)+100</f>
        <v>100</v>
      </c>
      <c r="G33" s="460" t="s">
        <v>3108</v>
      </c>
      <c r="H33" s="435">
        <f>SUMIF(95:95,G33,96:96)-SUMIF(95:95,C33,96:96)+100</f>
        <v>100</v>
      </c>
      <c r="I33" s="460" t="s">
        <v>3108</v>
      </c>
      <c r="J33" s="435">
        <f>SUMIF(95:95,I33,96:96)-SUMIF(95:95,C33,96:96)+100</f>
        <v>100</v>
      </c>
      <c r="K33" s="612">
        <v>2</v>
      </c>
      <c r="L33" s="1140"/>
      <c r="M33" s="1131"/>
      <c r="N33" s="1131"/>
      <c r="O33" s="1131"/>
      <c r="P33" s="3220"/>
      <c r="Q33" s="1809" t="str">
        <f t="shared" si="11"/>
        <v>是否直接入户</v>
      </c>
      <c r="R33" s="774" t="s">
        <v>17</v>
      </c>
      <c r="S33" s="775">
        <f t="shared" si="12"/>
        <v>100</v>
      </c>
      <c r="T33" s="774" t="s">
        <v>17</v>
      </c>
      <c r="U33" s="775">
        <f t="shared" si="13"/>
        <v>100</v>
      </c>
      <c r="V33" s="774" t="s">
        <v>17</v>
      </c>
      <c r="W33" s="775">
        <f t="shared" si="14"/>
        <v>100</v>
      </c>
      <c r="X33" s="1812"/>
      <c r="Y33" s="3220"/>
      <c r="Z33" s="1813" t="str">
        <f t="shared" si="15"/>
        <v>是否直接入户</v>
      </c>
      <c r="AA33" s="1810">
        <f t="shared" si="3"/>
        <v>1</v>
      </c>
      <c r="AB33" s="1810">
        <f t="shared" si="4"/>
        <v>1</v>
      </c>
      <c r="AC33" s="1810">
        <f t="shared" si="5"/>
        <v>1</v>
      </c>
    </row>
    <row r="34" spans="1:29" ht="15" hidden="1">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0"/>
      <c r="Q34" s="1809">
        <f t="shared" si="11"/>
        <v>111</v>
      </c>
      <c r="R34" s="774" t="s">
        <v>17</v>
      </c>
      <c r="S34" s="775">
        <f t="shared" si="12"/>
        <v>100</v>
      </c>
      <c r="T34" s="774" t="s">
        <v>17</v>
      </c>
      <c r="U34" s="775">
        <f t="shared" si="13"/>
        <v>100</v>
      </c>
      <c r="V34" s="774" t="s">
        <v>17</v>
      </c>
      <c r="W34" s="775">
        <f t="shared" si="14"/>
        <v>100</v>
      </c>
      <c r="X34" s="1812"/>
      <c r="Y34" s="3220"/>
      <c r="Z34" s="1813">
        <f t="shared" si="15"/>
        <v>111</v>
      </c>
      <c r="AA34" s="1810">
        <f t="shared" si="3"/>
        <v>1</v>
      </c>
      <c r="AB34" s="1810">
        <f t="shared" si="4"/>
        <v>1</v>
      </c>
      <c r="AC34" s="1810">
        <f t="shared" si="5"/>
        <v>1</v>
      </c>
    </row>
    <row r="35" spans="1:29" s="471" customFormat="1" ht="15" hidden="1">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0"/>
      <c r="Q35" s="776">
        <f t="shared" si="11"/>
        <v>111</v>
      </c>
      <c r="R35" s="777" t="s">
        <v>17</v>
      </c>
      <c r="S35" s="778">
        <f t="shared" si="12"/>
        <v>100</v>
      </c>
      <c r="T35" s="777" t="s">
        <v>17</v>
      </c>
      <c r="U35" s="778">
        <f t="shared" si="13"/>
        <v>100</v>
      </c>
      <c r="V35" s="777" t="s">
        <v>17</v>
      </c>
      <c r="W35" s="778">
        <f t="shared" si="14"/>
        <v>100</v>
      </c>
      <c r="X35" s="779"/>
      <c r="Y35" s="3220"/>
      <c r="Z35" s="780">
        <f t="shared" si="15"/>
        <v>111</v>
      </c>
      <c r="AA35" s="1810">
        <f t="shared" si="3"/>
        <v>1</v>
      </c>
      <c r="AB35" s="1810">
        <f t="shared" si="4"/>
        <v>1</v>
      </c>
      <c r="AC35" s="1810">
        <f t="shared" si="5"/>
        <v>1</v>
      </c>
    </row>
    <row r="36" spans="1:29" ht="15.6" hidden="1"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0"/>
      <c r="Q36" s="1809">
        <f t="shared" si="11"/>
        <v>111</v>
      </c>
      <c r="R36" s="774" t="s">
        <v>17</v>
      </c>
      <c r="S36" s="775">
        <f t="shared" si="12"/>
        <v>100</v>
      </c>
      <c r="T36" s="774" t="s">
        <v>17</v>
      </c>
      <c r="U36" s="775">
        <f t="shared" si="13"/>
        <v>100</v>
      </c>
      <c r="V36" s="774" t="s">
        <v>17</v>
      </c>
      <c r="W36" s="775">
        <f t="shared" si="14"/>
        <v>100</v>
      </c>
      <c r="X36" s="1812"/>
      <c r="Y36" s="3220"/>
      <c r="Z36" s="1813">
        <f t="shared" si="15"/>
        <v>111</v>
      </c>
      <c r="AA36" s="1810">
        <f t="shared" si="3"/>
        <v>1</v>
      </c>
      <c r="AB36" s="1810">
        <f t="shared" si="4"/>
        <v>1</v>
      </c>
      <c r="AC36" s="1810">
        <f t="shared" si="5"/>
        <v>1</v>
      </c>
    </row>
    <row r="37" spans="1:29" ht="14.4">
      <c r="A37" s="479" t="s">
        <v>2720</v>
      </c>
      <c r="B37" s="2696" t="s">
        <v>2721</v>
      </c>
      <c r="C37" s="1406" t="s">
        <v>1</v>
      </c>
      <c r="D37" s="1407"/>
      <c r="E37" s="1408">
        <v>484100</v>
      </c>
      <c r="F37" s="1409"/>
      <c r="G37" s="1410">
        <v>566167</v>
      </c>
      <c r="H37" s="1411"/>
      <c r="I37" s="1408">
        <v>600000</v>
      </c>
      <c r="J37" s="1411"/>
      <c r="K37" s="619"/>
      <c r="L37" s="1143"/>
      <c r="M37" s="1144"/>
      <c r="N37" s="1131"/>
      <c r="O37" s="1144"/>
      <c r="P37" s="3213" t="str">
        <f>A37</f>
        <v>成交单价</v>
      </c>
      <c r="Q37" s="3213"/>
      <c r="R37" s="3214">
        <f>E37</f>
        <v>484100</v>
      </c>
      <c r="S37" s="3214"/>
      <c r="T37" s="3214">
        <f>G37</f>
        <v>566167</v>
      </c>
      <c r="U37" s="3214"/>
      <c r="V37" s="3214">
        <f>I37</f>
        <v>600000</v>
      </c>
      <c r="W37" s="3214"/>
      <c r="X37" s="759"/>
      <c r="Y37" s="781"/>
      <c r="Z37" s="759"/>
      <c r="AA37" s="759"/>
      <c r="AB37" s="759"/>
      <c r="AC37" s="759"/>
    </row>
    <row r="38" spans="1:29" ht="15" thickBot="1">
      <c r="A38" s="486" t="s">
        <v>2722</v>
      </c>
      <c r="B38" s="487" t="str">
        <f>B37</f>
        <v>元/车位</v>
      </c>
      <c r="C38" s="1412" t="e">
        <f>R39</f>
        <v>#DIV/0!</v>
      </c>
      <c r="D38" s="1413"/>
      <c r="E38" s="1414" t="e">
        <f>R38</f>
        <v>#DIV/0!</v>
      </c>
      <c r="F38" s="1414"/>
      <c r="G38" s="1412" t="e">
        <f>T38</f>
        <v>#DIV/0!</v>
      </c>
      <c r="H38" s="1413"/>
      <c r="I38" s="1414" t="e">
        <f>V38</f>
        <v>#DIV/0!</v>
      </c>
      <c r="J38" s="1413"/>
      <c r="K38" s="620"/>
      <c r="L38" s="1143"/>
      <c r="M38" s="1144"/>
      <c r="N38" s="1144"/>
      <c r="O38" s="1144"/>
      <c r="P38" s="3213" t="str">
        <f>A38</f>
        <v>比较价值（元/平方米）</v>
      </c>
      <c r="Q38" s="3213"/>
      <c r="R38" s="3214" t="e">
        <f>IF(F1="售价",ROUND(PRODUCT(R37,AA7:AA36),0),ROUND(PRODUCT(R37,AA7:AA36),1))</f>
        <v>#DIV/0!</v>
      </c>
      <c r="S38" s="3214"/>
      <c r="T38" s="3214" t="e">
        <f>IF(F1="售价",ROUND(PRODUCT(T37,AB7:AB36),0),ROUND(PRODUCT(T37,AB7:AB36),1))</f>
        <v>#DIV/0!</v>
      </c>
      <c r="U38" s="3214"/>
      <c r="V38" s="3214" t="e">
        <f>IF(F1="售价",ROUND(PRODUCT(V37,AC7:AC36),0),ROUND(PRODUCT(V37,AC7:AC36),1))</f>
        <v>#DIV/0!</v>
      </c>
      <c r="W38" s="3214"/>
      <c r="X38" s="759"/>
      <c r="Y38" s="759"/>
      <c r="Z38" s="759"/>
      <c r="AA38" s="759"/>
      <c r="AB38" s="759"/>
      <c r="AC38" s="759"/>
    </row>
    <row r="39" spans="1:29" ht="15" thickBot="1">
      <c r="A39" s="492" t="s">
        <v>2723</v>
      </c>
      <c r="B39" s="493"/>
      <c r="C39" s="1416" t="e">
        <f>R39</f>
        <v>#DIV/0!</v>
      </c>
      <c r="D39" s="1416"/>
      <c r="E39" s="1416"/>
      <c r="F39" s="1416"/>
      <c r="G39" s="1416"/>
      <c r="H39" s="1416"/>
      <c r="I39" s="1416"/>
      <c r="J39" s="1416"/>
      <c r="K39" s="621"/>
      <c r="L39" s="1143"/>
      <c r="M39" s="1144"/>
      <c r="N39" s="1144"/>
      <c r="O39" s="1144"/>
      <c r="P39" s="3210" t="str">
        <f>A39</f>
        <v>估价对象XX用房的比较价值（楼面单价，元/平方米）</v>
      </c>
      <c r="Q39" s="3211"/>
      <c r="R39" s="3212" t="e">
        <f>IF(F1="售价",ROUND(AVERAGE(R38:V38),0),ROUND(AVERAGE(R38:V38),1))</f>
        <v>#DIV/0!</v>
      </c>
      <c r="S39" s="3212"/>
      <c r="T39" s="3212"/>
      <c r="U39" s="3212"/>
      <c r="V39" s="3212"/>
      <c r="W39" s="321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f>IF(E37&lt;G37,G37/E37-1,E37/G37-1)</f>
        <v>0.16952489155133232</v>
      </c>
      <c r="F44" s="500" t="str">
        <f>IF(OR(E44&gt;=0.3,E44&lt;=-0.3),"超过30%","")</f>
        <v/>
      </c>
      <c r="G44" s="499">
        <f>IF(G37&lt;I37,I37/G37-1,G37/I37-1)</f>
        <v>5.9757986601126634E-2</v>
      </c>
      <c r="H44" s="500" t="str">
        <f>IF(OR(G44&gt;=0.3,G44&lt;=-0.3),"超过30%","")</f>
        <v/>
      </c>
      <c r="I44" s="499">
        <f>IF(I37&lt;E37,E37/I37-1,I37/E37-1)</f>
        <v>0.23941334435034078</v>
      </c>
      <c r="J44" s="500" t="str">
        <f>IF(OR(I44&gt;=0.3,I44&lt;=-0.3),"超过30%","")</f>
        <v/>
      </c>
      <c r="K44" s="1148"/>
      <c r="L44" s="1149"/>
      <c r="M44" s="1145"/>
      <c r="N44" s="1145"/>
      <c r="O44" s="1145"/>
      <c r="P44" s="1420"/>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2.2" thickBot="1">
      <c r="A47" s="1423" t="s">
        <v>2727</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8" customFormat="1" ht="14.4">
      <c r="A48" s="505" t="s">
        <v>2728</v>
      </c>
      <c r="B48" s="506"/>
      <c r="C48" s="1573" t="str">
        <f>YEAR(C7)&amp;"-"&amp;MONTH(C7)</f>
        <v>2019-12</v>
      </c>
      <c r="D48" s="1574">
        <f>EDATE(C48,-1)</f>
        <v>43770</v>
      </c>
      <c r="E48" s="1574">
        <f t="shared" ref="E48:O48" si="16">EDATE(D48,-1)</f>
        <v>43739</v>
      </c>
      <c r="F48" s="1574">
        <f t="shared" si="16"/>
        <v>43709</v>
      </c>
      <c r="G48" s="1574">
        <f t="shared" si="16"/>
        <v>43678</v>
      </c>
      <c r="H48" s="1574">
        <f t="shared" si="16"/>
        <v>43647</v>
      </c>
      <c r="I48" s="1574">
        <f t="shared" si="16"/>
        <v>43617</v>
      </c>
      <c r="J48" s="1574">
        <f t="shared" si="16"/>
        <v>43586</v>
      </c>
      <c r="K48" s="1574">
        <f t="shared" si="16"/>
        <v>43556</v>
      </c>
      <c r="L48" s="1574">
        <f t="shared" si="16"/>
        <v>43525</v>
      </c>
      <c r="M48" s="1574">
        <f t="shared" si="16"/>
        <v>43497</v>
      </c>
      <c r="N48" s="1574">
        <f t="shared" si="16"/>
        <v>43466</v>
      </c>
      <c r="O48" s="1574">
        <f t="shared" si="16"/>
        <v>43435</v>
      </c>
      <c r="P48" s="1437"/>
      <c r="Q48" s="1438"/>
      <c r="R48" s="1438"/>
      <c r="S48" s="1438"/>
      <c r="T48" s="1438"/>
      <c r="U48" s="1438"/>
      <c r="V48" s="1438"/>
      <c r="W48" s="1438"/>
      <c r="X48" s="1438"/>
      <c r="Y48" s="1438"/>
      <c r="Z48" s="1438"/>
      <c r="AA48" s="1438"/>
      <c r="AB48" s="1438"/>
      <c r="AC48" s="1438"/>
    </row>
    <row r="49" spans="1:29" s="117" customFormat="1">
      <c r="A49" s="509"/>
      <c r="B49" s="510"/>
      <c r="C49" s="1565">
        <v>100</v>
      </c>
      <c r="D49" s="512">
        <v>100</v>
      </c>
      <c r="E49" s="512">
        <v>100</v>
      </c>
      <c r="F49" s="512">
        <v>99.5</v>
      </c>
      <c r="G49" s="512">
        <v>99.5</v>
      </c>
      <c r="H49" s="512">
        <v>99.5</v>
      </c>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 thickBot="1">
      <c r="A50" s="515" t="s">
        <v>2585</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4.4">
      <c r="A51" s="521" t="s">
        <v>2550</v>
      </c>
      <c r="B51" s="510"/>
      <c r="C51" s="522" t="s">
        <v>2652</v>
      </c>
      <c r="D51" s="523"/>
      <c r="E51" s="523"/>
      <c r="F51" s="523"/>
      <c r="G51" s="523"/>
      <c r="H51" s="523"/>
      <c r="I51" s="523"/>
      <c r="J51" s="523"/>
      <c r="K51" s="523"/>
      <c r="L51" s="524"/>
      <c r="M51" s="525"/>
      <c r="N51" s="1151"/>
      <c r="O51" s="1151"/>
      <c r="P51" s="1425"/>
      <c r="Q51" s="1422"/>
      <c r="R51" s="1426"/>
      <c r="S51" s="1426"/>
      <c r="T51" s="1426"/>
      <c r="U51" s="1426"/>
      <c r="V51" s="1426"/>
      <c r="W51" s="1426"/>
      <c r="X51" s="1426"/>
      <c r="Y51" s="1426"/>
      <c r="Z51" s="1426"/>
      <c r="AA51" s="1426"/>
      <c r="AB51" s="1426"/>
      <c r="AC51" s="1426"/>
    </row>
    <row r="52" spans="1:29" s="117" customFormat="1" ht="14.4" thickBot="1">
      <c r="A52" s="521"/>
      <c r="B52" s="510"/>
      <c r="C52" s="639">
        <v>100</v>
      </c>
      <c r="D52" s="512"/>
      <c r="E52" s="512"/>
      <c r="F52" s="512"/>
      <c r="G52" s="512"/>
      <c r="H52" s="512"/>
      <c r="I52" s="512"/>
      <c r="J52" s="512"/>
      <c r="K52" s="512"/>
      <c r="L52" s="512"/>
      <c r="M52" s="514"/>
      <c r="N52" s="1151"/>
      <c r="O52" s="1151"/>
      <c r="P52" s="1427"/>
      <c r="Q52" s="1422"/>
      <c r="R52" s="1426"/>
      <c r="S52" s="1426"/>
      <c r="T52" s="1426"/>
      <c r="U52" s="1426"/>
      <c r="V52" s="1426"/>
      <c r="W52" s="1426"/>
      <c r="X52" s="1426"/>
      <c r="Y52" s="1426"/>
      <c r="Z52" s="1426"/>
      <c r="AA52" s="1426"/>
      <c r="AB52" s="1426"/>
      <c r="AC52" s="1426"/>
    </row>
    <row r="53" spans="1:29" ht="14.4">
      <c r="A53" s="527" t="s">
        <v>2588</v>
      </c>
      <c r="B53" s="528" t="s">
        <v>2554</v>
      </c>
      <c r="C53" s="529" t="str">
        <f>C9</f>
        <v>车库</v>
      </c>
      <c r="D53" s="530"/>
      <c r="E53" s="530"/>
      <c r="F53" s="530"/>
      <c r="G53" s="530"/>
      <c r="H53" s="530"/>
      <c r="I53" s="530"/>
      <c r="J53" s="530"/>
      <c r="K53" s="531"/>
      <c r="L53" s="532"/>
      <c r="M53" s="533"/>
      <c r="N53" s="1152"/>
      <c r="O53" s="1152"/>
      <c r="P53" s="1428"/>
      <c r="Q53" s="1422"/>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8"/>
      <c r="Q54" s="1422"/>
      <c r="R54" s="1144"/>
      <c r="S54" s="1144"/>
      <c r="T54" s="1144"/>
      <c r="U54" s="1144"/>
      <c r="V54" s="1144"/>
      <c r="W54" s="1144"/>
      <c r="X54" s="1144"/>
      <c r="Y54" s="1144"/>
      <c r="Z54" s="1144"/>
      <c r="AA54" s="1144"/>
      <c r="AB54" s="1144"/>
      <c r="AC54" s="1144"/>
    </row>
    <row r="55" spans="1:29" ht="29.4"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8"/>
      <c r="Q55" s="1422"/>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99</v>
      </c>
      <c r="G56" s="544">
        <f>F56-$K10</f>
        <v>98</v>
      </c>
      <c r="H56" s="544">
        <f>G56-$K10</f>
        <v>97</v>
      </c>
      <c r="I56" s="544">
        <f>H56-$K10</f>
        <v>96</v>
      </c>
      <c r="J56" s="544"/>
      <c r="K56" s="544"/>
      <c r="L56" s="544"/>
      <c r="M56" s="545"/>
      <c r="N56" s="1153"/>
      <c r="O56" s="1153"/>
      <c r="P56" s="1428"/>
      <c r="Q56" s="1422"/>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8"/>
      <c r="Q57" s="1422"/>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8"/>
      <c r="Q58" s="1422"/>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29"/>
      <c r="Q59" s="1430"/>
      <c r="R59" s="1431"/>
      <c r="S59" s="1431"/>
      <c r="T59" s="1431"/>
      <c r="U59" s="1431"/>
      <c r="V59" s="1431"/>
      <c r="W59" s="1431"/>
      <c r="X59" s="1431"/>
      <c r="Y59" s="1431"/>
      <c r="Z59" s="1431"/>
      <c r="AA59" s="1431"/>
      <c r="AB59" s="1431"/>
      <c r="AC59" s="1431"/>
    </row>
    <row r="60" spans="1:29" s="471" customFormat="1" ht="14.4" thickBot="1">
      <c r="A60" s="553"/>
      <c r="B60" s="543"/>
      <c r="C60" s="560"/>
      <c r="D60" s="536"/>
      <c r="E60" s="536"/>
      <c r="F60" s="536"/>
      <c r="G60" s="536"/>
      <c r="H60" s="536"/>
      <c r="I60" s="536"/>
      <c r="J60" s="536"/>
      <c r="K60" s="536"/>
      <c r="L60" s="536"/>
      <c r="M60" s="537"/>
      <c r="N60" s="1153"/>
      <c r="O60" s="1153"/>
      <c r="P60" s="1429"/>
      <c r="Q60" s="1430"/>
      <c r="R60" s="1431"/>
      <c r="S60" s="1431"/>
      <c r="T60" s="1431"/>
      <c r="U60" s="1431"/>
      <c r="V60" s="1431"/>
      <c r="W60" s="1431"/>
      <c r="X60" s="1431"/>
      <c r="Y60" s="1431"/>
      <c r="Z60" s="1431"/>
      <c r="AA60" s="1431"/>
      <c r="AB60" s="1431"/>
      <c r="AC60" s="1431"/>
    </row>
    <row r="61" spans="1:29" s="471" customFormat="1" ht="14.4" thickTop="1">
      <c r="A61" s="553"/>
      <c r="B61" s="538">
        <f>B13</f>
        <v>111</v>
      </c>
      <c r="C61" s="554"/>
      <c r="D61" s="554"/>
      <c r="E61" s="554"/>
      <c r="F61" s="554"/>
      <c r="G61" s="554"/>
      <c r="H61" s="555"/>
      <c r="I61" s="555"/>
      <c r="J61" s="555"/>
      <c r="K61" s="555"/>
      <c r="L61" s="556"/>
      <c r="M61" s="557"/>
      <c r="N61" s="1154"/>
      <c r="O61" s="1154"/>
      <c r="P61" s="1432"/>
      <c r="Q61" s="1433"/>
      <c r="R61" s="1431"/>
      <c r="S61" s="1431"/>
      <c r="T61" s="1431"/>
      <c r="U61" s="1431"/>
      <c r="V61" s="1431"/>
      <c r="W61" s="1431"/>
      <c r="X61" s="1431"/>
      <c r="Y61" s="1431"/>
      <c r="Z61" s="1431"/>
      <c r="AA61" s="1431"/>
      <c r="AB61" s="1431"/>
      <c r="AC61" s="1431"/>
    </row>
    <row r="62" spans="1:29" s="471" customFormat="1" ht="14.4" thickBot="1">
      <c r="A62" s="553"/>
      <c r="B62" s="543"/>
      <c r="C62" s="560"/>
      <c r="D62" s="560"/>
      <c r="E62" s="560"/>
      <c r="F62" s="560"/>
      <c r="G62" s="560"/>
      <c r="H62" s="562"/>
      <c r="I62" s="562"/>
      <c r="J62" s="562"/>
      <c r="K62" s="562"/>
      <c r="L62" s="562"/>
      <c r="M62" s="563"/>
      <c r="N62" s="1154"/>
      <c r="O62" s="1154"/>
      <c r="P62" s="1429"/>
      <c r="Q62" s="1430"/>
      <c r="R62" s="1431"/>
      <c r="S62" s="1431"/>
      <c r="T62" s="1431"/>
      <c r="U62" s="1431"/>
      <c r="V62" s="1431"/>
      <c r="W62" s="1431"/>
      <c r="X62" s="1431"/>
      <c r="Y62" s="1431"/>
      <c r="Z62" s="1431"/>
      <c r="AA62" s="1431"/>
      <c r="AB62" s="1431"/>
      <c r="AC62" s="1431"/>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4"/>
      <c r="Q63" s="1422"/>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8"/>
      <c r="Q64" s="1422"/>
      <c r="R64" s="1144"/>
      <c r="S64" s="1144"/>
      <c r="T64" s="1144"/>
      <c r="U64" s="1144"/>
      <c r="V64" s="1144"/>
      <c r="W64" s="1144"/>
      <c r="X64" s="1144"/>
      <c r="Y64" s="1144"/>
      <c r="Z64" s="1144"/>
      <c r="AA64" s="1144"/>
      <c r="AB64" s="1144"/>
      <c r="AC64" s="1144"/>
    </row>
    <row r="65" spans="1:29" ht="15" thickTop="1">
      <c r="A65" s="534"/>
      <c r="B65" s="538" t="s">
        <v>2603</v>
      </c>
      <c r="C65" s="578" t="s">
        <v>2597</v>
      </c>
      <c r="D65" s="578" t="s">
        <v>2598</v>
      </c>
      <c r="E65" s="578" t="s">
        <v>2599</v>
      </c>
      <c r="F65" s="578" t="s">
        <v>2600</v>
      </c>
      <c r="G65" s="578" t="s">
        <v>2601</v>
      </c>
      <c r="H65" s="539"/>
      <c r="I65" s="539"/>
      <c r="J65" s="539"/>
      <c r="K65" s="540"/>
      <c r="L65" s="541"/>
      <c r="M65" s="542"/>
      <c r="N65" s="1152"/>
      <c r="O65" s="1152"/>
      <c r="P65" s="1428"/>
      <c r="Q65" s="1422"/>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8"/>
      <c r="Q66" s="1422"/>
      <c r="R66" s="1144"/>
      <c r="S66" s="1144"/>
      <c r="T66" s="1144"/>
      <c r="U66" s="1144"/>
      <c r="V66" s="1144"/>
      <c r="W66" s="1144"/>
      <c r="X66" s="1144"/>
      <c r="Y66" s="1144"/>
      <c r="Z66" s="1144"/>
      <c r="AA66" s="1144"/>
      <c r="AB66" s="1144"/>
      <c r="AC66" s="1144"/>
    </row>
    <row r="67" spans="1:29" ht="15" thickTop="1">
      <c r="A67" s="534"/>
      <c r="B67" s="546" t="s">
        <v>2689</v>
      </c>
      <c r="C67" s="660" t="s">
        <v>2675</v>
      </c>
      <c r="D67" s="660" t="s">
        <v>2676</v>
      </c>
      <c r="E67" s="660" t="s">
        <v>2677</v>
      </c>
      <c r="F67" s="660" t="s">
        <v>2678</v>
      </c>
      <c r="G67" s="660" t="s">
        <v>2679</v>
      </c>
      <c r="H67" s="539"/>
      <c r="I67" s="539"/>
      <c r="J67" s="539"/>
      <c r="K67" s="539"/>
      <c r="L67" s="539"/>
      <c r="M67" s="1381"/>
      <c r="N67" s="1153"/>
      <c r="O67" s="1153"/>
      <c r="P67" s="1428"/>
      <c r="Q67" s="1422"/>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8"/>
      <c r="Q68" s="1422"/>
      <c r="R68" s="1144"/>
      <c r="S68" s="1144"/>
      <c r="T68" s="1144"/>
      <c r="U68" s="1144"/>
      <c r="V68" s="1144"/>
      <c r="W68" s="1144"/>
      <c r="X68" s="1144"/>
      <c r="Y68" s="1144"/>
      <c r="Z68" s="1144"/>
      <c r="AA68" s="1144"/>
      <c r="AB68" s="1144"/>
      <c r="AC68" s="1144"/>
    </row>
    <row r="69" spans="1:29" ht="15" thickTop="1">
      <c r="A69" s="534"/>
      <c r="B69" s="538" t="s">
        <v>2609</v>
      </c>
      <c r="C69" s="578" t="s">
        <v>2597</v>
      </c>
      <c r="D69" s="578" t="s">
        <v>2598</v>
      </c>
      <c r="E69" s="578" t="s">
        <v>2599</v>
      </c>
      <c r="F69" s="578" t="s">
        <v>2600</v>
      </c>
      <c r="G69" s="578" t="s">
        <v>2601</v>
      </c>
      <c r="H69" s="539"/>
      <c r="I69" s="539"/>
      <c r="J69" s="539"/>
      <c r="K69" s="540"/>
      <c r="L69" s="541"/>
      <c r="M69" s="542"/>
      <c r="N69" s="1152"/>
      <c r="O69" s="1152"/>
      <c r="P69" s="1428"/>
      <c r="Q69" s="1422"/>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8"/>
      <c r="Q70" s="1422"/>
      <c r="R70" s="1144"/>
      <c r="S70" s="1144"/>
      <c r="T70" s="1144"/>
      <c r="U70" s="1144"/>
      <c r="V70" s="1144"/>
      <c r="W70" s="1144"/>
      <c r="X70" s="1144"/>
      <c r="Y70" s="1144"/>
      <c r="Z70" s="1144"/>
      <c r="AA70" s="1144"/>
      <c r="AB70" s="1144"/>
      <c r="AC70" s="1144"/>
    </row>
    <row r="71" spans="1:29" ht="15" thickTop="1">
      <c r="A71" s="534"/>
      <c r="B71" s="538" t="s">
        <v>2729</v>
      </c>
      <c r="C71" s="554"/>
      <c r="D71" s="554"/>
      <c r="E71" s="554"/>
      <c r="F71" s="554"/>
      <c r="G71" s="554"/>
      <c r="H71" s="583"/>
      <c r="I71" s="583"/>
      <c r="J71" s="583"/>
      <c r="K71" s="584"/>
      <c r="L71" s="585"/>
      <c r="M71" s="586"/>
      <c r="N71" s="1152"/>
      <c r="O71" s="1152"/>
      <c r="P71" s="1428"/>
      <c r="Q71" s="1422"/>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8"/>
      <c r="Q72" s="1422"/>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8"/>
      <c r="Q73" s="1422"/>
      <c r="R73" s="1426"/>
      <c r="S73" s="1426"/>
      <c r="T73" s="1426"/>
      <c r="U73" s="1426"/>
      <c r="V73" s="1426"/>
      <c r="W73" s="1426"/>
      <c r="X73" s="1426"/>
      <c r="Y73" s="1426"/>
      <c r="Z73" s="1426"/>
      <c r="AA73" s="1426"/>
      <c r="AB73" s="1426"/>
      <c r="AC73" s="1426"/>
    </row>
    <row r="74" spans="1:29" s="117" customFormat="1" ht="14.4" thickBot="1">
      <c r="A74" s="579"/>
      <c r="B74" s="543"/>
      <c r="C74" s="560"/>
      <c r="D74" s="536"/>
      <c r="E74" s="536"/>
      <c r="F74" s="536"/>
      <c r="G74" s="536"/>
      <c r="H74" s="536"/>
      <c r="I74" s="536"/>
      <c r="J74" s="536"/>
      <c r="K74" s="536"/>
      <c r="L74" s="536"/>
      <c r="M74" s="537"/>
      <c r="N74" s="1153"/>
      <c r="O74" s="1153"/>
      <c r="P74" s="1428"/>
      <c r="Q74" s="1422"/>
      <c r="R74" s="1426"/>
      <c r="S74" s="1426"/>
      <c r="T74" s="1426"/>
      <c r="U74" s="1426"/>
      <c r="V74" s="1426"/>
      <c r="W74" s="1426"/>
      <c r="X74" s="1426"/>
      <c r="Y74" s="1426"/>
      <c r="Z74" s="1426"/>
      <c r="AA74" s="1426"/>
      <c r="AB74" s="1426"/>
      <c r="AC74" s="1426"/>
    </row>
    <row r="75" spans="1:29" s="117" customFormat="1" ht="14.4" thickTop="1">
      <c r="A75" s="579"/>
      <c r="B75" s="538">
        <f>B24</f>
        <v>111</v>
      </c>
      <c r="C75" s="549"/>
      <c r="D75" s="549"/>
      <c r="E75" s="549"/>
      <c r="F75" s="549"/>
      <c r="G75" s="554"/>
      <c r="H75" s="554"/>
      <c r="I75" s="554"/>
      <c r="J75" s="554"/>
      <c r="K75" s="554"/>
      <c r="L75" s="554"/>
      <c r="M75" s="581"/>
      <c r="N75" s="1151"/>
      <c r="O75" s="1151"/>
      <c r="P75" s="1428"/>
      <c r="Q75" s="1422"/>
      <c r="R75" s="1426"/>
      <c r="S75" s="1426"/>
      <c r="T75" s="1426"/>
      <c r="U75" s="1426"/>
      <c r="V75" s="1426"/>
      <c r="W75" s="1426"/>
      <c r="X75" s="1426"/>
      <c r="Y75" s="1426"/>
      <c r="Z75" s="1426"/>
      <c r="AA75" s="1426"/>
      <c r="AB75" s="1426"/>
      <c r="AC75" s="1426"/>
    </row>
    <row r="76" spans="1:29" s="117" customFormat="1" ht="14.4" thickBot="1">
      <c r="A76" s="579"/>
      <c r="B76" s="543"/>
      <c r="C76" s="560"/>
      <c r="D76" s="536"/>
      <c r="E76" s="536"/>
      <c r="F76" s="536"/>
      <c r="G76" s="536"/>
      <c r="H76" s="536"/>
      <c r="I76" s="536"/>
      <c r="J76" s="536"/>
      <c r="K76" s="536"/>
      <c r="L76" s="536"/>
      <c r="M76" s="537"/>
      <c r="N76" s="1153"/>
      <c r="O76" s="1153"/>
      <c r="P76" s="1428"/>
      <c r="Q76" s="1422"/>
      <c r="R76" s="1426"/>
      <c r="S76" s="1426"/>
      <c r="T76" s="1426"/>
      <c r="U76" s="1426"/>
      <c r="V76" s="1426"/>
      <c r="W76" s="1426"/>
      <c r="X76" s="1426"/>
      <c r="Y76" s="1426"/>
      <c r="Z76" s="1426"/>
      <c r="AA76" s="1426"/>
      <c r="AB76" s="1426"/>
      <c r="AC76" s="1426"/>
    </row>
    <row r="77" spans="1:29" s="471" customFormat="1" ht="14.4" thickTop="1">
      <c r="A77" s="553"/>
      <c r="B77" s="538">
        <f>B25</f>
        <v>111</v>
      </c>
      <c r="C77" s="554"/>
      <c r="D77" s="554"/>
      <c r="E77" s="554"/>
      <c r="F77" s="554"/>
      <c r="G77" s="554"/>
      <c r="H77" s="555"/>
      <c r="I77" s="555"/>
      <c r="J77" s="555"/>
      <c r="K77" s="555"/>
      <c r="L77" s="556"/>
      <c r="M77" s="557"/>
      <c r="N77" s="1154"/>
      <c r="O77" s="1154"/>
      <c r="P77" s="1429"/>
      <c r="Q77" s="1430"/>
      <c r="R77" s="1431"/>
      <c r="S77" s="1431"/>
      <c r="T77" s="1431"/>
      <c r="U77" s="1431"/>
      <c r="V77" s="1431"/>
      <c r="W77" s="1431"/>
      <c r="X77" s="1431"/>
      <c r="Y77" s="1431"/>
      <c r="Z77" s="1431"/>
      <c r="AA77" s="1431"/>
      <c r="AB77" s="1431"/>
      <c r="AC77" s="1431"/>
    </row>
    <row r="78" spans="1:29" s="471" customFormat="1" ht="14.4" thickBot="1">
      <c r="A78" s="553"/>
      <c r="B78" s="543"/>
      <c r="C78" s="560"/>
      <c r="D78" s="560"/>
      <c r="E78" s="560"/>
      <c r="F78" s="560"/>
      <c r="G78" s="536"/>
      <c r="H78" s="536"/>
      <c r="I78" s="536"/>
      <c r="J78" s="536"/>
      <c r="K78" s="536"/>
      <c r="L78" s="536"/>
      <c r="M78" s="537"/>
      <c r="N78" s="1154"/>
      <c r="O78" s="1154"/>
      <c r="P78" s="1429"/>
      <c r="Q78" s="1430"/>
      <c r="R78" s="1431"/>
      <c r="S78" s="1431"/>
      <c r="T78" s="1431"/>
      <c r="U78" s="1431"/>
      <c r="V78" s="1431"/>
      <c r="W78" s="1431"/>
      <c r="X78" s="1431"/>
      <c r="Y78" s="1431"/>
      <c r="Z78" s="1431"/>
      <c r="AA78" s="1431"/>
      <c r="AB78" s="1431"/>
      <c r="AC78" s="1431"/>
    </row>
    <row r="79" spans="1:29" ht="29.4" thickTop="1">
      <c r="A79" s="527" t="s">
        <v>2563</v>
      </c>
      <c r="B79" s="528" t="s">
        <v>2730</v>
      </c>
      <c r="C79" s="529" t="str">
        <f>C26</f>
        <v>商业</v>
      </c>
      <c r="D79" s="2957" t="s">
        <v>3101</v>
      </c>
      <c r="E79" s="530"/>
      <c r="F79" s="530"/>
      <c r="G79" s="530"/>
      <c r="H79" s="530"/>
      <c r="I79" s="530"/>
      <c r="J79" s="530"/>
      <c r="K79" s="531"/>
      <c r="L79" s="532"/>
      <c r="M79" s="533"/>
      <c r="N79" s="1152"/>
      <c r="O79" s="1152"/>
      <c r="P79" s="1428"/>
      <c r="Q79" s="1422"/>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95</v>
      </c>
      <c r="E80" s="544">
        <f t="shared" si="17"/>
        <v>90</v>
      </c>
      <c r="F80" s="544">
        <f t="shared" si="17"/>
        <v>85</v>
      </c>
      <c r="G80" s="544">
        <f t="shared" si="17"/>
        <v>80</v>
      </c>
      <c r="H80" s="544">
        <f t="shared" si="17"/>
        <v>75</v>
      </c>
      <c r="I80" s="544">
        <f t="shared" si="17"/>
        <v>70</v>
      </c>
      <c r="J80" s="544">
        <f t="shared" si="17"/>
        <v>65</v>
      </c>
      <c r="K80" s="544">
        <f t="shared" si="17"/>
        <v>60</v>
      </c>
      <c r="L80" s="544">
        <f t="shared" si="17"/>
        <v>55</v>
      </c>
      <c r="M80" s="545">
        <f t="shared" si="17"/>
        <v>50</v>
      </c>
      <c r="N80" s="1153"/>
      <c r="O80" s="1153"/>
      <c r="P80" s="1428"/>
      <c r="Q80" s="1422"/>
      <c r="R80" s="1144"/>
      <c r="S80" s="1144"/>
      <c r="T80" s="1144"/>
      <c r="U80" s="1144"/>
      <c r="V80" s="1144"/>
      <c r="W80" s="1144"/>
      <c r="X80" s="1144"/>
      <c r="Y80" s="1144"/>
      <c r="Z80" s="1144"/>
      <c r="AA80" s="1144"/>
      <c r="AB80" s="1144"/>
      <c r="AC80" s="1144"/>
    </row>
    <row r="81" spans="1:29" ht="15" thickTop="1">
      <c r="A81" s="534"/>
      <c r="B81" s="538" t="s">
        <v>2731</v>
      </c>
      <c r="C81" s="661"/>
      <c r="D81" s="661"/>
      <c r="E81" s="661"/>
      <c r="F81" s="661"/>
      <c r="G81" s="661"/>
      <c r="H81" s="661"/>
      <c r="I81" s="661"/>
      <c r="J81" s="661"/>
      <c r="K81" s="662"/>
      <c r="L81" s="663"/>
      <c r="M81" s="664"/>
      <c r="N81" s="1151"/>
      <c r="O81" s="1151"/>
      <c r="P81" s="1428"/>
      <c r="Q81" s="1422"/>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29"/>
      <c r="Q82" s="1430"/>
      <c r="R82" s="1431"/>
      <c r="S82" s="1431"/>
      <c r="T82" s="1431"/>
      <c r="U82" s="1431"/>
      <c r="V82" s="1431"/>
      <c r="W82" s="1431"/>
      <c r="X82" s="1431"/>
      <c r="Y82" s="1431"/>
      <c r="Z82" s="1431"/>
      <c r="AA82" s="1431"/>
      <c r="AB82" s="1431"/>
      <c r="AC82" s="1431"/>
    </row>
    <row r="83" spans="1:29" ht="15" thickTop="1">
      <c r="A83" s="599"/>
      <c r="B83" s="538" t="s">
        <v>2616</v>
      </c>
      <c r="C83" s="2958" t="s">
        <v>3103</v>
      </c>
      <c r="D83" s="554"/>
      <c r="E83" s="583"/>
      <c r="F83" s="583"/>
      <c r="G83" s="583"/>
      <c r="H83" s="583"/>
      <c r="I83" s="583"/>
      <c r="J83" s="583"/>
      <c r="K83" s="584"/>
      <c r="L83" s="585"/>
      <c r="M83" s="586"/>
      <c r="N83" s="1152"/>
      <c r="O83" s="1152"/>
      <c r="P83" s="1428"/>
      <c r="Q83" s="1422"/>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98</v>
      </c>
      <c r="E84" s="544">
        <f t="shared" si="18"/>
        <v>96</v>
      </c>
      <c r="F84" s="544">
        <f t="shared" si="18"/>
        <v>94</v>
      </c>
      <c r="G84" s="544">
        <f t="shared" si="18"/>
        <v>92</v>
      </c>
      <c r="H84" s="544">
        <f t="shared" si="18"/>
        <v>90</v>
      </c>
      <c r="I84" s="544">
        <f t="shared" si="18"/>
        <v>88</v>
      </c>
      <c r="J84" s="544">
        <f t="shared" si="18"/>
        <v>86</v>
      </c>
      <c r="K84" s="544">
        <f t="shared" si="18"/>
        <v>84</v>
      </c>
      <c r="L84" s="544">
        <f t="shared" si="18"/>
        <v>82</v>
      </c>
      <c r="M84" s="545">
        <f t="shared" si="18"/>
        <v>80</v>
      </c>
      <c r="N84" s="1153"/>
      <c r="O84" s="1153"/>
      <c r="P84" s="1428"/>
      <c r="Q84" s="1422"/>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8"/>
      <c r="Q85" s="1422"/>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8"/>
      <c r="Q86" s="1422"/>
      <c r="R86" s="1144"/>
      <c r="S86" s="1144"/>
      <c r="T86" s="1144"/>
      <c r="U86" s="1144"/>
      <c r="V86" s="1144"/>
      <c r="W86" s="1144"/>
      <c r="X86" s="1144"/>
      <c r="Y86" s="1144"/>
      <c r="Z86" s="1144"/>
      <c r="AA86" s="1144"/>
      <c r="AB86" s="1144"/>
      <c r="AC86" s="1144"/>
    </row>
    <row r="87" spans="1:29" ht="14.4"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3"/>
      <c r="O87" s="1153"/>
      <c r="P87" s="1428"/>
      <c r="Q87" s="1422"/>
      <c r="R87" s="1144"/>
      <c r="S87" s="1144"/>
      <c r="T87" s="1144"/>
      <c r="U87" s="1144"/>
      <c r="V87" s="1144"/>
      <c r="W87" s="1144"/>
      <c r="X87" s="1144"/>
      <c r="Y87" s="1144"/>
      <c r="Z87" s="1144"/>
      <c r="AA87" s="1144"/>
      <c r="AB87" s="1144"/>
      <c r="AC87" s="1144"/>
    </row>
    <row r="88" spans="1:29" ht="15" thickTop="1">
      <c r="A88" s="599"/>
      <c r="B88" s="546" t="s">
        <v>2733</v>
      </c>
      <c r="C88" s="2957" t="s">
        <v>3105</v>
      </c>
      <c r="D88" s="530"/>
      <c r="E88" s="530"/>
      <c r="F88" s="530"/>
      <c r="G88" s="530"/>
      <c r="H88" s="530"/>
      <c r="I88" s="530"/>
      <c r="J88" s="530"/>
      <c r="K88" s="531"/>
      <c r="L88" s="532"/>
      <c r="M88" s="533"/>
      <c r="N88" s="1152"/>
      <c r="O88" s="1152"/>
      <c r="P88" s="1428"/>
      <c r="Q88" s="1422"/>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3"/>
      <c r="O89" s="1153"/>
      <c r="P89" s="1428"/>
      <c r="Q89" s="1422"/>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0(含)-15</v>
      </c>
      <c r="D90" s="578" t="str">
        <f t="shared" ref="D90:L90" si="21">D91&amp;"(含)"&amp;"-"&amp;E91</f>
        <v>15(含)-30</v>
      </c>
      <c r="E90" s="578" t="str">
        <f t="shared" si="21"/>
        <v>30(含)-45</v>
      </c>
      <c r="F90" s="578" t="str">
        <f t="shared" si="21"/>
        <v>45(含)-60</v>
      </c>
      <c r="G90" s="578" t="str">
        <f t="shared" si="21"/>
        <v>60(含)-75</v>
      </c>
      <c r="H90" s="578" t="str">
        <f t="shared" si="21"/>
        <v>75(含)-</v>
      </c>
      <c r="I90" s="578" t="str">
        <f t="shared" si="21"/>
        <v>(含)-</v>
      </c>
      <c r="J90" s="578" t="str">
        <f t="shared" si="21"/>
        <v>(含)-</v>
      </c>
      <c r="K90" s="578" t="str">
        <f t="shared" si="21"/>
        <v>(含)-</v>
      </c>
      <c r="L90" s="578" t="str">
        <f t="shared" si="21"/>
        <v>(含)-</v>
      </c>
      <c r="M90" s="622" t="str">
        <f>M91&amp;"(含)"&amp;"-"&amp;P91</f>
        <v>(含)-</v>
      </c>
      <c r="N90" s="1154"/>
      <c r="O90" s="1154"/>
      <c r="P90" s="1429"/>
      <c r="Q90" s="1430"/>
      <c r="R90" s="1431"/>
      <c r="S90" s="1431"/>
      <c r="T90" s="1431"/>
      <c r="U90" s="1431"/>
      <c r="V90" s="1431"/>
      <c r="W90" s="1431"/>
      <c r="X90" s="1431"/>
      <c r="Y90" s="1431"/>
      <c r="Z90" s="1431"/>
      <c r="AA90" s="1431"/>
      <c r="AB90" s="1431"/>
      <c r="AC90" s="1431"/>
    </row>
    <row r="91" spans="1:29" s="471" customFormat="1">
      <c r="A91" s="593"/>
      <c r="B91" s="546"/>
      <c r="C91" s="595">
        <v>0</v>
      </c>
      <c r="D91" s="595">
        <v>15</v>
      </c>
      <c r="E91" s="595">
        <v>30</v>
      </c>
      <c r="F91" s="595">
        <v>45</v>
      </c>
      <c r="G91" s="595">
        <v>60</v>
      </c>
      <c r="H91" s="595">
        <v>75</v>
      </c>
      <c r="I91" s="595"/>
      <c r="J91" s="596"/>
      <c r="K91" s="596"/>
      <c r="L91" s="597"/>
      <c r="M91" s="598"/>
      <c r="N91" s="1154"/>
      <c r="O91" s="1154"/>
      <c r="P91" s="1429"/>
      <c r="Q91" s="1430"/>
      <c r="R91" s="1431"/>
      <c r="S91" s="1431"/>
      <c r="T91" s="1431"/>
      <c r="U91" s="1431"/>
      <c r="V91" s="1431"/>
      <c r="W91" s="1431"/>
      <c r="X91" s="1431"/>
      <c r="Y91" s="1431"/>
      <c r="Z91" s="1431"/>
      <c r="AA91" s="1431"/>
      <c r="AB91" s="1431"/>
      <c r="AC91" s="1431"/>
    </row>
    <row r="92" spans="1:29" s="471" customFormat="1" ht="14.4" thickBot="1">
      <c r="A92" s="553"/>
      <c r="B92" s="543"/>
      <c r="C92" s="560">
        <v>98</v>
      </c>
      <c r="D92" s="536">
        <v>99</v>
      </c>
      <c r="E92" s="536">
        <v>100</v>
      </c>
      <c r="F92" s="536">
        <v>101</v>
      </c>
      <c r="G92" s="536">
        <v>102</v>
      </c>
      <c r="H92" s="536">
        <v>103</v>
      </c>
      <c r="I92" s="536"/>
      <c r="J92" s="536"/>
      <c r="K92" s="536"/>
      <c r="L92" s="536"/>
      <c r="M92" s="537"/>
      <c r="N92" s="1154"/>
      <c r="O92" s="1154"/>
      <c r="P92" s="1429"/>
      <c r="Q92" s="1430"/>
      <c r="R92" s="1431"/>
      <c r="S92" s="1431"/>
      <c r="T92" s="1431"/>
      <c r="U92" s="1431"/>
      <c r="V92" s="1431"/>
      <c r="W92" s="1431"/>
      <c r="X92" s="1431"/>
      <c r="Y92" s="1431"/>
      <c r="Z92" s="1431"/>
      <c r="AA92" s="1431"/>
      <c r="AB92" s="1431"/>
      <c r="AC92" s="1431"/>
    </row>
    <row r="93" spans="1:29" ht="15" thickTop="1">
      <c r="A93" s="599"/>
      <c r="B93" s="538" t="s">
        <v>2735</v>
      </c>
      <c r="C93" s="2958" t="s">
        <v>3107</v>
      </c>
      <c r="D93" s="554"/>
      <c r="E93" s="583"/>
      <c r="F93" s="583"/>
      <c r="G93" s="583"/>
      <c r="H93" s="583"/>
      <c r="I93" s="583"/>
      <c r="J93" s="583"/>
      <c r="K93" s="584"/>
      <c r="L93" s="585"/>
      <c r="M93" s="586"/>
      <c r="N93" s="1152"/>
      <c r="O93" s="1152"/>
      <c r="P93" s="1428"/>
      <c r="Q93" s="1422"/>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3"/>
      <c r="O94" s="1153"/>
      <c r="P94" s="1428"/>
      <c r="Q94" s="1422"/>
      <c r="R94" s="1144"/>
      <c r="S94" s="1144"/>
      <c r="T94" s="1144"/>
      <c r="U94" s="1144"/>
      <c r="V94" s="1144"/>
      <c r="W94" s="1144"/>
      <c r="X94" s="1144"/>
      <c r="Y94" s="1144"/>
      <c r="Z94" s="1144"/>
      <c r="AA94" s="1144"/>
      <c r="AB94" s="1144"/>
      <c r="AC94" s="1144"/>
    </row>
    <row r="95" spans="1:29" ht="15" thickTop="1">
      <c r="A95" s="599"/>
      <c r="B95" s="538" t="s">
        <v>2736</v>
      </c>
      <c r="C95" s="2957" t="s">
        <v>3109</v>
      </c>
      <c r="D95" s="530"/>
      <c r="E95" s="530"/>
      <c r="F95" s="530"/>
      <c r="G95" s="530"/>
      <c r="H95" s="530"/>
      <c r="I95" s="530"/>
      <c r="J95" s="530"/>
      <c r="K95" s="531"/>
      <c r="L95" s="532"/>
      <c r="M95" s="533"/>
      <c r="N95" s="1152"/>
      <c r="O95" s="1152"/>
      <c r="P95" s="1428"/>
      <c r="Q95" s="1422"/>
      <c r="R95" s="1144"/>
      <c r="S95" s="1144"/>
      <c r="T95" s="1144"/>
      <c r="U95" s="1144"/>
      <c r="V95" s="1144"/>
      <c r="W95" s="1144"/>
      <c r="X95" s="1144"/>
      <c r="Y95" s="1144"/>
      <c r="Z95" s="1144"/>
      <c r="AA95" s="1144"/>
      <c r="AB95" s="1144"/>
      <c r="AC95" s="1144"/>
    </row>
    <row r="96" spans="1:29" ht="14.4" thickBot="1">
      <c r="A96" s="534"/>
      <c r="B96" s="543"/>
      <c r="C96" s="544">
        <v>100</v>
      </c>
      <c r="D96" s="544">
        <f>C96-$K33</f>
        <v>98</v>
      </c>
      <c r="E96" s="544">
        <f>D96-$K33</f>
        <v>96</v>
      </c>
      <c r="F96" s="544">
        <f>E96-$K33</f>
        <v>94</v>
      </c>
      <c r="G96" s="544">
        <f>F96-$K33</f>
        <v>92</v>
      </c>
      <c r="H96" s="544"/>
      <c r="I96" s="544"/>
      <c r="J96" s="544"/>
      <c r="K96" s="544"/>
      <c r="L96" s="544"/>
      <c r="M96" s="545"/>
      <c r="N96" s="1153"/>
      <c r="O96" s="1153"/>
      <c r="P96" s="1428"/>
      <c r="Q96" s="1422"/>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5"/>
      <c r="Q97" s="1436"/>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8"/>
      <c r="Q98" s="1422"/>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29"/>
      <c r="Q99" s="1430"/>
      <c r="R99" s="1431"/>
      <c r="S99" s="1431"/>
      <c r="T99" s="1431"/>
      <c r="U99" s="1431"/>
      <c r="V99" s="1431"/>
      <c r="W99" s="1431"/>
      <c r="X99" s="1431"/>
      <c r="Y99" s="1431"/>
      <c r="Z99" s="1431"/>
      <c r="AA99" s="1431"/>
      <c r="AB99" s="1431"/>
      <c r="AC99" s="1431"/>
    </row>
    <row r="100" spans="1:29" s="471" customFormat="1" ht="14.4" thickBot="1">
      <c r="A100" s="553"/>
      <c r="B100" s="535"/>
      <c r="C100" s="560"/>
      <c r="D100" s="536"/>
      <c r="E100" s="536"/>
      <c r="F100" s="536"/>
      <c r="G100" s="560"/>
      <c r="H100" s="562"/>
      <c r="I100" s="562"/>
      <c r="J100" s="562"/>
      <c r="K100" s="562"/>
      <c r="L100" s="562"/>
      <c r="M100" s="563"/>
      <c r="N100" s="1154"/>
      <c r="O100" s="1154"/>
      <c r="P100" s="1429"/>
      <c r="Q100" s="1430"/>
      <c r="R100" s="1431"/>
      <c r="S100" s="1431"/>
      <c r="T100" s="1431"/>
      <c r="U100" s="1431"/>
      <c r="V100" s="1431"/>
      <c r="W100" s="1431"/>
      <c r="X100" s="1431"/>
      <c r="Y100" s="1431"/>
      <c r="Z100" s="1431"/>
      <c r="AA100" s="1431"/>
      <c r="AB100" s="1431"/>
      <c r="AC100" s="1431"/>
    </row>
    <row r="101" spans="1:29" ht="14.4" thickTop="1">
      <c r="A101" s="599"/>
      <c r="B101" s="538">
        <f>B36</f>
        <v>111</v>
      </c>
      <c r="C101" s="554"/>
      <c r="D101" s="554"/>
      <c r="E101" s="554"/>
      <c r="F101" s="554"/>
      <c r="G101" s="554"/>
      <c r="H101" s="555"/>
      <c r="I101" s="555"/>
      <c r="J101" s="555"/>
      <c r="K101" s="555"/>
      <c r="L101" s="556"/>
      <c r="M101" s="557"/>
      <c r="N101" s="1152"/>
      <c r="O101" s="1152"/>
      <c r="P101" s="1428"/>
      <c r="Q101" s="1422"/>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8"/>
      <c r="Q102" s="1422"/>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23" sqref="E2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2707</v>
      </c>
      <c r="B1" s="1618"/>
      <c r="C1" s="1619" t="s">
        <v>2530</v>
      </c>
      <c r="D1" s="1620"/>
      <c r="E1" s="1629"/>
      <c r="F1" s="2585"/>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IF(C2="——",ROUND(C37*D3/10000,0),ROUND(C37*D3/10000,0)-D2)</f>
        <v>#DIV/0!</v>
      </c>
      <c r="C2" s="2587"/>
      <c r="D2" s="1124" t="e">
        <f ca="1">SUMIF(INDIRECT("'"&amp;F2&amp;"'"&amp;"!A:A"),"承租人权益价值",INDIRECT("'"&amp;F2&amp;"'"&amp;"!c:c"))</f>
        <v>#REF!</v>
      </c>
      <c r="E2" s="2588" t="s">
        <v>2328</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179" t="s">
        <v>2648</v>
      </c>
      <c r="AC4" s="3178" t="s">
        <v>2649</v>
      </c>
    </row>
    <row r="5" spans="1:29">
      <c r="A5" s="404"/>
      <c r="B5" s="405"/>
      <c r="C5" s="3189" t="s">
        <v>2542</v>
      </c>
      <c r="D5" s="3190"/>
      <c r="E5" s="3187" t="s">
        <v>2543</v>
      </c>
      <c r="F5" s="3188"/>
      <c r="G5" s="3189" t="s">
        <v>2544</v>
      </c>
      <c r="H5" s="3190"/>
      <c r="I5" s="3189" t="s">
        <v>2545</v>
      </c>
      <c r="J5" s="3190"/>
      <c r="K5" s="610"/>
      <c r="L5" s="1130"/>
      <c r="M5" s="1131"/>
      <c r="N5" s="1131"/>
      <c r="O5" s="1131"/>
      <c r="P5" s="3202"/>
      <c r="Q5" s="3203"/>
      <c r="R5" s="3185"/>
      <c r="S5" s="3186"/>
      <c r="T5" s="3185"/>
      <c r="U5" s="3186"/>
      <c r="V5" s="3208"/>
      <c r="W5" s="3208"/>
      <c r="X5" s="1812"/>
      <c r="Y5" s="3185"/>
      <c r="Z5" s="3186"/>
      <c r="AA5" s="3179"/>
      <c r="AB5" s="3179"/>
      <c r="AC5" s="3179"/>
    </row>
    <row r="6" spans="1:29" ht="15" thickBot="1">
      <c r="A6" s="406"/>
      <c r="B6" s="407"/>
      <c r="C6" s="3191" t="s">
        <v>2546</v>
      </c>
      <c r="D6" s="3192"/>
      <c r="E6" s="3193" t="s">
        <v>2546</v>
      </c>
      <c r="F6" s="3194"/>
      <c r="G6" s="3191" t="s">
        <v>2546</v>
      </c>
      <c r="H6" s="3192"/>
      <c r="I6" s="3191" t="s">
        <v>2546</v>
      </c>
      <c r="J6" s="3192"/>
      <c r="K6" s="610" t="s">
        <v>2547</v>
      </c>
      <c r="L6" s="1130"/>
      <c r="M6" s="1131"/>
      <c r="N6" s="1131"/>
      <c r="O6" s="1131"/>
      <c r="P6" s="3204"/>
      <c r="Q6" s="3205"/>
      <c r="R6" s="3185"/>
      <c r="S6" s="3186"/>
      <c r="T6" s="3206"/>
      <c r="U6" s="3207"/>
      <c r="V6" s="3208"/>
      <c r="W6" s="3208"/>
      <c r="X6" s="1812"/>
      <c r="Y6" s="3206"/>
      <c r="Z6" s="3207"/>
      <c r="AA6" s="3180"/>
      <c r="AB6" s="3180"/>
      <c r="AC6" s="3180"/>
    </row>
    <row r="7" spans="1:29" s="117" customFormat="1" ht="15" thickBot="1">
      <c r="A7" s="408" t="s">
        <v>2548</v>
      </c>
      <c r="B7" s="409"/>
      <c r="C7" s="410">
        <f>'数据-取费表'!B2</f>
        <v>43802</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181" t="s">
        <v>2549</v>
      </c>
      <c r="Q7" s="3209"/>
      <c r="R7" s="770" t="s">
        <v>17</v>
      </c>
      <c r="S7" s="771">
        <f t="shared" ref="S7:S14" si="0">F7</f>
        <v>0</v>
      </c>
      <c r="T7" s="770" t="s">
        <v>17</v>
      </c>
      <c r="U7" s="771">
        <f t="shared" ref="U7:U14" si="1">H7</f>
        <v>0</v>
      </c>
      <c r="V7" s="770" t="s">
        <v>17</v>
      </c>
      <c r="W7" s="771">
        <f t="shared" ref="W7:W14" si="2">J7</f>
        <v>0</v>
      </c>
      <c r="X7" s="772"/>
      <c r="Y7" s="3181" t="s">
        <v>2549</v>
      </c>
      <c r="Z7" s="3182"/>
      <c r="AA7" s="773" t="e">
        <f>D7/F7</f>
        <v>#DIV/0!</v>
      </c>
      <c r="AB7" s="773" t="e">
        <f>D7/H7</f>
        <v>#DIV/0!</v>
      </c>
      <c r="AC7" s="773" t="e">
        <f>D7/J7</f>
        <v>#DIV/0!</v>
      </c>
    </row>
    <row r="8" spans="1:29" s="117" customFormat="1" ht="1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1" t="s">
        <v>2552</v>
      </c>
      <c r="Q8" s="3182"/>
      <c r="R8" s="770" t="s">
        <v>17</v>
      </c>
      <c r="S8" s="771">
        <f t="shared" si="0"/>
        <v>0</v>
      </c>
      <c r="T8" s="770" t="s">
        <v>17</v>
      </c>
      <c r="U8" s="771">
        <f t="shared" si="1"/>
        <v>0</v>
      </c>
      <c r="V8" s="770" t="s">
        <v>17</v>
      </c>
      <c r="W8" s="771">
        <f t="shared" si="2"/>
        <v>0</v>
      </c>
      <c r="X8" s="772"/>
      <c r="Y8" s="3181" t="s">
        <v>2552</v>
      </c>
      <c r="Z8" s="3182"/>
      <c r="AA8" s="773" t="e">
        <f t="shared" ref="AA8:AA34" si="3">D8/F8</f>
        <v>#DIV/0!</v>
      </c>
      <c r="AB8" s="773" t="e">
        <f t="shared" ref="AB8:AB34" si="4">D8/H8</f>
        <v>#DIV/0!</v>
      </c>
      <c r="AC8" s="773" t="e">
        <f t="shared" ref="AC8:AC34" si="5">D8/J8</f>
        <v>#DIV/0!</v>
      </c>
    </row>
    <row r="9" spans="1:29" s="117" customFormat="1" ht="14.4">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3" t="s">
        <v>2555</v>
      </c>
      <c r="Q9" s="1794" t="str">
        <f t="shared" ref="Q9:Q14" si="6">B9</f>
        <v>用途</v>
      </c>
      <c r="R9" s="770" t="s">
        <v>17</v>
      </c>
      <c r="S9" s="771">
        <f t="shared" si="0"/>
        <v>100</v>
      </c>
      <c r="T9" s="770" t="s">
        <v>17</v>
      </c>
      <c r="U9" s="771">
        <f t="shared" si="1"/>
        <v>100</v>
      </c>
      <c r="V9" s="770" t="s">
        <v>17</v>
      </c>
      <c r="W9" s="771">
        <f t="shared" si="2"/>
        <v>100</v>
      </c>
      <c r="X9" s="772"/>
      <c r="Y9" s="3028" t="s">
        <v>2556</v>
      </c>
      <c r="Z9" s="55" t="str">
        <f t="shared" ref="Z9:Z14" si="7">Q9</f>
        <v>用途</v>
      </c>
      <c r="AA9" s="773">
        <f t="shared" si="3"/>
        <v>1</v>
      </c>
      <c r="AB9" s="773">
        <f t="shared" si="4"/>
        <v>1</v>
      </c>
      <c r="AC9" s="773">
        <f t="shared" si="5"/>
        <v>1</v>
      </c>
    </row>
    <row r="10" spans="1:29" s="427" customFormat="1" ht="28.8">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3"/>
      <c r="Q10" s="1794"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3"/>
      <c r="Q11" s="1794">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3"/>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6"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213"/>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96.6">
      <c r="A14" s="440" t="s">
        <v>2559</v>
      </c>
      <c r="B14" s="69" t="s">
        <v>2709</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5" t="s">
        <v>2560</v>
      </c>
      <c r="Q14" s="1809" t="str">
        <f t="shared" si="6"/>
        <v>交通便捷度</v>
      </c>
      <c r="R14" s="774" t="s">
        <v>17</v>
      </c>
      <c r="S14" s="775">
        <f t="shared" si="0"/>
        <v>100</v>
      </c>
      <c r="T14" s="774" t="s">
        <v>17</v>
      </c>
      <c r="U14" s="775">
        <f t="shared" si="1"/>
        <v>100</v>
      </c>
      <c r="V14" s="774" t="s">
        <v>17</v>
      </c>
      <c r="W14" s="775">
        <f t="shared" si="2"/>
        <v>100</v>
      </c>
      <c r="X14" s="1812"/>
      <c r="Y14" s="3215" t="s">
        <v>2560</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6"/>
      <c r="Q15" s="1809"/>
      <c r="R15" s="774"/>
      <c r="S15" s="775"/>
      <c r="T15" s="774"/>
      <c r="U15" s="775"/>
      <c r="V15" s="774"/>
      <c r="W15" s="775"/>
      <c r="X15" s="1812"/>
      <c r="Y15" s="3216"/>
      <c r="Z15" s="1813"/>
      <c r="AA15" s="1810">
        <v>1</v>
      </c>
      <c r="AB15" s="1810">
        <v>1</v>
      </c>
      <c r="AC15" s="1810">
        <v>1</v>
      </c>
    </row>
    <row r="16" spans="1:29" ht="41.4">
      <c r="A16" s="428"/>
      <c r="B16" s="451" t="s">
        <v>2688</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6"/>
      <c r="Q16" s="1809" t="str">
        <f>B16</f>
        <v>公共配套设施</v>
      </c>
      <c r="R16" s="774" t="s">
        <v>17</v>
      </c>
      <c r="S16" s="775">
        <f>F16</f>
        <v>100</v>
      </c>
      <c r="T16" s="774" t="s">
        <v>17</v>
      </c>
      <c r="U16" s="775">
        <f>H16</f>
        <v>100</v>
      </c>
      <c r="V16" s="774" t="s">
        <v>17</v>
      </c>
      <c r="W16" s="775">
        <f>J16</f>
        <v>100</v>
      </c>
      <c r="X16" s="1812"/>
      <c r="Y16" s="3216"/>
      <c r="Z16" s="1813" t="str">
        <f>Q16</f>
        <v>公共配套设施</v>
      </c>
      <c r="AA16" s="1810">
        <f t="shared" si="3"/>
        <v>1</v>
      </c>
      <c r="AB16" s="1810">
        <f t="shared" si="4"/>
        <v>1</v>
      </c>
      <c r="AC16" s="1810">
        <f t="shared" si="5"/>
        <v>1</v>
      </c>
    </row>
    <row r="17" spans="1:29" ht="15">
      <c r="A17" s="428"/>
      <c r="B17" s="456"/>
      <c r="C17" s="2609"/>
      <c r="D17" s="448"/>
      <c r="E17" s="447"/>
      <c r="F17" s="449"/>
      <c r="G17" s="447"/>
      <c r="H17" s="448"/>
      <c r="I17" s="447"/>
      <c r="J17" s="448"/>
      <c r="K17" s="615"/>
      <c r="L17" s="1140"/>
      <c r="M17" s="1131"/>
      <c r="N17" s="1131"/>
      <c r="O17" s="1139"/>
      <c r="P17" s="3216"/>
      <c r="Q17" s="1809"/>
      <c r="R17" s="774"/>
      <c r="S17" s="775"/>
      <c r="T17" s="774"/>
      <c r="U17" s="775"/>
      <c r="V17" s="774"/>
      <c r="W17" s="775"/>
      <c r="X17" s="1812"/>
      <c r="Y17" s="3216"/>
      <c r="Z17" s="1813"/>
      <c r="AA17" s="1810">
        <v>1</v>
      </c>
      <c r="AB17" s="1810">
        <v>1</v>
      </c>
      <c r="AC17" s="1810">
        <v>1</v>
      </c>
    </row>
    <row r="18" spans="1:29" ht="41.4">
      <c r="A18" s="428"/>
      <c r="B18" s="1383" t="s">
        <v>2689</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6"/>
      <c r="Q18" s="1809" t="str">
        <f>B18</f>
        <v>基础设施水平</v>
      </c>
      <c r="R18" s="774" t="s">
        <v>17</v>
      </c>
      <c r="S18" s="775">
        <f>F18</f>
        <v>100</v>
      </c>
      <c r="T18" s="774" t="s">
        <v>17</v>
      </c>
      <c r="U18" s="775">
        <f>H18</f>
        <v>100</v>
      </c>
      <c r="V18" s="774" t="s">
        <v>17</v>
      </c>
      <c r="W18" s="775">
        <f>J18</f>
        <v>100</v>
      </c>
      <c r="X18" s="1812"/>
      <c r="Y18" s="3216"/>
      <c r="Z18" s="1813" t="str">
        <f>Q18</f>
        <v>基础设施水平</v>
      </c>
      <c r="AA18" s="1810">
        <f t="shared" ref="AA18" si="8">D18/F18</f>
        <v>1</v>
      </c>
      <c r="AB18" s="1810">
        <f t="shared" ref="AB18" si="9">D18/H18</f>
        <v>1</v>
      </c>
      <c r="AC18" s="1810">
        <f t="shared" ref="AC18" si="10">D18/J18</f>
        <v>1</v>
      </c>
    </row>
    <row r="19" spans="1:29" ht="15">
      <c r="A19" s="428"/>
      <c r="B19" s="1383"/>
      <c r="C19" s="2609"/>
      <c r="D19" s="450"/>
      <c r="E19" s="2609"/>
      <c r="F19" s="453"/>
      <c r="G19" s="2609"/>
      <c r="H19" s="448"/>
      <c r="I19" s="447"/>
      <c r="J19" s="448"/>
      <c r="K19" s="1382"/>
      <c r="L19" s="1140"/>
      <c r="M19" s="1131"/>
      <c r="N19" s="1131"/>
      <c r="O19" s="1139"/>
      <c r="P19" s="3216"/>
      <c r="Q19" s="1809"/>
      <c r="R19" s="774"/>
      <c r="S19" s="775"/>
      <c r="T19" s="774"/>
      <c r="U19" s="775"/>
      <c r="V19" s="774"/>
      <c r="W19" s="775"/>
      <c r="X19" s="1812"/>
      <c r="Y19" s="3216"/>
      <c r="Z19" s="1813"/>
      <c r="AA19" s="1810">
        <v>1</v>
      </c>
      <c r="AB19" s="1810">
        <v>1</v>
      </c>
      <c r="AC19" s="1810">
        <v>1</v>
      </c>
    </row>
    <row r="20" spans="1:29" ht="55.2">
      <c r="A20" s="428"/>
      <c r="B20" s="451" t="s">
        <v>2710</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6"/>
      <c r="Q20" s="1809" t="str">
        <f>B20</f>
        <v>自然及人文环境</v>
      </c>
      <c r="R20" s="774" t="s">
        <v>17</v>
      </c>
      <c r="S20" s="775">
        <f>F20</f>
        <v>100</v>
      </c>
      <c r="T20" s="774" t="s">
        <v>17</v>
      </c>
      <c r="U20" s="775">
        <f>H20</f>
        <v>100</v>
      </c>
      <c r="V20" s="774" t="s">
        <v>17</v>
      </c>
      <c r="W20" s="775">
        <f>J20</f>
        <v>100</v>
      </c>
      <c r="X20" s="1812"/>
      <c r="Y20" s="3216"/>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6"/>
      <c r="Q21" s="1809"/>
      <c r="R21" s="774"/>
      <c r="S21" s="775"/>
      <c r="T21" s="774"/>
      <c r="U21" s="775"/>
      <c r="V21" s="774"/>
      <c r="W21" s="775"/>
      <c r="X21" s="1812"/>
      <c r="Y21" s="3216"/>
      <c r="Z21" s="1813"/>
      <c r="AA21" s="1810">
        <v>1</v>
      </c>
      <c r="AB21" s="1810">
        <v>1</v>
      </c>
      <c r="AC21" s="1810">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6"/>
      <c r="Q22" s="1809" t="str">
        <f>B22</f>
        <v>楼层</v>
      </c>
      <c r="R22" s="774" t="s">
        <v>17</v>
      </c>
      <c r="S22" s="775">
        <f>F22</f>
        <v>100</v>
      </c>
      <c r="T22" s="774" t="s">
        <v>17</v>
      </c>
      <c r="U22" s="775">
        <f>H22</f>
        <v>100</v>
      </c>
      <c r="V22" s="774" t="s">
        <v>17</v>
      </c>
      <c r="W22" s="775">
        <f>J22</f>
        <v>100</v>
      </c>
      <c r="X22" s="1812"/>
      <c r="Y22" s="3216"/>
      <c r="Z22" s="1813" t="str">
        <f>Q22</f>
        <v>楼层</v>
      </c>
      <c r="AA22" s="1810">
        <f t="shared" si="3"/>
        <v>1</v>
      </c>
      <c r="AB22" s="1810">
        <f t="shared" si="4"/>
        <v>1</v>
      </c>
      <c r="AC22" s="1810">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6"/>
      <c r="Q23" s="1809">
        <f>B23</f>
        <v>111</v>
      </c>
      <c r="R23" s="774" t="s">
        <v>17</v>
      </c>
      <c r="S23" s="775">
        <f>F23</f>
        <v>100</v>
      </c>
      <c r="T23" s="774" t="s">
        <v>17</v>
      </c>
      <c r="U23" s="775">
        <f>H23</f>
        <v>100</v>
      </c>
      <c r="V23" s="774" t="s">
        <v>17</v>
      </c>
      <c r="W23" s="775">
        <f>J23</f>
        <v>100</v>
      </c>
      <c r="X23" s="1812"/>
      <c r="Y23" s="3216"/>
      <c r="Z23" s="1813">
        <f>Q23</f>
        <v>111</v>
      </c>
      <c r="AA23" s="1810">
        <f t="shared" si="3"/>
        <v>1</v>
      </c>
      <c r="AB23" s="1810">
        <f t="shared" si="4"/>
        <v>1</v>
      </c>
      <c r="AC23" s="1810">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6"/>
      <c r="Q24" s="1809">
        <f t="shared" ref="Q24:Q34" si="11">B24</f>
        <v>111</v>
      </c>
      <c r="R24" s="774" t="s">
        <v>17</v>
      </c>
      <c r="S24" s="775">
        <f>F24</f>
        <v>100</v>
      </c>
      <c r="T24" s="774" t="s">
        <v>17</v>
      </c>
      <c r="U24" s="775">
        <f>H24</f>
        <v>100</v>
      </c>
      <c r="V24" s="774" t="s">
        <v>17</v>
      </c>
      <c r="W24" s="775">
        <f>J24</f>
        <v>100</v>
      </c>
      <c r="X24" s="1812"/>
      <c r="Y24" s="3216"/>
      <c r="Z24" s="1813">
        <f>Q24</f>
        <v>111</v>
      </c>
      <c r="AA24" s="1810">
        <f t="shared" si="3"/>
        <v>1</v>
      </c>
      <c r="AB24" s="1810">
        <f t="shared" si="4"/>
        <v>1</v>
      </c>
      <c r="AC24" s="1810">
        <f t="shared" si="5"/>
        <v>1</v>
      </c>
    </row>
    <row r="25" spans="1:29" s="117" customFormat="1" ht="15.6"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216"/>
      <c r="Q25" s="1794">
        <f t="shared" si="11"/>
        <v>111</v>
      </c>
      <c r="R25" s="770" t="s">
        <v>17</v>
      </c>
      <c r="S25" s="771">
        <f>F25</f>
        <v>100</v>
      </c>
      <c r="T25" s="770" t="s">
        <v>17</v>
      </c>
      <c r="U25" s="771">
        <f>H25</f>
        <v>100</v>
      </c>
      <c r="V25" s="770" t="s">
        <v>17</v>
      </c>
      <c r="W25" s="771">
        <f>J25</f>
        <v>100</v>
      </c>
      <c r="X25" s="772"/>
      <c r="Y25" s="3216"/>
      <c r="Z25" s="55">
        <f>Q25</f>
        <v>111</v>
      </c>
      <c r="AA25" s="1810">
        <f>D25/F25</f>
        <v>1</v>
      </c>
      <c r="AB25" s="1810">
        <f>D25/H25</f>
        <v>1</v>
      </c>
      <c r="AC25" s="1810">
        <f>D25/J25</f>
        <v>1</v>
      </c>
    </row>
    <row r="26" spans="1:29" ht="30">
      <c r="A26" s="466" t="s">
        <v>2563</v>
      </c>
      <c r="B26" s="71" t="s">
        <v>2714</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39" t="s">
        <v>2565</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20" t="s">
        <v>2565</v>
      </c>
      <c r="Z26" s="1813" t="str">
        <f t="shared" ref="Z26:Z34" si="15">Q26</f>
        <v>公共部分装修</v>
      </c>
      <c r="AA26" s="1810">
        <f t="shared" si="3"/>
        <v>1</v>
      </c>
      <c r="AB26" s="1810">
        <f t="shared" si="4"/>
        <v>1</v>
      </c>
      <c r="AC26" s="1810">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0"/>
      <c r="Q27" s="776" t="str">
        <f t="shared" si="11"/>
        <v>成新率</v>
      </c>
      <c r="R27" s="777" t="s">
        <v>17</v>
      </c>
      <c r="S27" s="778" t="e">
        <f t="shared" si="12"/>
        <v>#N/A</v>
      </c>
      <c r="T27" s="777" t="s">
        <v>17</v>
      </c>
      <c r="U27" s="778" t="e">
        <f t="shared" si="13"/>
        <v>#N/A</v>
      </c>
      <c r="V27" s="777" t="s">
        <v>17</v>
      </c>
      <c r="W27" s="778" t="e">
        <f t="shared" si="14"/>
        <v>#N/A</v>
      </c>
      <c r="X27" s="779"/>
      <c r="Y27" s="3220"/>
      <c r="Z27" s="780" t="str">
        <f t="shared" si="15"/>
        <v>成新率</v>
      </c>
      <c r="AA27" s="1810" t="e">
        <f t="shared" si="3"/>
        <v>#N/A</v>
      </c>
      <c r="AB27" s="1810" t="e">
        <f t="shared" si="4"/>
        <v>#N/A</v>
      </c>
      <c r="AC27" s="1810"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0"/>
      <c r="Q28" s="1809" t="str">
        <f t="shared" si="11"/>
        <v>物业等级</v>
      </c>
      <c r="R28" s="774" t="s">
        <v>17</v>
      </c>
      <c r="S28" s="775">
        <f t="shared" si="12"/>
        <v>100</v>
      </c>
      <c r="T28" s="774" t="s">
        <v>17</v>
      </c>
      <c r="U28" s="775">
        <f t="shared" si="13"/>
        <v>100</v>
      </c>
      <c r="V28" s="774" t="s">
        <v>17</v>
      </c>
      <c r="W28" s="775">
        <f t="shared" si="14"/>
        <v>100</v>
      </c>
      <c r="X28" s="1812"/>
      <c r="Y28" s="3220"/>
      <c r="Z28" s="1813" t="str">
        <f t="shared" si="15"/>
        <v>物业等级</v>
      </c>
      <c r="AA28" s="1810">
        <f t="shared" si="3"/>
        <v>1</v>
      </c>
      <c r="AB28" s="1810">
        <f t="shared" si="4"/>
        <v>1</v>
      </c>
      <c r="AC28" s="1810">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20"/>
      <c r="Q29" s="1809" t="str">
        <f t="shared" si="11"/>
        <v>有无电梯</v>
      </c>
      <c r="R29" s="774" t="s">
        <v>17</v>
      </c>
      <c r="S29" s="775">
        <f t="shared" si="12"/>
        <v>100</v>
      </c>
      <c r="T29" s="774" t="s">
        <v>17</v>
      </c>
      <c r="U29" s="775">
        <f t="shared" si="13"/>
        <v>100</v>
      </c>
      <c r="V29" s="774" t="s">
        <v>17</v>
      </c>
      <c r="W29" s="775">
        <f t="shared" si="14"/>
        <v>100</v>
      </c>
      <c r="X29" s="1812"/>
      <c r="Y29" s="3220"/>
      <c r="Z29" s="1813" t="str">
        <f t="shared" si="15"/>
        <v>有无电梯</v>
      </c>
      <c r="AA29" s="1810">
        <f t="shared" si="3"/>
        <v>1</v>
      </c>
      <c r="AB29" s="1810">
        <f t="shared" si="4"/>
        <v>1</v>
      </c>
      <c r="AC29" s="1810">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0"/>
      <c r="Q30" s="1809" t="str">
        <f t="shared" si="11"/>
        <v>建筑面积</v>
      </c>
      <c r="R30" s="774" t="s">
        <v>17</v>
      </c>
      <c r="S30" s="775" t="e">
        <f t="shared" si="12"/>
        <v>#N/A</v>
      </c>
      <c r="T30" s="774" t="s">
        <v>17</v>
      </c>
      <c r="U30" s="775" t="e">
        <f t="shared" si="13"/>
        <v>#N/A</v>
      </c>
      <c r="V30" s="774" t="s">
        <v>17</v>
      </c>
      <c r="W30" s="775" t="e">
        <f t="shared" si="14"/>
        <v>#N/A</v>
      </c>
      <c r="X30" s="1812"/>
      <c r="Y30" s="3220"/>
      <c r="Z30" s="1813" t="str">
        <f t="shared" si="15"/>
        <v>建筑面积</v>
      </c>
      <c r="AA30" s="1810" t="e">
        <f t="shared" si="3"/>
        <v>#N/A</v>
      </c>
      <c r="AB30" s="1810" t="e">
        <f t="shared" si="4"/>
        <v>#N/A</v>
      </c>
      <c r="AC30" s="1810"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20"/>
      <c r="Q31" s="1794" t="str">
        <f t="shared" si="11"/>
        <v>是否封闭</v>
      </c>
      <c r="R31" s="770" t="s">
        <v>17</v>
      </c>
      <c r="S31" s="771">
        <f t="shared" si="12"/>
        <v>100</v>
      </c>
      <c r="T31" s="770" t="s">
        <v>17</v>
      </c>
      <c r="U31" s="771">
        <f t="shared" si="13"/>
        <v>100</v>
      </c>
      <c r="V31" s="770" t="s">
        <v>17</v>
      </c>
      <c r="W31" s="771">
        <f t="shared" si="14"/>
        <v>100</v>
      </c>
      <c r="X31" s="772"/>
      <c r="Y31" s="3220"/>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0" t="s">
        <v>2565</v>
      </c>
      <c r="Q32" s="1809">
        <f t="shared" si="11"/>
        <v>111</v>
      </c>
      <c r="R32" s="774" t="s">
        <v>17</v>
      </c>
      <c r="S32" s="775">
        <f t="shared" si="12"/>
        <v>100</v>
      </c>
      <c r="T32" s="774" t="s">
        <v>17</v>
      </c>
      <c r="U32" s="775">
        <f t="shared" si="13"/>
        <v>100</v>
      </c>
      <c r="V32" s="774" t="s">
        <v>17</v>
      </c>
      <c r="W32" s="775">
        <f t="shared" si="14"/>
        <v>100</v>
      </c>
      <c r="X32" s="1812"/>
      <c r="Y32" s="3220" t="s">
        <v>2565</v>
      </c>
      <c r="Z32" s="1813">
        <f t="shared" si="15"/>
        <v>111</v>
      </c>
      <c r="AA32" s="1810">
        <f t="shared" si="3"/>
        <v>1</v>
      </c>
      <c r="AB32" s="1810">
        <f t="shared" si="4"/>
        <v>1</v>
      </c>
      <c r="AC32" s="1810">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0"/>
      <c r="Q33" s="1809">
        <f t="shared" si="11"/>
        <v>111</v>
      </c>
      <c r="R33" s="774" t="s">
        <v>17</v>
      </c>
      <c r="S33" s="775">
        <f t="shared" si="12"/>
        <v>100</v>
      </c>
      <c r="T33" s="774" t="s">
        <v>17</v>
      </c>
      <c r="U33" s="775">
        <f t="shared" si="13"/>
        <v>100</v>
      </c>
      <c r="V33" s="774" t="s">
        <v>17</v>
      </c>
      <c r="W33" s="775">
        <f t="shared" si="14"/>
        <v>100</v>
      </c>
      <c r="X33" s="1812"/>
      <c r="Y33" s="3220"/>
      <c r="Z33" s="1813">
        <f t="shared" si="15"/>
        <v>111</v>
      </c>
      <c r="AA33" s="1810">
        <f t="shared" si="3"/>
        <v>1</v>
      </c>
      <c r="AB33" s="1810">
        <f t="shared" si="4"/>
        <v>1</v>
      </c>
      <c r="AC33" s="1810">
        <f t="shared" si="5"/>
        <v>1</v>
      </c>
    </row>
    <row r="34" spans="1:29" ht="15.6"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220"/>
      <c r="Q34" s="1809">
        <f t="shared" si="11"/>
        <v>111</v>
      </c>
      <c r="R34" s="774" t="s">
        <v>17</v>
      </c>
      <c r="S34" s="775">
        <f t="shared" si="12"/>
        <v>100</v>
      </c>
      <c r="T34" s="774" t="s">
        <v>17</v>
      </c>
      <c r="U34" s="775">
        <f t="shared" si="13"/>
        <v>100</v>
      </c>
      <c r="V34" s="774" t="s">
        <v>17</v>
      </c>
      <c r="W34" s="775">
        <f t="shared" si="14"/>
        <v>100</v>
      </c>
      <c r="X34" s="1812"/>
      <c r="Y34" s="3220"/>
      <c r="Z34" s="1813">
        <f t="shared" si="15"/>
        <v>111</v>
      </c>
      <c r="AA34" s="1810">
        <f t="shared" si="3"/>
        <v>1</v>
      </c>
      <c r="AB34" s="1810">
        <f t="shared" si="4"/>
        <v>1</v>
      </c>
      <c r="AC34" s="1810">
        <f t="shared" si="5"/>
        <v>1</v>
      </c>
    </row>
    <row r="35" spans="1:29" ht="14.4">
      <c r="A35" s="479" t="s">
        <v>2577</v>
      </c>
      <c r="B35" s="480"/>
      <c r="C35" s="1406" t="s">
        <v>1</v>
      </c>
      <c r="D35" s="1407"/>
      <c r="E35" s="1408"/>
      <c r="F35" s="1409"/>
      <c r="G35" s="1410"/>
      <c r="H35" s="1411"/>
      <c r="I35" s="1408"/>
      <c r="J35" s="1411"/>
      <c r="K35" s="783"/>
      <c r="L35" s="1143"/>
      <c r="M35" s="1144"/>
      <c r="N35" s="1131"/>
      <c r="O35" s="1144"/>
      <c r="P35" s="3213" t="str">
        <f>A35</f>
        <v>成交单价（元/平方米）</v>
      </c>
      <c r="Q35" s="3213"/>
      <c r="R35" s="3214">
        <f>E35</f>
        <v>0</v>
      </c>
      <c r="S35" s="3214"/>
      <c r="T35" s="3214">
        <f>G35</f>
        <v>0</v>
      </c>
      <c r="U35" s="3214"/>
      <c r="V35" s="3214">
        <f>I35</f>
        <v>0</v>
      </c>
      <c r="W35" s="3214"/>
      <c r="X35" s="759"/>
      <c r="Y35" s="781"/>
      <c r="Z35" s="759"/>
      <c r="AA35" s="759"/>
      <c r="AB35" s="759"/>
      <c r="AC35" s="759"/>
    </row>
    <row r="36" spans="1:29" ht="15" thickBot="1">
      <c r="A36" s="486" t="s">
        <v>2669</v>
      </c>
      <c r="B36" s="487"/>
      <c r="C36" s="1412" t="e">
        <f>R37</f>
        <v>#DIV/0!</v>
      </c>
      <c r="D36" s="1413"/>
      <c r="E36" s="1414" t="e">
        <f>R36</f>
        <v>#DIV/0!</v>
      </c>
      <c r="F36" s="1414"/>
      <c r="G36" s="1412" t="e">
        <f>T36</f>
        <v>#DIV/0!</v>
      </c>
      <c r="H36" s="1413"/>
      <c r="I36" s="1414" t="e">
        <f>V36</f>
        <v>#DIV/0!</v>
      </c>
      <c r="J36" s="1413"/>
      <c r="K36" s="784"/>
      <c r="L36" s="1143"/>
      <c r="M36" s="1144"/>
      <c r="N36" s="1131"/>
      <c r="O36" s="1144"/>
      <c r="P36" s="3213" t="str">
        <f>A36</f>
        <v>比较价值（元/平方米）</v>
      </c>
      <c r="Q36" s="3213"/>
      <c r="R36" s="3214" t="e">
        <f>IF(F1="售价",ROUND(PRODUCT(R35,AA7:AA34),0),ROUND(PRODUCT(R35,AA7:AA34),1))</f>
        <v>#DIV/0!</v>
      </c>
      <c r="S36" s="3214"/>
      <c r="T36" s="3214" t="e">
        <f>IF(F1="售价",ROUND(PRODUCT(T35,AB7:AB34),0),ROUND(PRODUCT(T35,AB7:AB34),1))</f>
        <v>#DIV/0!</v>
      </c>
      <c r="U36" s="3214"/>
      <c r="V36" s="3214" t="e">
        <f>IF(F1="售价",ROUND(PRODUCT(V35,AC7:AC34),0),ROUND(PRODUCT(V35,AC7:AC34),1))</f>
        <v>#DIV/0!</v>
      </c>
      <c r="W36" s="3214"/>
      <c r="X36" s="759"/>
      <c r="Y36" s="759"/>
      <c r="Z36" s="759"/>
      <c r="AA36" s="759"/>
      <c r="AB36" s="759"/>
      <c r="AC36" s="759"/>
    </row>
    <row r="37" spans="1:29" ht="15" thickBot="1">
      <c r="A37" s="492" t="s">
        <v>2670</v>
      </c>
      <c r="B37" s="493"/>
      <c r="C37" s="1416" t="e">
        <f>R37</f>
        <v>#DIV/0!</v>
      </c>
      <c r="D37" s="1416"/>
      <c r="E37" s="1416"/>
      <c r="F37" s="1416"/>
      <c r="G37" s="1416"/>
      <c r="H37" s="1416"/>
      <c r="I37" s="1416"/>
      <c r="J37" s="1416"/>
      <c r="K37" s="785"/>
      <c r="L37" s="1143"/>
      <c r="M37" s="1144"/>
      <c r="N37" s="1144"/>
      <c r="O37" s="1144"/>
      <c r="P37" s="3210" t="str">
        <f>A37</f>
        <v>估价对象XX用房的比较价值（楼面单价，元/平方米）</v>
      </c>
      <c r="Q37" s="3211"/>
      <c r="R37" s="3212" t="e">
        <f>IF(F1="售价",ROUND(AVERAGE(R36:V36),0),ROUND(AVERAGE(R36:V36),1))</f>
        <v>#DIV/0!</v>
      </c>
      <c r="S37" s="3212"/>
      <c r="T37" s="3212"/>
      <c r="U37" s="3212"/>
      <c r="V37" s="3212"/>
      <c r="W37" s="321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2674</v>
      </c>
      <c r="B45" s="759"/>
      <c r="C45" s="764"/>
      <c r="D45" s="764"/>
      <c r="E45" s="764"/>
      <c r="F45" s="765"/>
      <c r="G45" s="765"/>
      <c r="H45" s="764"/>
      <c r="I45" s="764"/>
      <c r="J45" s="764"/>
      <c r="K45" s="766"/>
      <c r="L45" s="767"/>
      <c r="M45" s="764"/>
      <c r="N45" s="764"/>
      <c r="O45" s="764"/>
      <c r="P45" s="503"/>
      <c r="Q45" s="504"/>
    </row>
    <row r="46" spans="1:29" s="508" customFormat="1" ht="14.4">
      <c r="A46" s="505" t="s">
        <v>2548</v>
      </c>
      <c r="B46" s="506"/>
      <c r="C46" s="1573" t="str">
        <f>YEAR(C7)&amp;"-"&amp;MONTH(C7)</f>
        <v>2019-12</v>
      </c>
      <c r="D46" s="1574">
        <f>EDATE(C46,-1)</f>
        <v>43770</v>
      </c>
      <c r="E46" s="1574">
        <f t="shared" ref="E46:O46" si="16">EDATE(D46,-1)</f>
        <v>43739</v>
      </c>
      <c r="F46" s="1574">
        <f t="shared" si="16"/>
        <v>43709</v>
      </c>
      <c r="G46" s="1574">
        <f t="shared" si="16"/>
        <v>43678</v>
      </c>
      <c r="H46" s="1574">
        <f t="shared" si="16"/>
        <v>43647</v>
      </c>
      <c r="I46" s="1574">
        <f t="shared" si="16"/>
        <v>43617</v>
      </c>
      <c r="J46" s="1574">
        <f t="shared" si="16"/>
        <v>43586</v>
      </c>
      <c r="K46" s="1574">
        <f t="shared" si="16"/>
        <v>43556</v>
      </c>
      <c r="L46" s="1574">
        <f t="shared" si="16"/>
        <v>43525</v>
      </c>
      <c r="M46" s="1574">
        <f t="shared" si="16"/>
        <v>43497</v>
      </c>
      <c r="N46" s="1574">
        <f t="shared" si="16"/>
        <v>43466</v>
      </c>
      <c r="O46" s="1574">
        <f t="shared" si="16"/>
        <v>43435</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2585</v>
      </c>
      <c r="B48" s="516"/>
      <c r="C48" s="517"/>
      <c r="D48" s="518"/>
      <c r="E48" s="518"/>
      <c r="F48" s="518"/>
      <c r="G48" s="518"/>
      <c r="H48" s="518"/>
      <c r="I48" s="518"/>
      <c r="J48" s="518"/>
      <c r="K48" s="518"/>
      <c r="L48" s="518"/>
      <c r="M48" s="519"/>
      <c r="N48" s="518"/>
      <c r="O48" s="520"/>
      <c r="P48" s="504"/>
      <c r="Q48" s="504"/>
    </row>
    <row r="49" spans="1:17" s="117" customFormat="1" ht="14.4">
      <c r="A49" s="521" t="s">
        <v>2550</v>
      </c>
      <c r="B49" s="510"/>
      <c r="C49" s="522" t="s">
        <v>2652</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2588</v>
      </c>
      <c r="B51" s="528" t="s">
        <v>2554</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2689</v>
      </c>
      <c r="C65" s="660" t="s">
        <v>2675</v>
      </c>
      <c r="D65" s="660" t="s">
        <v>2676</v>
      </c>
      <c r="E65" s="660" t="s">
        <v>2677</v>
      </c>
      <c r="F65" s="660" t="s">
        <v>2678</v>
      </c>
      <c r="G65" s="660" t="s">
        <v>2679</v>
      </c>
      <c r="H65" s="539"/>
      <c r="I65" s="539"/>
      <c r="J65" s="539"/>
      <c r="K65" s="539"/>
      <c r="L65" s="539"/>
      <c r="M65" s="1381"/>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2729</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23" sqref="E23"/>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179" t="s">
        <v>2648</v>
      </c>
      <c r="AC4" s="3178" t="s">
        <v>2649</v>
      </c>
    </row>
    <row r="5" spans="1:30">
      <c r="A5" s="404"/>
      <c r="B5" s="405"/>
      <c r="C5" s="3189" t="s">
        <v>2542</v>
      </c>
      <c r="D5" s="3190"/>
      <c r="E5" s="3187" t="s">
        <v>2543</v>
      </c>
      <c r="F5" s="3188"/>
      <c r="G5" s="3189" t="s">
        <v>2544</v>
      </c>
      <c r="H5" s="3190"/>
      <c r="I5" s="3189" t="s">
        <v>2545</v>
      </c>
      <c r="J5" s="3190"/>
      <c r="K5" s="610"/>
      <c r="L5" s="1130"/>
      <c r="M5" s="1131"/>
      <c r="N5" s="1131"/>
      <c r="O5" s="1131"/>
      <c r="P5" s="3202"/>
      <c r="Q5" s="3203"/>
      <c r="R5" s="3185"/>
      <c r="S5" s="3186"/>
      <c r="T5" s="3185"/>
      <c r="U5" s="3186"/>
      <c r="V5" s="3208"/>
      <c r="W5" s="3208"/>
      <c r="X5" s="1812"/>
      <c r="Y5" s="3185"/>
      <c r="Z5" s="3186"/>
      <c r="AA5" s="3179"/>
      <c r="AB5" s="3179"/>
      <c r="AC5" s="3179"/>
    </row>
    <row r="6" spans="1:30" ht="15" thickBot="1">
      <c r="A6" s="406"/>
      <c r="B6" s="407"/>
      <c r="C6" s="3191" t="s">
        <v>2546</v>
      </c>
      <c r="D6" s="3192"/>
      <c r="E6" s="3193" t="s">
        <v>2546</v>
      </c>
      <c r="F6" s="3194"/>
      <c r="G6" s="3191" t="s">
        <v>2546</v>
      </c>
      <c r="H6" s="3192"/>
      <c r="I6" s="3191" t="s">
        <v>2546</v>
      </c>
      <c r="J6" s="3192"/>
      <c r="K6" s="610" t="s">
        <v>2547</v>
      </c>
      <c r="L6" s="1130"/>
      <c r="M6" s="1131"/>
      <c r="N6" s="1131"/>
      <c r="O6" s="1131"/>
      <c r="P6" s="3204"/>
      <c r="Q6" s="3205"/>
      <c r="R6" s="3185"/>
      <c r="S6" s="3186"/>
      <c r="T6" s="3206"/>
      <c r="U6" s="3207"/>
      <c r="V6" s="3208"/>
      <c r="W6" s="3208"/>
      <c r="X6" s="1812"/>
      <c r="Y6" s="3206"/>
      <c r="Z6" s="3207"/>
      <c r="AA6" s="3180"/>
      <c r="AB6" s="3180"/>
      <c r="AC6" s="3180"/>
    </row>
    <row r="7" spans="1:30" s="117" customFormat="1" ht="15" thickBot="1">
      <c r="A7" s="408" t="s">
        <v>2548</v>
      </c>
      <c r="B7" s="409"/>
      <c r="C7" s="410">
        <f>'数据-取费表'!B2</f>
        <v>43802</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181" t="s">
        <v>2549</v>
      </c>
      <c r="Q7" s="3209"/>
      <c r="R7" s="770" t="s">
        <v>17</v>
      </c>
      <c r="S7" s="771">
        <f t="shared" ref="S7:S15" si="0">F7</f>
        <v>0</v>
      </c>
      <c r="T7" s="770" t="s">
        <v>17</v>
      </c>
      <c r="U7" s="771">
        <f t="shared" ref="U7:U15" si="1">H7</f>
        <v>0</v>
      </c>
      <c r="V7" s="770" t="s">
        <v>17</v>
      </c>
      <c r="W7" s="771">
        <f t="shared" ref="W7:W15" si="2">J7</f>
        <v>0</v>
      </c>
      <c r="X7" s="772"/>
      <c r="Y7" s="3181" t="s">
        <v>2549</v>
      </c>
      <c r="Z7" s="3182"/>
      <c r="AA7" s="773" t="e">
        <f>D7/F7</f>
        <v>#DIV/0!</v>
      </c>
      <c r="AB7" s="773" t="e">
        <f>D7/H7</f>
        <v>#DIV/0!</v>
      </c>
      <c r="AC7" s="773" t="e">
        <f>D7/J7</f>
        <v>#DIV/0!</v>
      </c>
    </row>
    <row r="8" spans="1:30" s="117" customFormat="1" ht="1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81" t="s">
        <v>2552</v>
      </c>
      <c r="Q8" s="3182"/>
      <c r="R8" s="770" t="s">
        <v>17</v>
      </c>
      <c r="S8" s="771">
        <f t="shared" si="0"/>
        <v>0</v>
      </c>
      <c r="T8" s="770" t="s">
        <v>17</v>
      </c>
      <c r="U8" s="771">
        <f t="shared" si="1"/>
        <v>0</v>
      </c>
      <c r="V8" s="770" t="s">
        <v>17</v>
      </c>
      <c r="W8" s="771">
        <f t="shared" si="2"/>
        <v>0</v>
      </c>
      <c r="X8" s="772"/>
      <c r="Y8" s="3181" t="s">
        <v>2552</v>
      </c>
      <c r="Z8" s="3182"/>
      <c r="AA8" s="773" t="e">
        <f t="shared" ref="AA8:AA45" si="3">D8/F8</f>
        <v>#DIV/0!</v>
      </c>
      <c r="AB8" s="773" t="e">
        <f t="shared" ref="AB8:AB45" si="4">D8/H8</f>
        <v>#DIV/0!</v>
      </c>
      <c r="AC8" s="773" t="e">
        <f t="shared" ref="AC8:AC45" si="5">D8/J8</f>
        <v>#DIV/0!</v>
      </c>
    </row>
    <row r="9" spans="1:30" s="117" customFormat="1" ht="14.4">
      <c r="A9" s="415" t="s">
        <v>2553</v>
      </c>
      <c r="B9" s="71" t="s">
        <v>2554</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213"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773">
        <f t="shared" si="5"/>
        <v>1</v>
      </c>
    </row>
    <row r="10" spans="1:30" s="427" customFormat="1" ht="28.8">
      <c r="A10" s="421"/>
      <c r="B10" s="422" t="s">
        <v>2557</v>
      </c>
      <c r="C10" s="432"/>
      <c r="D10" s="136">
        <v>100</v>
      </c>
      <c r="E10" s="465"/>
      <c r="F10" s="136">
        <f>ROUND(100/'数据-取费表'!G16,0)</f>
        <v>122</v>
      </c>
      <c r="G10" s="463"/>
      <c r="H10" s="136">
        <f>ROUND(100/'数据-取费表'!G16,0)</f>
        <v>122</v>
      </c>
      <c r="I10" s="463"/>
      <c r="J10" s="136">
        <f>ROUND(100/'数据-取费表'!G16,0)</f>
        <v>122</v>
      </c>
      <c r="K10" s="672"/>
      <c r="L10" s="1135"/>
      <c r="M10" s="1136"/>
      <c r="N10" s="1136"/>
      <c r="O10" s="1137"/>
      <c r="P10" s="3213"/>
      <c r="Q10" s="1794" t="str">
        <f t="shared" si="6"/>
        <v>土地使用年限（年）</v>
      </c>
      <c r="R10" s="770" t="s">
        <v>17</v>
      </c>
      <c r="S10" s="771">
        <f t="shared" si="0"/>
        <v>122</v>
      </c>
      <c r="T10" s="770" t="s">
        <v>17</v>
      </c>
      <c r="U10" s="771">
        <f t="shared" si="1"/>
        <v>122</v>
      </c>
      <c r="V10" s="770" t="s">
        <v>17</v>
      </c>
      <c r="W10" s="771">
        <f t="shared" si="2"/>
        <v>122</v>
      </c>
      <c r="X10" s="772"/>
      <c r="Y10" s="3028"/>
      <c r="Z10" s="55" t="str">
        <f t="shared" si="7"/>
        <v>土地使用年限（年）</v>
      </c>
      <c r="AA10" s="773">
        <f t="shared" si="3"/>
        <v>0.81967213114754101</v>
      </c>
      <c r="AB10" s="773">
        <f t="shared" si="4"/>
        <v>0.81967213114754101</v>
      </c>
      <c r="AC10" s="773">
        <f t="shared" si="5"/>
        <v>0.81967213114754101</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13"/>
      <c r="Q11" s="1794"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30" s="117" customFormat="1" ht="15">
      <c r="A12" s="431"/>
      <c r="B12" s="2601"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13"/>
      <c r="Q12" s="1794" t="str">
        <f t="shared" si="6"/>
        <v>配建</v>
      </c>
      <c r="R12" s="770" t="s">
        <v>17</v>
      </c>
      <c r="S12" s="771">
        <f t="shared" si="0"/>
        <v>100</v>
      </c>
      <c r="T12" s="770" t="s">
        <v>17</v>
      </c>
      <c r="U12" s="771">
        <f t="shared" si="1"/>
        <v>100</v>
      </c>
      <c r="V12" s="770" t="s">
        <v>17</v>
      </c>
      <c r="W12" s="771">
        <f t="shared" si="2"/>
        <v>100</v>
      </c>
      <c r="X12" s="772"/>
      <c r="Y12" s="3028"/>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13"/>
      <c r="Q13" s="1794">
        <f t="shared" si="6"/>
        <v>111</v>
      </c>
      <c r="R13" s="770" t="s">
        <v>17</v>
      </c>
      <c r="S13" s="771">
        <f t="shared" si="0"/>
        <v>100</v>
      </c>
      <c r="T13" s="770" t="s">
        <v>17</v>
      </c>
      <c r="U13" s="771">
        <f t="shared" si="1"/>
        <v>100</v>
      </c>
      <c r="V13" s="770" t="s">
        <v>17</v>
      </c>
      <c r="W13" s="771">
        <f t="shared" si="2"/>
        <v>100</v>
      </c>
      <c r="X13" s="772"/>
      <c r="Y13" s="3028"/>
      <c r="Z13" s="55">
        <f t="shared" si="7"/>
        <v>111</v>
      </c>
      <c r="AA13" s="773">
        <f>D13/F13</f>
        <v>1</v>
      </c>
      <c r="AB13" s="773">
        <f>D13/H13</f>
        <v>1</v>
      </c>
      <c r="AC13" s="773">
        <f>D13/J13</f>
        <v>1</v>
      </c>
    </row>
    <row r="14" spans="1:30" ht="15.6"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13"/>
      <c r="Q14" s="1794">
        <f t="shared" si="6"/>
        <v>111</v>
      </c>
      <c r="R14" s="770" t="s">
        <v>17</v>
      </c>
      <c r="S14" s="771">
        <f t="shared" si="0"/>
        <v>100</v>
      </c>
      <c r="T14" s="770" t="s">
        <v>17</v>
      </c>
      <c r="U14" s="771">
        <f t="shared" si="1"/>
        <v>100</v>
      </c>
      <c r="V14" s="770" t="s">
        <v>17</v>
      </c>
      <c r="W14" s="771">
        <f t="shared" si="2"/>
        <v>100</v>
      </c>
      <c r="X14" s="772"/>
      <c r="Y14" s="3028"/>
      <c r="Z14" s="55">
        <f t="shared" si="7"/>
        <v>111</v>
      </c>
      <c r="AA14" s="773">
        <f>D14/F14</f>
        <v>1</v>
      </c>
      <c r="AB14" s="773">
        <f>D14/H14</f>
        <v>1</v>
      </c>
      <c r="AC14" s="773">
        <f>D14/J14</f>
        <v>1</v>
      </c>
    </row>
    <row r="15" spans="1:30" ht="96.6">
      <c r="A15" s="440" t="s">
        <v>2559</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5" t="s">
        <v>2560</v>
      </c>
      <c r="Q15" s="1809" t="str">
        <f t="shared" si="6"/>
        <v>居住社区成熟度</v>
      </c>
      <c r="R15" s="774" t="s">
        <v>17</v>
      </c>
      <c r="S15" s="775">
        <f t="shared" si="0"/>
        <v>100</v>
      </c>
      <c r="T15" s="774" t="s">
        <v>17</v>
      </c>
      <c r="U15" s="775">
        <f t="shared" si="1"/>
        <v>100</v>
      </c>
      <c r="V15" s="774" t="s">
        <v>17</v>
      </c>
      <c r="W15" s="775">
        <f t="shared" si="2"/>
        <v>100</v>
      </c>
      <c r="X15" s="1812"/>
      <c r="Y15" s="3215" t="s">
        <v>2560</v>
      </c>
      <c r="Z15" s="1813" t="str">
        <f t="shared" si="7"/>
        <v>居住社区成熟度</v>
      </c>
      <c r="AA15" s="1810">
        <f t="shared" si="3"/>
        <v>1</v>
      </c>
      <c r="AB15" s="1810">
        <f t="shared" si="4"/>
        <v>1</v>
      </c>
      <c r="AC15" s="1810">
        <f t="shared" si="5"/>
        <v>1</v>
      </c>
    </row>
    <row r="16" spans="1:30" ht="15">
      <c r="A16" s="428"/>
      <c r="B16" s="446"/>
      <c r="C16" s="447"/>
      <c r="D16" s="448"/>
      <c r="E16" s="2606"/>
      <c r="F16" s="448"/>
      <c r="G16" s="2606"/>
      <c r="H16" s="450"/>
      <c r="I16" s="2605"/>
      <c r="J16" s="448"/>
      <c r="K16" s="672"/>
      <c r="L16" s="1140"/>
      <c r="M16" s="1131"/>
      <c r="N16" s="1131"/>
      <c r="O16" s="1139"/>
      <c r="P16" s="3216"/>
      <c r="Q16" s="1809"/>
      <c r="R16" s="774"/>
      <c r="S16" s="775"/>
      <c r="T16" s="774"/>
      <c r="U16" s="775"/>
      <c r="V16" s="774"/>
      <c r="W16" s="775"/>
      <c r="X16" s="1812"/>
      <c r="Y16" s="3216"/>
      <c r="Z16" s="1813"/>
      <c r="AA16" s="1810">
        <v>1</v>
      </c>
      <c r="AB16" s="1810">
        <v>1</v>
      </c>
      <c r="AC16" s="1810">
        <v>1</v>
      </c>
    </row>
    <row r="17" spans="1:29" ht="82.8">
      <c r="A17" s="428"/>
      <c r="B17" s="451" t="s">
        <v>2653</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6"/>
      <c r="Q17" s="1809" t="str">
        <f>B17</f>
        <v>商业繁华度</v>
      </c>
      <c r="R17" s="774" t="s">
        <v>17</v>
      </c>
      <c r="S17" s="775">
        <f>F17</f>
        <v>100</v>
      </c>
      <c r="T17" s="774" t="s">
        <v>17</v>
      </c>
      <c r="U17" s="775">
        <f>H17</f>
        <v>100</v>
      </c>
      <c r="V17" s="774" t="s">
        <v>17</v>
      </c>
      <c r="W17" s="775">
        <f>J17</f>
        <v>100</v>
      </c>
      <c r="X17" s="1812"/>
      <c r="Y17" s="3216"/>
      <c r="Z17" s="1813" t="str">
        <f>Q17</f>
        <v>商业繁华度</v>
      </c>
      <c r="AA17" s="1810">
        <f t="shared" si="3"/>
        <v>1</v>
      </c>
      <c r="AB17" s="1810">
        <f t="shared" si="4"/>
        <v>1</v>
      </c>
      <c r="AC17" s="1810">
        <f t="shared" si="5"/>
        <v>1</v>
      </c>
    </row>
    <row r="18" spans="1:29" ht="15">
      <c r="A18" s="428"/>
      <c r="B18" s="456"/>
      <c r="C18" s="2609"/>
      <c r="D18" s="450"/>
      <c r="E18" s="2611"/>
      <c r="F18" s="450"/>
      <c r="G18" s="2611"/>
      <c r="H18" s="448"/>
      <c r="I18" s="2610"/>
      <c r="J18" s="448"/>
      <c r="K18" s="672"/>
      <c r="L18" s="1140"/>
      <c r="M18" s="1131"/>
      <c r="N18" s="1131"/>
      <c r="O18" s="1139"/>
      <c r="P18" s="3216"/>
      <c r="Q18" s="1809"/>
      <c r="R18" s="774"/>
      <c r="S18" s="775"/>
      <c r="T18" s="774"/>
      <c r="U18" s="775"/>
      <c r="V18" s="774"/>
      <c r="W18" s="775"/>
      <c r="X18" s="1812"/>
      <c r="Y18" s="3216"/>
      <c r="Z18" s="1813"/>
      <c r="AA18" s="1810">
        <v>1</v>
      </c>
      <c r="AB18" s="1810">
        <v>1</v>
      </c>
      <c r="AC18" s="1810">
        <v>1</v>
      </c>
    </row>
    <row r="19" spans="1:29" ht="82.8">
      <c r="A19" s="428"/>
      <c r="B19" s="451" t="s">
        <v>2687</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6"/>
      <c r="Q19" s="1809" t="str">
        <f>B19</f>
        <v>办公集聚程度</v>
      </c>
      <c r="R19" s="774" t="s">
        <v>17</v>
      </c>
      <c r="S19" s="775">
        <f>F19</f>
        <v>100</v>
      </c>
      <c r="T19" s="774" t="s">
        <v>17</v>
      </c>
      <c r="U19" s="775">
        <f>H19</f>
        <v>100</v>
      </c>
      <c r="V19" s="774" t="s">
        <v>17</v>
      </c>
      <c r="W19" s="775">
        <f>J19</f>
        <v>100</v>
      </c>
      <c r="X19" s="1812"/>
      <c r="Y19" s="3216"/>
      <c r="Z19" s="1813" t="str">
        <f>Q19</f>
        <v>办公集聚程度</v>
      </c>
      <c r="AA19" s="1810">
        <f t="shared" si="3"/>
        <v>1</v>
      </c>
      <c r="AB19" s="1810">
        <f t="shared" si="4"/>
        <v>1</v>
      </c>
      <c r="AC19" s="1810">
        <f t="shared" si="5"/>
        <v>1</v>
      </c>
    </row>
    <row r="20" spans="1:29" ht="15">
      <c r="A20" s="428"/>
      <c r="B20" s="456"/>
      <c r="C20" s="447"/>
      <c r="D20" s="448"/>
      <c r="E20" s="2606"/>
      <c r="F20" s="448"/>
      <c r="G20" s="2606"/>
      <c r="H20" s="448"/>
      <c r="I20" s="2605"/>
      <c r="J20" s="448"/>
      <c r="K20" s="672"/>
      <c r="L20" s="1140"/>
      <c r="M20" s="1131"/>
      <c r="N20" s="1131"/>
      <c r="O20" s="1139"/>
      <c r="P20" s="3216"/>
      <c r="Q20" s="1809"/>
      <c r="R20" s="774"/>
      <c r="S20" s="775"/>
      <c r="T20" s="774"/>
      <c r="U20" s="775"/>
      <c r="V20" s="774"/>
      <c r="W20" s="775"/>
      <c r="X20" s="1812"/>
      <c r="Y20" s="3216"/>
      <c r="Z20" s="1813"/>
      <c r="AA20" s="1810">
        <v>1</v>
      </c>
      <c r="AB20" s="1810">
        <v>1</v>
      </c>
      <c r="AC20" s="1810">
        <v>1</v>
      </c>
    </row>
    <row r="21" spans="1:29" ht="96.6">
      <c r="A21" s="428"/>
      <c r="B21" s="451" t="s">
        <v>2709</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6"/>
      <c r="Q21" s="1809" t="str">
        <f>B21</f>
        <v>交通便捷度</v>
      </c>
      <c r="R21" s="774" t="s">
        <v>17</v>
      </c>
      <c r="S21" s="775">
        <f>F21</f>
        <v>100</v>
      </c>
      <c r="T21" s="774" t="s">
        <v>17</v>
      </c>
      <c r="U21" s="775">
        <f>H21</f>
        <v>100</v>
      </c>
      <c r="V21" s="774" t="s">
        <v>17</v>
      </c>
      <c r="W21" s="775">
        <f>J21</f>
        <v>100</v>
      </c>
      <c r="X21" s="1812"/>
      <c r="Y21" s="3216"/>
      <c r="Z21" s="1813" t="str">
        <f>Q21</f>
        <v>交通便捷度</v>
      </c>
      <c r="AA21" s="1810">
        <f t="shared" si="3"/>
        <v>1</v>
      </c>
      <c r="AB21" s="1810">
        <f t="shared" si="4"/>
        <v>1</v>
      </c>
      <c r="AC21" s="1810">
        <f t="shared" si="5"/>
        <v>1</v>
      </c>
    </row>
    <row r="22" spans="1:29" ht="15">
      <c r="A22" s="428"/>
      <c r="B22" s="1383"/>
      <c r="C22" s="447"/>
      <c r="D22" s="450"/>
      <c r="E22" s="2606"/>
      <c r="F22" s="448"/>
      <c r="G22" s="2606"/>
      <c r="H22" s="448"/>
      <c r="I22" s="2605"/>
      <c r="J22" s="448"/>
      <c r="K22" s="672"/>
      <c r="L22" s="1140"/>
      <c r="M22" s="1131"/>
      <c r="N22" s="1131"/>
      <c r="O22" s="1139"/>
      <c r="P22" s="3216"/>
      <c r="Q22" s="1809"/>
      <c r="R22" s="774"/>
      <c r="S22" s="775"/>
      <c r="T22" s="774"/>
      <c r="U22" s="775"/>
      <c r="V22" s="774"/>
      <c r="W22" s="775"/>
      <c r="X22" s="1812"/>
      <c r="Y22" s="3216"/>
      <c r="Z22" s="1813"/>
      <c r="AA22" s="1810">
        <v>1</v>
      </c>
      <c r="AB22" s="1810">
        <v>1</v>
      </c>
      <c r="AC22" s="1810">
        <v>1</v>
      </c>
    </row>
    <row r="23" spans="1:29" ht="28.8">
      <c r="A23" s="404"/>
      <c r="B23" s="451" t="s">
        <v>2748</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6"/>
      <c r="Q23" s="1809" t="str">
        <f t="shared" ref="Q23:Q37" si="8">B23</f>
        <v>区域土地利用方向</v>
      </c>
      <c r="R23" s="774" t="s">
        <v>17</v>
      </c>
      <c r="S23" s="775">
        <f>F23</f>
        <v>100</v>
      </c>
      <c r="T23" s="774" t="s">
        <v>17</v>
      </c>
      <c r="U23" s="775">
        <f>H23</f>
        <v>100</v>
      </c>
      <c r="V23" s="774" t="s">
        <v>17</v>
      </c>
      <c r="W23" s="775">
        <f>J23</f>
        <v>100</v>
      </c>
      <c r="X23" s="1812"/>
      <c r="Y23" s="3216"/>
      <c r="Z23" s="1813" t="str">
        <f>Q23</f>
        <v>区域土地利用方向</v>
      </c>
      <c r="AA23" s="1810">
        <f t="shared" si="3"/>
        <v>1</v>
      </c>
      <c r="AB23" s="1810">
        <f t="shared" si="4"/>
        <v>1</v>
      </c>
      <c r="AC23" s="1810">
        <f t="shared" si="5"/>
        <v>1</v>
      </c>
    </row>
    <row r="24" spans="1:29" ht="15">
      <c r="A24" s="404"/>
      <c r="B24" s="456"/>
      <c r="C24" s="616"/>
      <c r="D24" s="448"/>
      <c r="E24" s="2606"/>
      <c r="F24" s="448"/>
      <c r="G24" s="2605"/>
      <c r="H24" s="448"/>
      <c r="I24" s="2605"/>
      <c r="J24" s="448"/>
      <c r="K24" s="812"/>
      <c r="L24" s="1140"/>
      <c r="M24" s="1131"/>
      <c r="N24" s="1131"/>
      <c r="O24" s="1139"/>
      <c r="P24" s="3216"/>
      <c r="Q24" s="1809"/>
      <c r="R24" s="774"/>
      <c r="S24" s="775"/>
      <c r="T24" s="774"/>
      <c r="U24" s="775"/>
      <c r="V24" s="774"/>
      <c r="W24" s="775"/>
      <c r="X24" s="1812"/>
      <c r="Y24" s="3216"/>
      <c r="Z24" s="1813"/>
      <c r="AA24" s="1810"/>
      <c r="AB24" s="1810"/>
      <c r="AC24" s="1810"/>
    </row>
    <row r="25" spans="1:29" ht="55.2">
      <c r="A25" s="404"/>
      <c r="B25" s="1383" t="s">
        <v>2749</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6"/>
      <c r="Q25" s="1809" t="str">
        <f t="shared" si="8"/>
        <v>自然及人文环境状况</v>
      </c>
      <c r="R25" s="774" t="s">
        <v>17</v>
      </c>
      <c r="S25" s="775">
        <f>F25</f>
        <v>100</v>
      </c>
      <c r="T25" s="774" t="s">
        <v>17</v>
      </c>
      <c r="U25" s="775">
        <f>H25</f>
        <v>100</v>
      </c>
      <c r="V25" s="774" t="s">
        <v>17</v>
      </c>
      <c r="W25" s="775">
        <f>J25</f>
        <v>100</v>
      </c>
      <c r="X25" s="1812"/>
      <c r="Y25" s="3216"/>
      <c r="Z25" s="1813" t="str">
        <f>Q25</f>
        <v>自然及人文环境状况</v>
      </c>
      <c r="AA25" s="1810">
        <f t="shared" si="3"/>
        <v>1</v>
      </c>
      <c r="AB25" s="1810">
        <f t="shared" si="4"/>
        <v>1</v>
      </c>
      <c r="AC25" s="1810">
        <f t="shared" si="5"/>
        <v>1</v>
      </c>
    </row>
    <row r="26" spans="1:29" ht="15">
      <c r="A26" s="404"/>
      <c r="B26" s="456"/>
      <c r="C26" s="447"/>
      <c r="D26" s="448"/>
      <c r="E26" s="2612"/>
      <c r="F26" s="448"/>
      <c r="G26" s="2612"/>
      <c r="H26" s="448"/>
      <c r="I26" s="447"/>
      <c r="J26" s="448"/>
      <c r="K26" s="672"/>
      <c r="L26" s="1140"/>
      <c r="M26" s="1131"/>
      <c r="N26" s="1131"/>
      <c r="O26" s="1139"/>
      <c r="P26" s="3216"/>
      <c r="Q26" s="1809"/>
      <c r="R26" s="774"/>
      <c r="S26" s="775"/>
      <c r="T26" s="774"/>
      <c r="U26" s="775"/>
      <c r="V26" s="774"/>
      <c r="W26" s="775"/>
      <c r="X26" s="1812"/>
      <c r="Y26" s="3216"/>
      <c r="Z26" s="1813"/>
      <c r="AA26" s="1810">
        <v>1</v>
      </c>
      <c r="AB26" s="1810">
        <v>1</v>
      </c>
      <c r="AC26" s="1810">
        <v>1</v>
      </c>
    </row>
    <row r="27" spans="1:29" s="117" customFormat="1" ht="41.4">
      <c r="A27" s="649"/>
      <c r="B27" s="1383" t="s">
        <v>2654</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6"/>
      <c r="Q27" s="1794" t="str">
        <f t="shared" si="8"/>
        <v>公共配套设施</v>
      </c>
      <c r="R27" s="770" t="s">
        <v>17</v>
      </c>
      <c r="S27" s="771">
        <f>F27</f>
        <v>100</v>
      </c>
      <c r="T27" s="770" t="s">
        <v>17</v>
      </c>
      <c r="U27" s="771">
        <f>H27</f>
        <v>100</v>
      </c>
      <c r="V27" s="770" t="s">
        <v>17</v>
      </c>
      <c r="W27" s="771">
        <f>J27</f>
        <v>100</v>
      </c>
      <c r="X27" s="772"/>
      <c r="Y27" s="3216"/>
      <c r="Z27" s="55" t="str">
        <f>Q27</f>
        <v>公共配套设施</v>
      </c>
      <c r="AA27" s="1810">
        <f>D27/F27</f>
        <v>1</v>
      </c>
      <c r="AB27" s="1810">
        <f>D27/H27</f>
        <v>1</v>
      </c>
      <c r="AC27" s="1810">
        <f>D27/J27</f>
        <v>1</v>
      </c>
    </row>
    <row r="28" spans="1:29" s="117" customFormat="1" ht="15">
      <c r="A28" s="649"/>
      <c r="B28" s="456"/>
      <c r="C28" s="2701"/>
      <c r="D28" s="448"/>
      <c r="E28" s="2612"/>
      <c r="F28" s="448"/>
      <c r="G28" s="2612"/>
      <c r="H28" s="448"/>
      <c r="I28" s="447"/>
      <c r="J28" s="448"/>
      <c r="K28" s="672"/>
      <c r="L28" s="1132"/>
      <c r="M28" s="1133"/>
      <c r="N28" s="1133"/>
      <c r="O28" s="1134"/>
      <c r="P28" s="3216"/>
      <c r="Q28" s="1794"/>
      <c r="R28" s="770"/>
      <c r="S28" s="771"/>
      <c r="T28" s="770"/>
      <c r="U28" s="771"/>
      <c r="V28" s="770"/>
      <c r="W28" s="771"/>
      <c r="X28" s="772"/>
      <c r="Y28" s="3216"/>
      <c r="Z28" s="55"/>
      <c r="AA28" s="1810">
        <v>1</v>
      </c>
      <c r="AB28" s="1810">
        <v>1</v>
      </c>
      <c r="AC28" s="1810">
        <v>1</v>
      </c>
    </row>
    <row r="29" spans="1:29" s="117" customFormat="1" ht="41.4">
      <c r="A29" s="649"/>
      <c r="B29" s="1383" t="s">
        <v>2655</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6"/>
      <c r="Q29" s="1794" t="str">
        <f t="shared" ref="Q29" si="9">B29</f>
        <v>基础设施水平</v>
      </c>
      <c r="R29" s="770" t="s">
        <v>17</v>
      </c>
      <c r="S29" s="771">
        <f>F29</f>
        <v>100</v>
      </c>
      <c r="T29" s="770" t="s">
        <v>17</v>
      </c>
      <c r="U29" s="771">
        <f>H29</f>
        <v>100</v>
      </c>
      <c r="V29" s="770" t="s">
        <v>17</v>
      </c>
      <c r="W29" s="771">
        <f>J29</f>
        <v>100</v>
      </c>
      <c r="X29" s="772"/>
      <c r="Y29" s="3216"/>
      <c r="Z29" s="55" t="str">
        <f>Q29</f>
        <v>基础设施水平</v>
      </c>
      <c r="AA29" s="1810">
        <f>D29/F29</f>
        <v>1</v>
      </c>
      <c r="AB29" s="1810">
        <f>D29/H29</f>
        <v>1</v>
      </c>
      <c r="AC29" s="1810">
        <f>D29/J29</f>
        <v>1</v>
      </c>
    </row>
    <row r="30" spans="1:29" s="117" customFormat="1" ht="15">
      <c r="A30" s="649"/>
      <c r="B30" s="456"/>
      <c r="C30" s="2701"/>
      <c r="D30" s="448"/>
      <c r="E30" s="2702"/>
      <c r="F30" s="448"/>
      <c r="G30" s="2702"/>
      <c r="H30" s="448"/>
      <c r="I30" s="2702"/>
      <c r="J30" s="448"/>
      <c r="K30" s="672"/>
      <c r="L30" s="1132"/>
      <c r="M30" s="1133"/>
      <c r="N30" s="1133"/>
      <c r="O30" s="1134"/>
      <c r="P30" s="3216"/>
      <c r="Q30" s="1794"/>
      <c r="R30" s="770"/>
      <c r="S30" s="771"/>
      <c r="T30" s="770"/>
      <c r="U30" s="771"/>
      <c r="V30" s="770"/>
      <c r="W30" s="771"/>
      <c r="X30" s="772"/>
      <c r="Y30" s="3216"/>
      <c r="Z30" s="55"/>
      <c r="AA30" s="1810">
        <v>1</v>
      </c>
      <c r="AB30" s="1810">
        <v>1</v>
      </c>
      <c r="AC30" s="1810">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6"/>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6"/>
      <c r="Z31" s="1813" t="str">
        <f t="shared" ref="Z31:Z45" si="13">Q31</f>
        <v>临街状况</v>
      </c>
      <c r="AA31" s="1810">
        <f t="shared" si="3"/>
        <v>1</v>
      </c>
      <c r="AB31" s="1810">
        <f t="shared" si="4"/>
        <v>1</v>
      </c>
      <c r="AC31" s="1810">
        <f t="shared" si="5"/>
        <v>1</v>
      </c>
    </row>
    <row r="32" spans="1:29" ht="28.8">
      <c r="A32" s="428"/>
      <c r="B32" s="1383"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6"/>
      <c r="Q32" s="1809" t="str">
        <f t="shared" si="8"/>
        <v>毗邻道路的类型与等级</v>
      </c>
      <c r="R32" s="774" t="s">
        <v>17</v>
      </c>
      <c r="S32" s="775">
        <f t="shared" si="10"/>
        <v>100</v>
      </c>
      <c r="T32" s="774" t="s">
        <v>17</v>
      </c>
      <c r="U32" s="775">
        <f t="shared" si="11"/>
        <v>100</v>
      </c>
      <c r="V32" s="774" t="s">
        <v>17</v>
      </c>
      <c r="W32" s="775">
        <f t="shared" si="12"/>
        <v>100</v>
      </c>
      <c r="X32" s="1812"/>
      <c r="Y32" s="3216"/>
      <c r="Z32" s="1813" t="str">
        <f t="shared" si="13"/>
        <v>毗邻道路的类型与等级</v>
      </c>
      <c r="AA32" s="1810">
        <f t="shared" si="3"/>
        <v>1</v>
      </c>
      <c r="AB32" s="1810">
        <f t="shared" si="4"/>
        <v>1</v>
      </c>
      <c r="AC32" s="1810">
        <f t="shared" si="5"/>
        <v>1</v>
      </c>
    </row>
    <row r="33" spans="1:29" ht="15">
      <c r="A33" s="428"/>
      <c r="B33" s="456"/>
      <c r="C33" s="447"/>
      <c r="D33" s="448"/>
      <c r="E33" s="2612"/>
      <c r="F33" s="448"/>
      <c r="G33" s="2612"/>
      <c r="H33" s="448"/>
      <c r="I33" s="447"/>
      <c r="J33" s="448"/>
      <c r="K33" s="613"/>
      <c r="L33" s="1140"/>
      <c r="M33" s="1131"/>
      <c r="N33" s="1131"/>
      <c r="O33" s="1139"/>
      <c r="P33" s="3216"/>
      <c r="Q33" s="1809"/>
      <c r="R33" s="774"/>
      <c r="S33" s="775"/>
      <c r="T33" s="774"/>
      <c r="U33" s="775"/>
      <c r="V33" s="774"/>
      <c r="W33" s="775"/>
      <c r="X33" s="1812"/>
      <c r="Y33" s="3216"/>
      <c r="Z33" s="1813"/>
      <c r="AA33" s="1810">
        <v>1</v>
      </c>
      <c r="AB33" s="1810">
        <v>1</v>
      </c>
      <c r="AC33" s="1810">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6"/>
      <c r="Q34" s="1809" t="str">
        <f t="shared" si="8"/>
        <v>土地级别</v>
      </c>
      <c r="R34" s="774" t="s">
        <v>17</v>
      </c>
      <c r="S34" s="775">
        <f t="shared" si="10"/>
        <v>100</v>
      </c>
      <c r="T34" s="774" t="s">
        <v>17</v>
      </c>
      <c r="U34" s="775">
        <f t="shared" si="11"/>
        <v>100</v>
      </c>
      <c r="V34" s="774" t="s">
        <v>17</v>
      </c>
      <c r="W34" s="775">
        <f t="shared" si="12"/>
        <v>100</v>
      </c>
      <c r="X34" s="1812"/>
      <c r="Y34" s="3216"/>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6"/>
      <c r="Q35" s="1809">
        <f t="shared" si="8"/>
        <v>111</v>
      </c>
      <c r="R35" s="774" t="s">
        <v>17</v>
      </c>
      <c r="S35" s="775">
        <f t="shared" si="10"/>
        <v>100</v>
      </c>
      <c r="T35" s="774" t="s">
        <v>17</v>
      </c>
      <c r="U35" s="775">
        <f t="shared" si="11"/>
        <v>100</v>
      </c>
      <c r="V35" s="774" t="s">
        <v>17</v>
      </c>
      <c r="W35" s="775">
        <f t="shared" si="12"/>
        <v>100</v>
      </c>
      <c r="X35" s="1812"/>
      <c r="Y35" s="3216"/>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9" t="s">
        <v>2565</v>
      </c>
      <c r="Q36" s="1809">
        <f t="shared" si="8"/>
        <v>111</v>
      </c>
      <c r="R36" s="774" t="s">
        <v>17</v>
      </c>
      <c r="S36" s="775">
        <f t="shared" si="10"/>
        <v>100</v>
      </c>
      <c r="T36" s="774" t="s">
        <v>17</v>
      </c>
      <c r="U36" s="775">
        <f t="shared" si="11"/>
        <v>100</v>
      </c>
      <c r="V36" s="774" t="s">
        <v>17</v>
      </c>
      <c r="W36" s="775">
        <f t="shared" si="12"/>
        <v>100</v>
      </c>
      <c r="X36" s="1812"/>
      <c r="Y36" s="3220" t="s">
        <v>2565</v>
      </c>
      <c r="Z36" s="1813">
        <f t="shared" si="13"/>
        <v>111</v>
      </c>
      <c r="AA36" s="1810">
        <f t="shared" si="3"/>
        <v>1</v>
      </c>
      <c r="AB36" s="1810">
        <f t="shared" si="4"/>
        <v>1</v>
      </c>
      <c r="AC36" s="1810">
        <f t="shared" si="5"/>
        <v>1</v>
      </c>
    </row>
    <row r="37" spans="1:29" s="471" customFormat="1" ht="15.6"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20"/>
      <c r="Q37" s="1809">
        <f t="shared" si="8"/>
        <v>111</v>
      </c>
      <c r="R37" s="777" t="s">
        <v>17</v>
      </c>
      <c r="S37" s="778">
        <f t="shared" si="10"/>
        <v>100</v>
      </c>
      <c r="T37" s="777" t="s">
        <v>17</v>
      </c>
      <c r="U37" s="778">
        <f t="shared" si="11"/>
        <v>100</v>
      </c>
      <c r="V37" s="777" t="s">
        <v>17</v>
      </c>
      <c r="W37" s="778">
        <f t="shared" si="12"/>
        <v>100</v>
      </c>
      <c r="X37" s="779"/>
      <c r="Y37" s="3220"/>
      <c r="Z37" s="780">
        <f t="shared" si="13"/>
        <v>111</v>
      </c>
      <c r="AA37" s="1810">
        <f t="shared" si="3"/>
        <v>1</v>
      </c>
      <c r="AB37" s="1810">
        <f t="shared" si="4"/>
        <v>1</v>
      </c>
      <c r="AC37" s="1810">
        <f t="shared" si="5"/>
        <v>1</v>
      </c>
    </row>
    <row r="38" spans="1:29" ht="15.6">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20"/>
      <c r="Q38" s="1809" t="str">
        <f>B38</f>
        <v>宗地面积</v>
      </c>
      <c r="R38" s="774" t="s">
        <v>17</v>
      </c>
      <c r="S38" s="775" t="e">
        <f t="shared" si="10"/>
        <v>#N/A</v>
      </c>
      <c r="T38" s="774" t="s">
        <v>17</v>
      </c>
      <c r="U38" s="775" t="e">
        <f t="shared" si="11"/>
        <v>#N/A</v>
      </c>
      <c r="V38" s="774" t="s">
        <v>17</v>
      </c>
      <c r="W38" s="775" t="e">
        <f t="shared" si="12"/>
        <v>#N/A</v>
      </c>
      <c r="X38" s="1812"/>
      <c r="Y38" s="3220"/>
      <c r="Z38" s="1813" t="str">
        <f t="shared" si="13"/>
        <v>宗地面积</v>
      </c>
      <c r="AA38" s="1810" t="e">
        <f t="shared" si="3"/>
        <v>#N/A</v>
      </c>
      <c r="AB38" s="1810" t="e">
        <f t="shared" si="4"/>
        <v>#N/A</v>
      </c>
      <c r="AC38" s="1810" t="e">
        <f t="shared" si="5"/>
        <v>#N/A</v>
      </c>
    </row>
    <row r="39" spans="1:29" ht="15">
      <c r="A39" s="472"/>
      <c r="B39" s="422" t="s">
        <v>2752</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220"/>
      <c r="Q39" s="1809" t="str">
        <f t="shared" ref="Q39:Q45" si="14">B39</f>
        <v>宗地形状</v>
      </c>
      <c r="R39" s="774" t="s">
        <v>17</v>
      </c>
      <c r="S39" s="775">
        <f t="shared" si="10"/>
        <v>100</v>
      </c>
      <c r="T39" s="774" t="s">
        <v>17</v>
      </c>
      <c r="U39" s="775">
        <f t="shared" si="11"/>
        <v>100</v>
      </c>
      <c r="V39" s="774" t="s">
        <v>17</v>
      </c>
      <c r="W39" s="775">
        <f t="shared" si="12"/>
        <v>100</v>
      </c>
      <c r="X39" s="1812"/>
      <c r="Y39" s="3220"/>
      <c r="Z39" s="1813" t="str">
        <f t="shared" si="13"/>
        <v>宗地形状</v>
      </c>
      <c r="AA39" s="1810">
        <f t="shared" si="3"/>
        <v>1</v>
      </c>
      <c r="AB39" s="1810">
        <f t="shared" si="4"/>
        <v>1</v>
      </c>
      <c r="AC39" s="1810">
        <f t="shared" si="5"/>
        <v>1</v>
      </c>
    </row>
    <row r="40" spans="1:29" ht="15">
      <c r="A40" s="472"/>
      <c r="B40" s="422" t="s">
        <v>2753</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220"/>
      <c r="Q40" s="1809" t="str">
        <f t="shared" si="14"/>
        <v>临街宽度及深度</v>
      </c>
      <c r="R40" s="774" t="s">
        <v>17</v>
      </c>
      <c r="S40" s="775">
        <f t="shared" si="10"/>
        <v>100</v>
      </c>
      <c r="T40" s="774" t="s">
        <v>17</v>
      </c>
      <c r="U40" s="775">
        <f t="shared" si="11"/>
        <v>100</v>
      </c>
      <c r="V40" s="774" t="s">
        <v>17</v>
      </c>
      <c r="W40" s="775">
        <f t="shared" si="12"/>
        <v>100</v>
      </c>
      <c r="X40" s="1812"/>
      <c r="Y40" s="3220"/>
      <c r="Z40" s="1813" t="str">
        <f t="shared" si="13"/>
        <v>临街宽度及深度</v>
      </c>
      <c r="AA40" s="1810">
        <f t="shared" si="3"/>
        <v>1</v>
      </c>
      <c r="AB40" s="1810">
        <f t="shared" si="4"/>
        <v>1</v>
      </c>
      <c r="AC40" s="1810">
        <f t="shared" si="5"/>
        <v>1</v>
      </c>
    </row>
    <row r="41" spans="1:29" s="117" customFormat="1" ht="15">
      <c r="A41" s="473"/>
      <c r="B41" s="422" t="s">
        <v>2754</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220"/>
      <c r="Q41" s="1809" t="str">
        <f t="shared" si="14"/>
        <v>宗地开发程度</v>
      </c>
      <c r="R41" s="770" t="s">
        <v>17</v>
      </c>
      <c r="S41" s="771">
        <f t="shared" si="10"/>
        <v>100</v>
      </c>
      <c r="T41" s="770" t="s">
        <v>17</v>
      </c>
      <c r="U41" s="771">
        <f t="shared" si="11"/>
        <v>100</v>
      </c>
      <c r="V41" s="770" t="s">
        <v>17</v>
      </c>
      <c r="W41" s="771">
        <f t="shared" si="12"/>
        <v>100</v>
      </c>
      <c r="X41" s="772"/>
      <c r="Y41" s="3220"/>
      <c r="Z41" s="55" t="str">
        <f t="shared" si="13"/>
        <v>宗地开发程度</v>
      </c>
      <c r="AA41" s="773">
        <f t="shared" si="3"/>
        <v>1</v>
      </c>
      <c r="AB41" s="773">
        <f t="shared" si="4"/>
        <v>1</v>
      </c>
      <c r="AC41" s="773">
        <f t="shared" si="5"/>
        <v>1</v>
      </c>
    </row>
    <row r="42" spans="1:29" ht="15">
      <c r="A42" s="472"/>
      <c r="B42" s="422" t="s">
        <v>2755</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220" t="s">
        <v>2565</v>
      </c>
      <c r="Q42" s="1809" t="str">
        <f t="shared" si="14"/>
        <v>工程地质条件</v>
      </c>
      <c r="R42" s="774" t="s">
        <v>17</v>
      </c>
      <c r="S42" s="775">
        <f t="shared" si="10"/>
        <v>100</v>
      </c>
      <c r="T42" s="774" t="s">
        <v>17</v>
      </c>
      <c r="U42" s="775">
        <f t="shared" si="11"/>
        <v>100</v>
      </c>
      <c r="V42" s="774" t="s">
        <v>17</v>
      </c>
      <c r="W42" s="775">
        <f t="shared" si="12"/>
        <v>100</v>
      </c>
      <c r="X42" s="1812"/>
      <c r="Y42" s="3220" t="s">
        <v>2565</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20"/>
      <c r="Q43" s="1809">
        <f t="shared" si="14"/>
        <v>111</v>
      </c>
      <c r="R43" s="774" t="s">
        <v>17</v>
      </c>
      <c r="S43" s="775">
        <f t="shared" si="10"/>
        <v>100</v>
      </c>
      <c r="T43" s="774" t="s">
        <v>17</v>
      </c>
      <c r="U43" s="775">
        <f t="shared" si="11"/>
        <v>100</v>
      </c>
      <c r="V43" s="774" t="s">
        <v>17</v>
      </c>
      <c r="W43" s="775">
        <f t="shared" si="12"/>
        <v>100</v>
      </c>
      <c r="X43" s="1812"/>
      <c r="Y43" s="3220"/>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20"/>
      <c r="Q44" s="1809">
        <f t="shared" si="14"/>
        <v>111</v>
      </c>
      <c r="R44" s="774" t="s">
        <v>17</v>
      </c>
      <c r="S44" s="775">
        <f t="shared" si="10"/>
        <v>100</v>
      </c>
      <c r="T44" s="774" t="s">
        <v>17</v>
      </c>
      <c r="U44" s="775">
        <f t="shared" si="11"/>
        <v>100</v>
      </c>
      <c r="V44" s="774" t="s">
        <v>17</v>
      </c>
      <c r="W44" s="775">
        <f t="shared" si="12"/>
        <v>100</v>
      </c>
      <c r="X44" s="1812"/>
      <c r="Y44" s="3220"/>
      <c r="Z44" s="1813">
        <f t="shared" si="13"/>
        <v>111</v>
      </c>
      <c r="AA44" s="1810">
        <f t="shared" si="3"/>
        <v>1</v>
      </c>
      <c r="AB44" s="1810">
        <f t="shared" si="4"/>
        <v>1</v>
      </c>
      <c r="AC44" s="1810">
        <f t="shared" si="5"/>
        <v>1</v>
      </c>
    </row>
    <row r="45" spans="1:29" s="471" customFormat="1" ht="15.6" thickBot="1">
      <c r="A45" s="468"/>
      <c r="B45" s="1386">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20"/>
      <c r="Q45" s="1809">
        <f t="shared" si="14"/>
        <v>111</v>
      </c>
      <c r="R45" s="777" t="s">
        <v>17</v>
      </c>
      <c r="S45" s="778">
        <f t="shared" si="10"/>
        <v>100</v>
      </c>
      <c r="T45" s="777" t="s">
        <v>17</v>
      </c>
      <c r="U45" s="778">
        <f t="shared" si="11"/>
        <v>100</v>
      </c>
      <c r="V45" s="777" t="s">
        <v>17</v>
      </c>
      <c r="W45" s="778">
        <f t="shared" si="12"/>
        <v>100</v>
      </c>
      <c r="X45" s="779"/>
      <c r="Y45" s="3220"/>
      <c r="Z45" s="780">
        <f t="shared" si="13"/>
        <v>111</v>
      </c>
      <c r="AA45" s="1810">
        <f t="shared" si="3"/>
        <v>1</v>
      </c>
      <c r="AB45" s="1810">
        <f t="shared" si="4"/>
        <v>1</v>
      </c>
      <c r="AC45" s="1810">
        <f t="shared" si="5"/>
        <v>1</v>
      </c>
    </row>
    <row r="46" spans="1:29" ht="14.4">
      <c r="A46" s="479" t="s">
        <v>2720</v>
      </c>
      <c r="B46" s="2705" t="s">
        <v>2756</v>
      </c>
      <c r="C46" s="682" t="s">
        <v>1</v>
      </c>
      <c r="D46" s="481"/>
      <c r="E46" s="482"/>
      <c r="F46" s="483"/>
      <c r="G46" s="484"/>
      <c r="H46" s="485"/>
      <c r="I46" s="482"/>
      <c r="J46" s="485"/>
      <c r="K46" s="783"/>
      <c r="L46" s="1143"/>
      <c r="M46" s="1144"/>
      <c r="N46" s="1131"/>
      <c r="O46" s="1144"/>
      <c r="P46" s="3213" t="str">
        <f>A46</f>
        <v>成交单价</v>
      </c>
      <c r="Q46" s="3213"/>
      <c r="R46" s="3208">
        <f>E46</f>
        <v>0</v>
      </c>
      <c r="S46" s="3208"/>
      <c r="T46" s="3208">
        <f>G46</f>
        <v>0</v>
      </c>
      <c r="U46" s="3208"/>
      <c r="V46" s="3208">
        <f>I46</f>
        <v>0</v>
      </c>
      <c r="W46" s="3208"/>
      <c r="X46" s="759"/>
      <c r="Y46" s="781"/>
      <c r="Z46" s="759"/>
      <c r="AA46" s="759"/>
      <c r="AB46" s="759"/>
      <c r="AC46" s="759"/>
    </row>
    <row r="47" spans="1:29" ht="1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213" t="str">
        <f>A47</f>
        <v>比较价值（元/平方米）</v>
      </c>
      <c r="Q47" s="3213"/>
      <c r="R47" s="3244" t="e">
        <f>ROUND(PRODUCT(R46,AA7:AA45),0)</f>
        <v>#DIV/0!</v>
      </c>
      <c r="S47" s="3244"/>
      <c r="T47" s="3244" t="e">
        <f>ROUND(PRODUCT(T46,AB7:AB45),0)</f>
        <v>#DIV/0!</v>
      </c>
      <c r="U47" s="3244"/>
      <c r="V47" s="3244" t="e">
        <f>ROUND(PRODUCT(V46,AC7:AC45),0)</f>
        <v>#DIV/0!</v>
      </c>
      <c r="W47" s="3244"/>
      <c r="X47" s="759"/>
      <c r="Y47" s="759"/>
      <c r="Z47" s="759"/>
      <c r="AA47" s="759"/>
      <c r="AB47" s="759"/>
      <c r="AC47" s="759"/>
    </row>
    <row r="48" spans="1:29" ht="15" thickBot="1">
      <c r="A48" s="492" t="s">
        <v>2757</v>
      </c>
      <c r="B48" s="493"/>
      <c r="C48" s="494" t="e">
        <f>R48</f>
        <v>#DIV/0!</v>
      </c>
      <c r="D48" s="494"/>
      <c r="E48" s="494"/>
      <c r="F48" s="494"/>
      <c r="G48" s="494"/>
      <c r="H48" s="494"/>
      <c r="I48" s="494"/>
      <c r="J48" s="494"/>
      <c r="K48" s="785"/>
      <c r="L48" s="1143"/>
      <c r="M48" s="1144"/>
      <c r="N48" s="1144"/>
      <c r="O48" s="1144"/>
      <c r="P48" s="3210" t="str">
        <f>A48</f>
        <v>估价对象XX用房的比较价值（楼面单价，元/平方米）</v>
      </c>
      <c r="Q48" s="3211"/>
      <c r="R48" s="3245" t="e">
        <f>ROUND(AVERAGE(R47:V47),0)</f>
        <v>#DIV/0!</v>
      </c>
      <c r="S48" s="3245"/>
      <c r="T48" s="3245"/>
      <c r="U48" s="3245"/>
      <c r="V48" s="3245"/>
      <c r="W48" s="324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6" t="s">
        <v>2760</v>
      </c>
      <c r="D55" s="2707" t="s">
        <v>2761</v>
      </c>
      <c r="E55" s="686" t="s">
        <v>2762</v>
      </c>
      <c r="F55" s="1107" t="s">
        <v>2763</v>
      </c>
      <c r="G55" s="3196" t="s">
        <v>2764</v>
      </c>
      <c r="H55" s="3246"/>
      <c r="I55" s="144" t="s">
        <v>2765</v>
      </c>
      <c r="J55" s="2708">
        <f>项目基本情况!F35</f>
        <v>0</v>
      </c>
      <c r="K55" s="2709" t="s">
        <v>2766</v>
      </c>
      <c r="L55" s="1106"/>
      <c r="M55" s="1144"/>
      <c r="N55" s="1144"/>
      <c r="O55" s="1144"/>
    </row>
    <row r="56" spans="1:15" s="692" customFormat="1">
      <c r="A56" s="688" t="s">
        <v>2767</v>
      </c>
      <c r="B56" s="689" t="e">
        <f>C48</f>
        <v>#DIV/0!</v>
      </c>
      <c r="C56" s="690">
        <v>1</v>
      </c>
      <c r="D56" s="1163">
        <v>1</v>
      </c>
      <c r="E56" s="690">
        <f>'数据-汇总表'!E8+'数据-汇总表'!E9</f>
        <v>44299.360000000001</v>
      </c>
      <c r="F56" s="1103" t="e">
        <f t="shared" ref="F56:F65" si="15">ROUND(B56*E56/10000,0)</f>
        <v>#DIV/0!</v>
      </c>
      <c r="G56" s="3195"/>
      <c r="H56" s="3213"/>
      <c r="I56" s="1108">
        <v>1</v>
      </c>
      <c r="J56" s="1111">
        <v>1</v>
      </c>
      <c r="K56" s="1145"/>
      <c r="L56" s="941"/>
      <c r="M56" s="941"/>
      <c r="N56" s="941"/>
      <c r="O56" s="941"/>
    </row>
    <row r="57" spans="1:15" s="692" customFormat="1">
      <c r="A57" s="693" t="s">
        <v>2768</v>
      </c>
      <c r="B57" s="262" t="e">
        <f>ROUND($C$48*C57*D57,0)</f>
        <v>#DIV/0!</v>
      </c>
      <c r="C57" s="200">
        <f t="shared" ref="C57:C65" si="16">IF($C$55="北京市系数",I57,J57)</f>
        <v>0.8</v>
      </c>
      <c r="D57" s="1164">
        <v>0.25</v>
      </c>
      <c r="E57" s="694"/>
      <c r="F57" s="1103" t="e">
        <f t="shared" si="15"/>
        <v>#DIV/0!</v>
      </c>
      <c r="G57" s="3247" t="s">
        <v>2769</v>
      </c>
      <c r="H57" s="1104" t="str">
        <f>项目基本情况!B37</f>
        <v>二级</v>
      </c>
      <c r="I57" s="1108">
        <f>SUMIF(修正!A45:A56,H57,修正!B45:B56)</f>
        <v>0.8</v>
      </c>
      <c r="J57" s="1112"/>
      <c r="K57" s="1144"/>
      <c r="L57" s="941"/>
      <c r="M57" s="941"/>
      <c r="N57" s="941"/>
      <c r="O57" s="941"/>
    </row>
    <row r="58" spans="1:15" s="692" customFormat="1">
      <c r="A58" s="693" t="s">
        <v>2770</v>
      </c>
      <c r="B58" s="262" t="e">
        <f t="shared" ref="B58:B65" si="17">ROUND($C$48*C58*D58,0)</f>
        <v>#DIV/0!</v>
      </c>
      <c r="C58" s="200">
        <f t="shared" si="16"/>
        <v>0.5</v>
      </c>
      <c r="D58" s="1164">
        <v>0.25</v>
      </c>
      <c r="E58" s="694"/>
      <c r="F58" s="1103" t="e">
        <f t="shared" si="15"/>
        <v>#DIV/0!</v>
      </c>
      <c r="G58" s="3247"/>
      <c r="H58" s="1104" t="str">
        <f>项目基本情况!B37</f>
        <v>二级</v>
      </c>
      <c r="I58" s="1108">
        <f>SUMIF(修正!A45:A56,H58,修正!C45:C56)</f>
        <v>0.5</v>
      </c>
      <c r="J58" s="1112"/>
      <c r="K58" s="1145"/>
      <c r="L58" s="941"/>
      <c r="M58" s="941"/>
      <c r="N58" s="941"/>
      <c r="O58" s="941"/>
    </row>
    <row r="59" spans="1:15" s="692" customFormat="1">
      <c r="A59" s="693" t="s">
        <v>2771</v>
      </c>
      <c r="B59" s="262" t="e">
        <f t="shared" si="17"/>
        <v>#DIV/0!</v>
      </c>
      <c r="C59" s="200">
        <f t="shared" si="16"/>
        <v>0.36</v>
      </c>
      <c r="D59" s="1164">
        <v>0.25</v>
      </c>
      <c r="E59" s="694"/>
      <c r="F59" s="1103" t="e">
        <f t="shared" si="15"/>
        <v>#DIV/0!</v>
      </c>
      <c r="G59" s="3247"/>
      <c r="H59" s="1104" t="str">
        <f>项目基本情况!B37</f>
        <v>二级</v>
      </c>
      <c r="I59" s="1108">
        <f>SUMIF(修正!A45:A56,H59,修正!D45:D56)</f>
        <v>0.36</v>
      </c>
      <c r="J59" s="1112"/>
      <c r="K59" s="1144"/>
      <c r="L59" s="941"/>
      <c r="M59" s="941"/>
      <c r="N59" s="941"/>
      <c r="O59" s="941"/>
    </row>
    <row r="60" spans="1:15" s="692" customFormat="1">
      <c r="A60" s="693" t="s">
        <v>2772</v>
      </c>
      <c r="B60" s="262" t="e">
        <f t="shared" si="17"/>
        <v>#DIV/0!</v>
      </c>
      <c r="C60" s="200">
        <f t="shared" si="16"/>
        <v>0.3</v>
      </c>
      <c r="D60" s="1164">
        <v>0.25</v>
      </c>
      <c r="E60" s="694"/>
      <c r="F60" s="1103" t="e">
        <f t="shared" si="15"/>
        <v>#DIV/0!</v>
      </c>
      <c r="G60" s="3247"/>
      <c r="H60" s="1104" t="str">
        <f>项目基本情况!B37</f>
        <v>二级</v>
      </c>
      <c r="I60" s="1108">
        <f>SUMIF(修正!A45:A56,H60,修正!E45:E56)</f>
        <v>0.3</v>
      </c>
      <c r="J60" s="1112"/>
      <c r="K60" s="1145"/>
      <c r="L60" s="941"/>
      <c r="M60" s="941"/>
      <c r="N60" s="941"/>
      <c r="O60" s="941"/>
    </row>
    <row r="61" spans="1:15" s="692" customFormat="1">
      <c r="A61" s="693" t="s">
        <v>2773</v>
      </c>
      <c r="B61" s="262" t="e">
        <f t="shared" si="17"/>
        <v>#DIV/0!</v>
      </c>
      <c r="C61" s="200">
        <f t="shared" si="16"/>
        <v>0.3</v>
      </c>
      <c r="D61" s="1164">
        <v>0.25</v>
      </c>
      <c r="E61" s="261">
        <f>'数据-汇总表'!E11</f>
        <v>0</v>
      </c>
      <c r="F61" s="1103" t="e">
        <f t="shared" si="15"/>
        <v>#DIV/0!</v>
      </c>
      <c r="G61" s="2710" t="s">
        <v>2774</v>
      </c>
      <c r="H61" s="1104" t="str">
        <f>项目基本情况!C37</f>
        <v>二级</v>
      </c>
      <c r="I61" s="1108">
        <f>SUMIF(修正!A45:A56,H61,修正!F45:F56)</f>
        <v>0.3</v>
      </c>
      <c r="J61" s="1112"/>
      <c r="K61" s="1144"/>
      <c r="L61" s="941"/>
      <c r="M61" s="941"/>
      <c r="N61" s="941"/>
      <c r="O61" s="941"/>
    </row>
    <row r="62" spans="1:15" s="692" customFormat="1">
      <c r="A62" s="693" t="s">
        <v>2775</v>
      </c>
      <c r="B62" s="262" t="e">
        <f t="shared" si="17"/>
        <v>#DIV/0!</v>
      </c>
      <c r="C62" s="200">
        <f t="shared" si="16"/>
        <v>0.3</v>
      </c>
      <c r="D62" s="1164">
        <v>0.25</v>
      </c>
      <c r="E62" s="261">
        <f>'数据-汇总表'!E12</f>
        <v>0</v>
      </c>
      <c r="F62" s="1103" t="e">
        <f t="shared" si="15"/>
        <v>#DIV/0!</v>
      </c>
      <c r="G62" s="1109" t="s">
        <v>2776</v>
      </c>
      <c r="H62" s="1104" t="str">
        <f>IF(G62="商业",项目基本情况!B37,IF(G62="办公",项目基本情况!C37,IF(G62="住宅",项目基本情况!D37,项目基本情况!E37)))</f>
        <v>二级</v>
      </c>
      <c r="I62" s="1108">
        <f>SUMIF(修正!A45:A56,H62,修正!G45:G56)</f>
        <v>0.3</v>
      </c>
      <c r="J62" s="1112"/>
      <c r="K62" s="1145"/>
      <c r="L62" s="941"/>
      <c r="M62" s="941"/>
      <c r="N62" s="941"/>
      <c r="O62" s="941"/>
    </row>
    <row r="63" spans="1:15" s="692" customFormat="1">
      <c r="A63" s="693" t="s">
        <v>2777</v>
      </c>
      <c r="B63" s="262" t="e">
        <f t="shared" si="17"/>
        <v>#DIV/0!</v>
      </c>
      <c r="C63" s="200">
        <f t="shared" si="16"/>
        <v>0.25</v>
      </c>
      <c r="D63" s="1164">
        <v>0.25</v>
      </c>
      <c r="E63" s="261">
        <f>'数据-汇总表'!E13</f>
        <v>21580.2</v>
      </c>
      <c r="F63" s="1103" t="e">
        <f t="shared" si="15"/>
        <v>#DIV/0!</v>
      </c>
      <c r="G63" s="1109" t="s">
        <v>2778</v>
      </c>
      <c r="H63" s="1104" t="str">
        <f>IF(G63="商业",项目基本情况!B37,IF(G63="办公",项目基本情况!C37,IF(G63="住宅",项目基本情况!D37,项目基本情况!E37)))</f>
        <v>二级</v>
      </c>
      <c r="I63" s="1108">
        <f>SUMIF(修正!A45:A56,H63,修正!H45:H56)</f>
        <v>0.25</v>
      </c>
      <c r="J63" s="1112"/>
      <c r="K63" s="1144"/>
      <c r="L63" s="941"/>
      <c r="M63" s="941"/>
      <c r="N63" s="941"/>
      <c r="O63" s="941"/>
    </row>
    <row r="64" spans="1:15" s="692" customFormat="1">
      <c r="A64" s="693" t="s">
        <v>2779</v>
      </c>
      <c r="B64" s="262" t="e">
        <f t="shared" si="17"/>
        <v>#DIV/0!</v>
      </c>
      <c r="C64" s="200">
        <f t="shared" si="16"/>
        <v>0.25</v>
      </c>
      <c r="D64" s="1164">
        <v>0.25</v>
      </c>
      <c r="E64" s="261">
        <f>'数据-汇总表'!E14</f>
        <v>0</v>
      </c>
      <c r="F64" s="1103" t="e">
        <f t="shared" si="15"/>
        <v>#DIV/0!</v>
      </c>
      <c r="G64" s="2710" t="s">
        <v>2769</v>
      </c>
      <c r="H64" s="1104" t="str">
        <f>项目基本情况!B37</f>
        <v>二级</v>
      </c>
      <c r="I64" s="1108">
        <f>SUMIF(修正!A45:A56,H64,修正!H45:H56)</f>
        <v>0.25</v>
      </c>
      <c r="J64" s="1112"/>
      <c r="K64" s="1145"/>
      <c r="L64" s="941"/>
      <c r="M64" s="941"/>
      <c r="N64" s="941"/>
      <c r="O64" s="941"/>
    </row>
    <row r="65" spans="1:17" s="692" customFormat="1" ht="14.4" thickBot="1">
      <c r="A65" s="693" t="s">
        <v>2780</v>
      </c>
      <c r="B65" s="262" t="e">
        <f t="shared" si="17"/>
        <v>#DIV/0!</v>
      </c>
      <c r="C65" s="200">
        <f t="shared" si="16"/>
        <v>0.25</v>
      </c>
      <c r="D65" s="1164">
        <v>0.25</v>
      </c>
      <c r="E65" s="261">
        <f>'数据-汇总表'!E15</f>
        <v>0</v>
      </c>
      <c r="F65" s="1103" t="e">
        <f t="shared" si="15"/>
        <v>#DIV/0!</v>
      </c>
      <c r="G65" s="2711" t="s">
        <v>2774</v>
      </c>
      <c r="H65" s="1114" t="str">
        <f>项目基本情况!C37</f>
        <v>二级</v>
      </c>
      <c r="I65" s="1110">
        <f>SUMIF(修正!A45:A56,H65,修正!H45:H56)</f>
        <v>0.25</v>
      </c>
      <c r="J65" s="1113"/>
      <c r="K65" s="1144"/>
      <c r="L65" s="941"/>
      <c r="M65" s="941"/>
      <c r="N65" s="941"/>
      <c r="O65" s="941"/>
    </row>
    <row r="66" spans="1:17" s="692" customFormat="1" thickBot="1">
      <c r="A66" s="695" t="s">
        <v>2781</v>
      </c>
      <c r="B66" s="696" t="s">
        <v>28</v>
      </c>
      <c r="C66" s="696" t="s">
        <v>29</v>
      </c>
      <c r="D66" s="696" t="s">
        <v>1026</v>
      </c>
      <c r="E66" s="696">
        <f>IF(B46="楼面地价",SUM(E56:E65),'数据-汇总表'!D3)</f>
        <v>65879.56</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2019-12-1</v>
      </c>
      <c r="D68" s="761">
        <f>EDATE(C68,-3)</f>
        <v>43709</v>
      </c>
      <c r="E68" s="761">
        <f>EDATE(D68,-3)</f>
        <v>43617</v>
      </c>
      <c r="F68" s="761">
        <f t="shared" ref="F68:O68" si="18">EDATE(E68,-3)</f>
        <v>43525</v>
      </c>
      <c r="G68" s="761">
        <f t="shared" si="18"/>
        <v>43435</v>
      </c>
      <c r="H68" s="761">
        <f t="shared" si="18"/>
        <v>43344</v>
      </c>
      <c r="I68" s="761">
        <f t="shared" si="18"/>
        <v>43252</v>
      </c>
      <c r="J68" s="761">
        <f t="shared" si="18"/>
        <v>43160</v>
      </c>
      <c r="K68" s="761">
        <f t="shared" si="18"/>
        <v>43070</v>
      </c>
      <c r="L68" s="761">
        <f t="shared" si="18"/>
        <v>42979</v>
      </c>
      <c r="M68" s="761">
        <f t="shared" si="18"/>
        <v>42887</v>
      </c>
      <c r="N68" s="761">
        <f t="shared" si="18"/>
        <v>42795</v>
      </c>
      <c r="O68" s="761">
        <f t="shared" si="18"/>
        <v>42705</v>
      </c>
    </row>
    <row r="69" spans="1:17" ht="22.2" thickBot="1">
      <c r="A69" s="763" t="s">
        <v>2674</v>
      </c>
      <c r="B69" s="759"/>
      <c r="C69" s="764"/>
      <c r="D69" s="764"/>
      <c r="E69" s="764"/>
      <c r="F69" s="765"/>
      <c r="G69" s="765"/>
      <c r="H69" s="764"/>
      <c r="I69" s="764"/>
      <c r="J69" s="1159"/>
      <c r="K69" s="1160"/>
      <c r="L69" s="1161"/>
      <c r="M69" s="1159"/>
      <c r="N69" s="1159"/>
      <c r="O69" s="1159"/>
      <c r="P69" s="503"/>
      <c r="Q69" s="504"/>
    </row>
    <row r="70" spans="1:17" s="508" customFormat="1" ht="14.4">
      <c r="A70" s="2712" t="s">
        <v>2782</v>
      </c>
      <c r="B70" s="1358"/>
      <c r="C70" s="1571" t="str">
        <f>YEAR(C68)&amp;"-"&amp;ROUNDUP(MONTH(C68)/3,0)</f>
        <v>2019-4</v>
      </c>
      <c r="D70" s="1571" t="str">
        <f>YEAR(D68)&amp;"-"&amp;ROUNDUP(MONTH(D68)/3,0)</f>
        <v>2019-3</v>
      </c>
      <c r="E70" s="1571" t="str">
        <f t="shared" ref="E70:O70" si="19">YEAR(E68)&amp;"-"&amp;ROUNDUP(MONTH(E68)/3,0)</f>
        <v>2019-2</v>
      </c>
      <c r="F70" s="1571" t="str">
        <f t="shared" si="19"/>
        <v>2019-1</v>
      </c>
      <c r="G70" s="1571" t="str">
        <f t="shared" si="19"/>
        <v>2018-4</v>
      </c>
      <c r="H70" s="1571" t="str">
        <f t="shared" si="19"/>
        <v>2018-3</v>
      </c>
      <c r="I70" s="1571" t="str">
        <f t="shared" si="19"/>
        <v>2018-2</v>
      </c>
      <c r="J70" s="1571" t="str">
        <f t="shared" si="19"/>
        <v>2018-1</v>
      </c>
      <c r="K70" s="1571" t="str">
        <f t="shared" si="19"/>
        <v>2017-4</v>
      </c>
      <c r="L70" s="1571" t="str">
        <f t="shared" si="19"/>
        <v>2017-3</v>
      </c>
      <c r="M70" s="1571" t="str">
        <f t="shared" si="19"/>
        <v>2017-2</v>
      </c>
      <c r="N70" s="1571" t="str">
        <f t="shared" si="19"/>
        <v>2017-1</v>
      </c>
      <c r="O70" s="1571" t="str">
        <f t="shared" si="19"/>
        <v>2016-4</v>
      </c>
      <c r="P70" s="507"/>
    </row>
    <row r="71" spans="1:17" s="117" customFormat="1" ht="30" customHeight="1">
      <c r="A71" s="2713" t="s">
        <v>2783</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6"/>
      <c r="N71" s="595"/>
      <c r="O71" s="1567"/>
      <c r="P71" s="504"/>
    </row>
    <row r="72" spans="1:17" s="117" customFormat="1" ht="15" thickBot="1">
      <c r="A72" s="515" t="s">
        <v>2585</v>
      </c>
      <c r="B72" s="516"/>
      <c r="C72" s="517"/>
      <c r="D72" s="518"/>
      <c r="E72" s="518"/>
      <c r="F72" s="518"/>
      <c r="G72" s="518"/>
      <c r="H72" s="518"/>
      <c r="I72" s="518"/>
      <c r="J72" s="518"/>
      <c r="K72" s="518"/>
      <c r="L72" s="518"/>
      <c r="M72" s="519"/>
      <c r="N72" s="518"/>
      <c r="O72" s="1162"/>
      <c r="P72" s="504"/>
      <c r="Q72" s="504"/>
    </row>
    <row r="73" spans="1:17" s="117" customFormat="1" ht="14.4">
      <c r="A73" s="521" t="s">
        <v>2550</v>
      </c>
      <c r="B73" s="510"/>
      <c r="C73" s="522" t="s">
        <v>2652</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2588</v>
      </c>
      <c r="B75" s="528" t="s">
        <v>2554</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2557</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2655</v>
      </c>
      <c r="C102" s="660" t="s">
        <v>2675</v>
      </c>
      <c r="D102" s="660" t="s">
        <v>2676</v>
      </c>
      <c r="E102" s="660" t="s">
        <v>2677</v>
      </c>
      <c r="F102" s="660" t="s">
        <v>2678</v>
      </c>
      <c r="G102" s="660" t="s">
        <v>2679</v>
      </c>
      <c r="H102" s="600"/>
      <c r="I102" s="600"/>
      <c r="J102" s="600"/>
      <c r="K102" s="600"/>
      <c r="L102" s="600"/>
      <c r="M102" s="1384"/>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4"/>
      <c r="N103" s="1154"/>
      <c r="O103" s="1154"/>
      <c r="P103" s="558"/>
      <c r="Q103" s="559"/>
    </row>
    <row r="104" spans="1:17" ht="1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2691</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2750</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23" sqref="E2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2645</v>
      </c>
      <c r="B4" s="402"/>
      <c r="C4" s="3196" t="s">
        <v>2646</v>
      </c>
      <c r="D4" s="3197"/>
      <c r="E4" s="3198" t="s">
        <v>2647</v>
      </c>
      <c r="F4" s="3199"/>
      <c r="G4" s="3196" t="s">
        <v>2648</v>
      </c>
      <c r="H4" s="3197"/>
      <c r="I4" s="3196" t="s">
        <v>2649</v>
      </c>
      <c r="J4" s="3197"/>
      <c r="K4" s="610" t="s">
        <v>2650</v>
      </c>
      <c r="L4" s="1130"/>
      <c r="M4" s="1131"/>
      <c r="N4" s="1131"/>
      <c r="O4" s="1131"/>
      <c r="P4" s="3200" t="s">
        <v>2651</v>
      </c>
      <c r="Q4" s="3201"/>
      <c r="R4" s="3183" t="s">
        <v>2647</v>
      </c>
      <c r="S4" s="3184"/>
      <c r="T4" s="3183" t="s">
        <v>2648</v>
      </c>
      <c r="U4" s="3184"/>
      <c r="V4" s="3208" t="s">
        <v>2649</v>
      </c>
      <c r="W4" s="3208"/>
      <c r="X4" s="1812"/>
      <c r="Y4" s="3183" t="s">
        <v>2651</v>
      </c>
      <c r="Z4" s="3184"/>
      <c r="AA4" s="3178" t="s">
        <v>2647</v>
      </c>
      <c r="AB4" s="3179" t="s">
        <v>2648</v>
      </c>
      <c r="AC4" s="3178" t="s">
        <v>2649</v>
      </c>
    </row>
    <row r="5" spans="1:29">
      <c r="A5" s="404"/>
      <c r="B5" s="405"/>
      <c r="C5" s="3189" t="s">
        <v>2542</v>
      </c>
      <c r="D5" s="3190"/>
      <c r="E5" s="3187" t="s">
        <v>2543</v>
      </c>
      <c r="F5" s="3188"/>
      <c r="G5" s="3189" t="s">
        <v>2544</v>
      </c>
      <c r="H5" s="3190"/>
      <c r="I5" s="3189" t="s">
        <v>2545</v>
      </c>
      <c r="J5" s="3190"/>
      <c r="K5" s="610"/>
      <c r="L5" s="1130"/>
      <c r="M5" s="1131"/>
      <c r="N5" s="1131"/>
      <c r="O5" s="1131"/>
      <c r="P5" s="3202"/>
      <c r="Q5" s="3203"/>
      <c r="R5" s="3185"/>
      <c r="S5" s="3186"/>
      <c r="T5" s="3185"/>
      <c r="U5" s="3186"/>
      <c r="V5" s="3208"/>
      <c r="W5" s="3208"/>
      <c r="X5" s="1812"/>
      <c r="Y5" s="3185"/>
      <c r="Z5" s="3186"/>
      <c r="AA5" s="3179"/>
      <c r="AB5" s="3179"/>
      <c r="AC5" s="3179"/>
    </row>
    <row r="6" spans="1:29" ht="15" thickBot="1">
      <c r="A6" s="406"/>
      <c r="B6" s="407"/>
      <c r="C6" s="3248" t="s">
        <v>2797</v>
      </c>
      <c r="D6" s="3249"/>
      <c r="E6" s="3250" t="s">
        <v>2797</v>
      </c>
      <c r="F6" s="3251"/>
      <c r="G6" s="3248" t="s">
        <v>2797</v>
      </c>
      <c r="H6" s="3249"/>
      <c r="I6" s="3248" t="s">
        <v>2797</v>
      </c>
      <c r="J6" s="3249"/>
      <c r="K6" s="610" t="s">
        <v>2547</v>
      </c>
      <c r="L6" s="1130"/>
      <c r="M6" s="1131"/>
      <c r="N6" s="1131"/>
      <c r="O6" s="1131"/>
      <c r="P6" s="3204"/>
      <c r="Q6" s="3205"/>
      <c r="R6" s="3185"/>
      <c r="S6" s="3186"/>
      <c r="T6" s="3206"/>
      <c r="U6" s="3207"/>
      <c r="V6" s="3208"/>
      <c r="W6" s="3208"/>
      <c r="X6" s="1812"/>
      <c r="Y6" s="3206"/>
      <c r="Z6" s="3207"/>
      <c r="AA6" s="3180"/>
      <c r="AB6" s="3180"/>
      <c r="AC6" s="3180"/>
    </row>
    <row r="7" spans="1:29" s="117" customFormat="1" ht="15" thickBot="1">
      <c r="A7" s="408" t="s">
        <v>2548</v>
      </c>
      <c r="B7" s="409"/>
      <c r="C7" s="410">
        <f>'数据-取费表'!B2</f>
        <v>43802</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181" t="s">
        <v>2549</v>
      </c>
      <c r="Q7" s="3209"/>
      <c r="R7" s="770" t="s">
        <v>17</v>
      </c>
      <c r="S7" s="771">
        <f t="shared" ref="S7:S15" si="0">F7</f>
        <v>0</v>
      </c>
      <c r="T7" s="770" t="s">
        <v>17</v>
      </c>
      <c r="U7" s="771">
        <f t="shared" ref="U7:U15" si="1">H7</f>
        <v>0</v>
      </c>
      <c r="V7" s="770" t="s">
        <v>17</v>
      </c>
      <c r="W7" s="771">
        <f t="shared" ref="W7:W15" si="2">J7</f>
        <v>0</v>
      </c>
      <c r="X7" s="772"/>
      <c r="Y7" s="3181" t="s">
        <v>2549</v>
      </c>
      <c r="Z7" s="3182"/>
      <c r="AA7" s="773" t="e">
        <f>D7/F7</f>
        <v>#DIV/0!</v>
      </c>
      <c r="AB7" s="773" t="e">
        <f>D7/H7</f>
        <v>#DIV/0!</v>
      </c>
      <c r="AC7" s="773" t="e">
        <f>D7/J7</f>
        <v>#DIV/0!</v>
      </c>
    </row>
    <row r="8" spans="1:29" s="117" customFormat="1" ht="1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1" t="s">
        <v>2552</v>
      </c>
      <c r="Q8" s="3182"/>
      <c r="R8" s="770" t="s">
        <v>17</v>
      </c>
      <c r="S8" s="771">
        <f t="shared" si="0"/>
        <v>0</v>
      </c>
      <c r="T8" s="770" t="s">
        <v>17</v>
      </c>
      <c r="U8" s="771">
        <f t="shared" si="1"/>
        <v>0</v>
      </c>
      <c r="V8" s="770" t="s">
        <v>17</v>
      </c>
      <c r="W8" s="771">
        <f t="shared" si="2"/>
        <v>0</v>
      </c>
      <c r="X8" s="772"/>
      <c r="Y8" s="3181" t="s">
        <v>2552</v>
      </c>
      <c r="Z8" s="3182"/>
      <c r="AA8" s="773" t="e">
        <f t="shared" ref="AA8:AA40" si="3">D8/F8</f>
        <v>#DIV/0!</v>
      </c>
      <c r="AB8" s="773" t="e">
        <f t="shared" ref="AB8:AB40" si="4">D8/H8</f>
        <v>#DIV/0!</v>
      </c>
      <c r="AC8" s="773" t="e">
        <f t="shared" ref="AC8:AC40" si="5">D8/J8</f>
        <v>#DIV/0!</v>
      </c>
    </row>
    <row r="9" spans="1:29" s="117" customFormat="1" ht="14.4">
      <c r="A9" s="415" t="s">
        <v>2553</v>
      </c>
      <c r="B9" s="71" t="s">
        <v>2554</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213" t="s">
        <v>2555</v>
      </c>
      <c r="Q9" s="1794" t="str">
        <f t="shared" ref="Q9:Q15" si="6">B9</f>
        <v>用途</v>
      </c>
      <c r="R9" s="770" t="s">
        <v>17</v>
      </c>
      <c r="S9" s="771">
        <f t="shared" si="0"/>
        <v>100</v>
      </c>
      <c r="T9" s="770" t="s">
        <v>17</v>
      </c>
      <c r="U9" s="771">
        <f t="shared" si="1"/>
        <v>100</v>
      </c>
      <c r="V9" s="770" t="s">
        <v>17</v>
      </c>
      <c r="W9" s="771">
        <f t="shared" si="2"/>
        <v>100</v>
      </c>
      <c r="X9" s="772"/>
      <c r="Y9" s="3028" t="s">
        <v>2556</v>
      </c>
      <c r="Z9" s="55" t="str">
        <f t="shared" ref="Z9:Z15" si="7">Q9</f>
        <v>用途</v>
      </c>
      <c r="AA9" s="773">
        <f t="shared" si="3"/>
        <v>1</v>
      </c>
      <c r="AB9" s="773">
        <f t="shared" si="4"/>
        <v>1</v>
      </c>
      <c r="AC9" s="773">
        <f t="shared" si="5"/>
        <v>1</v>
      </c>
    </row>
    <row r="10" spans="1:29" s="427" customFormat="1" ht="28.8">
      <c r="A10" s="421"/>
      <c r="B10" s="422" t="s">
        <v>2557</v>
      </c>
      <c r="C10" s="432"/>
      <c r="D10" s="136">
        <v>100</v>
      </c>
      <c r="E10" s="432"/>
      <c r="F10" s="136">
        <f>ROUND(100/'数据-取费表'!G16,0)</f>
        <v>122</v>
      </c>
      <c r="G10" s="432"/>
      <c r="H10" s="136">
        <f>ROUND(100/'数据-取费表'!G16,0)</f>
        <v>122</v>
      </c>
      <c r="I10" s="432"/>
      <c r="J10" s="136">
        <f>ROUND(100/'数据-取费表'!G16,0)</f>
        <v>122</v>
      </c>
      <c r="K10" s="672"/>
      <c r="L10" s="1135"/>
      <c r="M10" s="1136"/>
      <c r="N10" s="1136"/>
      <c r="O10" s="1137"/>
      <c r="P10" s="3213"/>
      <c r="Q10" s="1794" t="str">
        <f t="shared" si="6"/>
        <v>土地使用年限（年）</v>
      </c>
      <c r="R10" s="770" t="s">
        <v>17</v>
      </c>
      <c r="S10" s="771">
        <f t="shared" si="0"/>
        <v>122</v>
      </c>
      <c r="T10" s="770" t="s">
        <v>17</v>
      </c>
      <c r="U10" s="771">
        <f t="shared" si="1"/>
        <v>122</v>
      </c>
      <c r="V10" s="770" t="s">
        <v>17</v>
      </c>
      <c r="W10" s="771">
        <f t="shared" si="2"/>
        <v>122</v>
      </c>
      <c r="X10" s="772"/>
      <c r="Y10" s="3028"/>
      <c r="Z10" s="55" t="str">
        <f t="shared" si="7"/>
        <v>土地使用年限（年）</v>
      </c>
      <c r="AA10" s="773">
        <f t="shared" si="3"/>
        <v>0.81967213114754101</v>
      </c>
      <c r="AB10" s="773">
        <f t="shared" si="4"/>
        <v>0.81967213114754101</v>
      </c>
      <c r="AC10" s="773">
        <f t="shared" si="5"/>
        <v>0.81967213114754101</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13"/>
      <c r="Q11" s="1794"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13"/>
      <c r="Q12" s="1794">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13"/>
      <c r="Q13" s="1794">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6"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13"/>
      <c r="Q14" s="1794">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69">
      <c r="A15" s="440" t="s">
        <v>2559</v>
      </c>
      <c r="B15" s="629" t="s">
        <v>2798</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5" t="s">
        <v>2560</v>
      </c>
      <c r="Q15" s="1809" t="str">
        <f t="shared" si="6"/>
        <v>产业集聚程度</v>
      </c>
      <c r="R15" s="774" t="s">
        <v>17</v>
      </c>
      <c r="S15" s="775">
        <f t="shared" si="0"/>
        <v>100</v>
      </c>
      <c r="T15" s="774" t="s">
        <v>17</v>
      </c>
      <c r="U15" s="775">
        <f t="shared" si="1"/>
        <v>100</v>
      </c>
      <c r="V15" s="774" t="s">
        <v>17</v>
      </c>
      <c r="W15" s="775">
        <f t="shared" si="2"/>
        <v>100</v>
      </c>
      <c r="X15" s="1812"/>
      <c r="Y15" s="3215" t="s">
        <v>2560</v>
      </c>
      <c r="Z15" s="1813" t="str">
        <f t="shared" si="7"/>
        <v>产业集聚程度</v>
      </c>
      <c r="AA15" s="1810">
        <f t="shared" si="3"/>
        <v>1</v>
      </c>
      <c r="AB15" s="1810">
        <f t="shared" si="4"/>
        <v>1</v>
      </c>
      <c r="AC15" s="1810">
        <f t="shared" si="5"/>
        <v>1</v>
      </c>
    </row>
    <row r="16" spans="1:29" ht="15">
      <c r="A16" s="428"/>
      <c r="B16" s="630"/>
      <c r="C16" s="447"/>
      <c r="D16" s="448"/>
      <c r="E16" s="2612"/>
      <c r="F16" s="448"/>
      <c r="G16" s="2612"/>
      <c r="H16" s="450"/>
      <c r="I16" s="2612"/>
      <c r="J16" s="448"/>
      <c r="K16" s="672"/>
      <c r="L16" s="1140"/>
      <c r="M16" s="1131"/>
      <c r="N16" s="1131"/>
      <c r="O16" s="1139"/>
      <c r="P16" s="3216"/>
      <c r="Q16" s="1809"/>
      <c r="R16" s="774"/>
      <c r="S16" s="775"/>
      <c r="T16" s="774"/>
      <c r="U16" s="775"/>
      <c r="V16" s="774"/>
      <c r="W16" s="775"/>
      <c r="X16" s="1812"/>
      <c r="Y16" s="3216"/>
      <c r="Z16" s="1813"/>
      <c r="AA16" s="1810">
        <v>1</v>
      </c>
      <c r="AB16" s="1810">
        <v>1</v>
      </c>
      <c r="AC16" s="1810">
        <v>1</v>
      </c>
    </row>
    <row r="17" spans="1:29" ht="96.6">
      <c r="A17" s="428"/>
      <c r="B17" s="631" t="s">
        <v>2709</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6"/>
      <c r="Q17" s="1809" t="str">
        <f>B17</f>
        <v>交通便捷度</v>
      </c>
      <c r="R17" s="774" t="s">
        <v>17</v>
      </c>
      <c r="S17" s="775">
        <f>F17</f>
        <v>100</v>
      </c>
      <c r="T17" s="774" t="s">
        <v>17</v>
      </c>
      <c r="U17" s="775">
        <f>H17</f>
        <v>100</v>
      </c>
      <c r="V17" s="774" t="s">
        <v>17</v>
      </c>
      <c r="W17" s="775">
        <f>J17</f>
        <v>100</v>
      </c>
      <c r="X17" s="1812"/>
      <c r="Y17" s="3216"/>
      <c r="Z17" s="1813" t="str">
        <f>Q17</f>
        <v>交通便捷度</v>
      </c>
      <c r="AA17" s="1810">
        <f t="shared" si="3"/>
        <v>1</v>
      </c>
      <c r="AB17" s="1810">
        <f t="shared" si="4"/>
        <v>1</v>
      </c>
      <c r="AC17" s="1810">
        <f t="shared" si="5"/>
        <v>1</v>
      </c>
    </row>
    <row r="18" spans="1:29" ht="15">
      <c r="A18" s="428"/>
      <c r="B18" s="632"/>
      <c r="C18" s="447"/>
      <c r="D18" s="448"/>
      <c r="E18" s="2606"/>
      <c r="F18" s="448"/>
      <c r="G18" s="2606"/>
      <c r="H18" s="448"/>
      <c r="I18" s="2605"/>
      <c r="J18" s="448"/>
      <c r="K18" s="672"/>
      <c r="L18" s="1140"/>
      <c r="M18" s="1131"/>
      <c r="N18" s="1131"/>
      <c r="O18" s="1139"/>
      <c r="P18" s="3216"/>
      <c r="Q18" s="1809"/>
      <c r="R18" s="774"/>
      <c r="S18" s="775"/>
      <c r="T18" s="774"/>
      <c r="U18" s="775"/>
      <c r="V18" s="774"/>
      <c r="W18" s="775"/>
      <c r="X18" s="1812"/>
      <c r="Y18" s="3216"/>
      <c r="Z18" s="1813"/>
      <c r="AA18" s="1810">
        <v>1</v>
      </c>
      <c r="AB18" s="1810">
        <v>1</v>
      </c>
      <c r="AC18" s="1810">
        <v>1</v>
      </c>
    </row>
    <row r="19" spans="1:29" ht="28.8">
      <c r="A19" s="428"/>
      <c r="B19" s="631" t="s">
        <v>2748</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6"/>
      <c r="Q19" s="1809" t="str">
        <f t="shared" ref="Q19:Q33" si="8">B19</f>
        <v>区域土地利用方向</v>
      </c>
      <c r="R19" s="774" t="s">
        <v>17</v>
      </c>
      <c r="S19" s="775">
        <f>F19</f>
        <v>100</v>
      </c>
      <c r="T19" s="774" t="s">
        <v>17</v>
      </c>
      <c r="U19" s="775">
        <f>H19</f>
        <v>100</v>
      </c>
      <c r="V19" s="774" t="s">
        <v>17</v>
      </c>
      <c r="W19" s="775">
        <f>J19</f>
        <v>100</v>
      </c>
      <c r="X19" s="1812"/>
      <c r="Y19" s="3216"/>
      <c r="Z19" s="1813" t="str">
        <f>Q19</f>
        <v>区域土地利用方向</v>
      </c>
      <c r="AA19" s="1810">
        <f t="shared" si="3"/>
        <v>1</v>
      </c>
      <c r="AB19" s="1810">
        <f t="shared" si="4"/>
        <v>1</v>
      </c>
      <c r="AC19" s="1810">
        <f t="shared" si="5"/>
        <v>1</v>
      </c>
    </row>
    <row r="20" spans="1:29" ht="15">
      <c r="A20" s="404"/>
      <c r="B20" s="632"/>
      <c r="C20" s="447"/>
      <c r="D20" s="448"/>
      <c r="E20" s="2606"/>
      <c r="F20" s="448"/>
      <c r="G20" s="2606"/>
      <c r="H20" s="448"/>
      <c r="I20" s="2606"/>
      <c r="J20" s="448"/>
      <c r="K20" s="812"/>
      <c r="L20" s="1140"/>
      <c r="M20" s="1131"/>
      <c r="N20" s="1131"/>
      <c r="O20" s="1139"/>
      <c r="P20" s="3216"/>
      <c r="Q20" s="1809"/>
      <c r="R20" s="774"/>
      <c r="S20" s="775"/>
      <c r="T20" s="774"/>
      <c r="U20" s="775"/>
      <c r="V20" s="774"/>
      <c r="W20" s="775"/>
      <c r="X20" s="1812"/>
      <c r="Y20" s="3216"/>
      <c r="Z20" s="1813"/>
      <c r="AA20" s="1810"/>
      <c r="AB20" s="1810"/>
      <c r="AC20" s="1810"/>
    </row>
    <row r="21" spans="1:29" ht="82.8">
      <c r="A21" s="404"/>
      <c r="B21" s="631" t="s">
        <v>2799</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6"/>
      <c r="Q21" s="1809" t="str">
        <f t="shared" si="8"/>
        <v>环境状况</v>
      </c>
      <c r="R21" s="774" t="s">
        <v>17</v>
      </c>
      <c r="S21" s="775">
        <f>F21</f>
        <v>100</v>
      </c>
      <c r="T21" s="774" t="s">
        <v>17</v>
      </c>
      <c r="U21" s="775">
        <f>H21</f>
        <v>100</v>
      </c>
      <c r="V21" s="774" t="s">
        <v>17</v>
      </c>
      <c r="W21" s="775">
        <f>J21</f>
        <v>100</v>
      </c>
      <c r="X21" s="1812"/>
      <c r="Y21" s="3216"/>
      <c r="Z21" s="1813" t="str">
        <f>Q21</f>
        <v>环境状况</v>
      </c>
      <c r="AA21" s="1810">
        <f t="shared" si="3"/>
        <v>1</v>
      </c>
      <c r="AB21" s="1810">
        <f t="shared" si="4"/>
        <v>1</v>
      </c>
      <c r="AC21" s="1810">
        <f t="shared" si="5"/>
        <v>1</v>
      </c>
    </row>
    <row r="22" spans="1:29" ht="15">
      <c r="A22" s="404"/>
      <c r="B22" s="632"/>
      <c r="C22" s="447"/>
      <c r="D22" s="448"/>
      <c r="E22" s="2612"/>
      <c r="F22" s="448"/>
      <c r="G22" s="2612"/>
      <c r="H22" s="448"/>
      <c r="I22" s="447"/>
      <c r="J22" s="448"/>
      <c r="K22" s="672"/>
      <c r="L22" s="1140"/>
      <c r="M22" s="1131"/>
      <c r="N22" s="1131"/>
      <c r="O22" s="1139"/>
      <c r="P22" s="3216"/>
      <c r="Q22" s="1809"/>
      <c r="R22" s="774"/>
      <c r="S22" s="775"/>
      <c r="T22" s="774"/>
      <c r="U22" s="775"/>
      <c r="V22" s="774"/>
      <c r="W22" s="775"/>
      <c r="X22" s="1812"/>
      <c r="Y22" s="3216"/>
      <c r="Z22" s="1813"/>
      <c r="AA22" s="1810">
        <v>1</v>
      </c>
      <c r="AB22" s="1810">
        <v>1</v>
      </c>
      <c r="AC22" s="1810">
        <v>1</v>
      </c>
    </row>
    <row r="23" spans="1:29" s="117" customFormat="1" ht="41.4">
      <c r="A23" s="649"/>
      <c r="B23" s="633" t="s">
        <v>2654</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6"/>
      <c r="Q23" s="1794" t="str">
        <f t="shared" si="8"/>
        <v>公共配套设施</v>
      </c>
      <c r="R23" s="770" t="s">
        <v>17</v>
      </c>
      <c r="S23" s="771">
        <f>F23</f>
        <v>100</v>
      </c>
      <c r="T23" s="770" t="s">
        <v>17</v>
      </c>
      <c r="U23" s="771">
        <f>H23</f>
        <v>100</v>
      </c>
      <c r="V23" s="770" t="s">
        <v>17</v>
      </c>
      <c r="W23" s="771">
        <f>J23</f>
        <v>100</v>
      </c>
      <c r="X23" s="772"/>
      <c r="Y23" s="3216"/>
      <c r="Z23" s="55" t="str">
        <f>Q23</f>
        <v>公共配套设施</v>
      </c>
      <c r="AA23" s="1810">
        <f>D23/F23</f>
        <v>1</v>
      </c>
      <c r="AB23" s="1810">
        <f>D23/H23</f>
        <v>1</v>
      </c>
      <c r="AC23" s="1810">
        <f>D23/J23</f>
        <v>1</v>
      </c>
    </row>
    <row r="24" spans="1:29" s="117" customFormat="1" ht="15">
      <c r="A24" s="649"/>
      <c r="B24" s="632"/>
      <c r="C24" s="2701"/>
      <c r="D24" s="448"/>
      <c r="E24" s="2612"/>
      <c r="F24" s="448"/>
      <c r="G24" s="2612"/>
      <c r="H24" s="448"/>
      <c r="I24" s="447"/>
      <c r="J24" s="448"/>
      <c r="K24" s="672"/>
      <c r="L24" s="1132"/>
      <c r="M24" s="1133"/>
      <c r="N24" s="1133"/>
      <c r="O24" s="1134"/>
      <c r="P24" s="3216"/>
      <c r="Q24" s="1794"/>
      <c r="R24" s="770"/>
      <c r="S24" s="771"/>
      <c r="T24" s="770"/>
      <c r="U24" s="771"/>
      <c r="V24" s="770"/>
      <c r="W24" s="771"/>
      <c r="X24" s="772"/>
      <c r="Y24" s="3216"/>
      <c r="Z24" s="55"/>
      <c r="AA24" s="773">
        <v>1</v>
      </c>
      <c r="AB24" s="773">
        <v>1</v>
      </c>
      <c r="AC24" s="773">
        <v>1</v>
      </c>
    </row>
    <row r="25" spans="1:29" s="117" customFormat="1" ht="41.4">
      <c r="A25" s="649"/>
      <c r="B25" s="633" t="s">
        <v>2655</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6"/>
      <c r="Q25" s="1794" t="str">
        <f t="shared" ref="Q25" si="9">B25</f>
        <v>基础设施水平</v>
      </c>
      <c r="R25" s="770" t="s">
        <v>17</v>
      </c>
      <c r="S25" s="771">
        <f>F25</f>
        <v>100</v>
      </c>
      <c r="T25" s="770" t="s">
        <v>17</v>
      </c>
      <c r="U25" s="771">
        <f>H25</f>
        <v>100</v>
      </c>
      <c r="V25" s="770" t="s">
        <v>17</v>
      </c>
      <c r="W25" s="771">
        <f>J25</f>
        <v>100</v>
      </c>
      <c r="X25" s="772"/>
      <c r="Y25" s="3216"/>
      <c r="Z25" s="55" t="str">
        <f>Q25</f>
        <v>基础设施水平</v>
      </c>
      <c r="AA25" s="1810">
        <f>D25/F25</f>
        <v>1</v>
      </c>
      <c r="AB25" s="1810">
        <f>D25/H25</f>
        <v>1</v>
      </c>
      <c r="AC25" s="1810">
        <f>D25/J25</f>
        <v>1</v>
      </c>
    </row>
    <row r="26" spans="1:29" s="117" customFormat="1" ht="15">
      <c r="A26" s="649"/>
      <c r="B26" s="632"/>
      <c r="C26" s="2701"/>
      <c r="D26" s="448"/>
      <c r="E26" s="2702"/>
      <c r="F26" s="448"/>
      <c r="G26" s="2702"/>
      <c r="H26" s="448"/>
      <c r="I26" s="2702"/>
      <c r="J26" s="448"/>
      <c r="K26" s="672"/>
      <c r="L26" s="1132"/>
      <c r="M26" s="1133"/>
      <c r="N26" s="1133"/>
      <c r="O26" s="1134"/>
      <c r="P26" s="3216"/>
      <c r="Q26" s="1794"/>
      <c r="R26" s="770"/>
      <c r="S26" s="771"/>
      <c r="T26" s="770"/>
      <c r="U26" s="771"/>
      <c r="V26" s="770"/>
      <c r="W26" s="771"/>
      <c r="X26" s="772"/>
      <c r="Y26" s="3216"/>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6"/>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6"/>
      <c r="Z27" s="1813" t="str">
        <f t="shared" ref="Z27:Z40" si="13">Q27</f>
        <v>临街状况</v>
      </c>
      <c r="AA27" s="1810">
        <f t="shared" si="3"/>
        <v>1</v>
      </c>
      <c r="AB27" s="1810">
        <f t="shared" si="4"/>
        <v>1</v>
      </c>
      <c r="AC27" s="1810">
        <f t="shared" si="5"/>
        <v>1</v>
      </c>
    </row>
    <row r="28" spans="1:29" ht="28.8">
      <c r="A28" s="428"/>
      <c r="B28" s="633" t="s">
        <v>2691</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6"/>
      <c r="Q28" s="1809" t="str">
        <f t="shared" si="8"/>
        <v>毗邻道路的类型与等级</v>
      </c>
      <c r="R28" s="774" t="s">
        <v>17</v>
      </c>
      <c r="S28" s="775">
        <f t="shared" si="10"/>
        <v>100</v>
      </c>
      <c r="T28" s="774" t="s">
        <v>17</v>
      </c>
      <c r="U28" s="775">
        <f t="shared" si="11"/>
        <v>100</v>
      </c>
      <c r="V28" s="774" t="s">
        <v>17</v>
      </c>
      <c r="W28" s="775">
        <f t="shared" si="12"/>
        <v>100</v>
      </c>
      <c r="X28" s="1812"/>
      <c r="Y28" s="3216"/>
      <c r="Z28" s="1813" t="str">
        <f t="shared" si="13"/>
        <v>毗邻道路的类型与等级</v>
      </c>
      <c r="AA28" s="1810">
        <f t="shared" si="3"/>
        <v>1</v>
      </c>
      <c r="AB28" s="1810">
        <f t="shared" si="4"/>
        <v>1</v>
      </c>
      <c r="AC28" s="1810">
        <f t="shared" si="5"/>
        <v>1</v>
      </c>
    </row>
    <row r="29" spans="1:29" ht="15">
      <c r="A29" s="428"/>
      <c r="B29" s="632"/>
      <c r="C29" s="447"/>
      <c r="D29" s="448"/>
      <c r="E29" s="2612"/>
      <c r="F29" s="448"/>
      <c r="G29" s="2612"/>
      <c r="H29" s="448"/>
      <c r="I29" s="2612"/>
      <c r="J29" s="448"/>
      <c r="K29" s="613"/>
      <c r="L29" s="1140"/>
      <c r="M29" s="1131"/>
      <c r="N29" s="1131"/>
      <c r="O29" s="1139"/>
      <c r="P29" s="3216"/>
      <c r="Q29" s="1809"/>
      <c r="R29" s="774"/>
      <c r="S29" s="775"/>
      <c r="T29" s="774"/>
      <c r="U29" s="775"/>
      <c r="V29" s="774"/>
      <c r="W29" s="775"/>
      <c r="X29" s="1812"/>
      <c r="Y29" s="3216"/>
      <c r="Z29" s="1813"/>
      <c r="AA29" s="1810">
        <v>1</v>
      </c>
      <c r="AB29" s="1810">
        <v>1</v>
      </c>
      <c r="AC29" s="1810">
        <v>1</v>
      </c>
    </row>
    <row r="30" spans="1:29" ht="15">
      <c r="A30" s="428"/>
      <c r="B30" s="654" t="s">
        <v>2750</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6"/>
      <c r="Q30" s="1809" t="str">
        <f t="shared" si="8"/>
        <v>土地级别</v>
      </c>
      <c r="R30" s="774" t="s">
        <v>17</v>
      </c>
      <c r="S30" s="775">
        <f t="shared" si="10"/>
        <v>100</v>
      </c>
      <c r="T30" s="774" t="s">
        <v>17</v>
      </c>
      <c r="U30" s="775">
        <f t="shared" si="11"/>
        <v>100</v>
      </c>
      <c r="V30" s="774" t="s">
        <v>17</v>
      </c>
      <c r="W30" s="775">
        <f t="shared" si="12"/>
        <v>100</v>
      </c>
      <c r="X30" s="1812"/>
      <c r="Y30" s="3216"/>
      <c r="Z30" s="1813" t="str">
        <f t="shared" si="13"/>
        <v>土地级别</v>
      </c>
      <c r="AA30" s="1810">
        <f t="shared" si="3"/>
        <v>1</v>
      </c>
      <c r="AB30" s="1810">
        <f t="shared" si="4"/>
        <v>1</v>
      </c>
      <c r="AC30" s="1810">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6"/>
      <c r="Q31" s="1809">
        <f t="shared" si="8"/>
        <v>111</v>
      </c>
      <c r="R31" s="774" t="s">
        <v>17</v>
      </c>
      <c r="S31" s="775">
        <f t="shared" si="10"/>
        <v>100</v>
      </c>
      <c r="T31" s="774" t="s">
        <v>17</v>
      </c>
      <c r="U31" s="775">
        <f t="shared" si="11"/>
        <v>100</v>
      </c>
      <c r="V31" s="774" t="s">
        <v>17</v>
      </c>
      <c r="W31" s="775">
        <f t="shared" si="12"/>
        <v>100</v>
      </c>
      <c r="X31" s="1812"/>
      <c r="Y31" s="3216"/>
      <c r="Z31" s="1813">
        <f t="shared" si="13"/>
        <v>111</v>
      </c>
      <c r="AA31" s="1810">
        <f t="shared" si="3"/>
        <v>1</v>
      </c>
      <c r="AB31" s="1810">
        <f t="shared" si="4"/>
        <v>1</v>
      </c>
      <c r="AC31" s="1810">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9" t="s">
        <v>2565</v>
      </c>
      <c r="Q32" s="1809">
        <f t="shared" si="8"/>
        <v>111</v>
      </c>
      <c r="R32" s="774" t="s">
        <v>17</v>
      </c>
      <c r="S32" s="775">
        <f t="shared" si="10"/>
        <v>100</v>
      </c>
      <c r="T32" s="774" t="s">
        <v>17</v>
      </c>
      <c r="U32" s="775">
        <f t="shared" si="11"/>
        <v>100</v>
      </c>
      <c r="V32" s="774" t="s">
        <v>17</v>
      </c>
      <c r="W32" s="775">
        <f t="shared" si="12"/>
        <v>100</v>
      </c>
      <c r="X32" s="1812"/>
      <c r="Y32" s="3220" t="s">
        <v>2565</v>
      </c>
      <c r="Z32" s="1813">
        <f t="shared" si="13"/>
        <v>111</v>
      </c>
      <c r="AA32" s="1810">
        <f t="shared" si="3"/>
        <v>1</v>
      </c>
      <c r="AB32" s="1810">
        <f t="shared" si="4"/>
        <v>1</v>
      </c>
      <c r="AC32" s="1810">
        <f t="shared" si="5"/>
        <v>1</v>
      </c>
    </row>
    <row r="33" spans="1:29" s="471" customFormat="1" ht="15.6"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20"/>
      <c r="Q33" s="1809">
        <f t="shared" si="8"/>
        <v>111</v>
      </c>
      <c r="R33" s="777" t="s">
        <v>17</v>
      </c>
      <c r="S33" s="778">
        <f t="shared" si="10"/>
        <v>100</v>
      </c>
      <c r="T33" s="777" t="s">
        <v>17</v>
      </c>
      <c r="U33" s="778">
        <f t="shared" si="11"/>
        <v>100</v>
      </c>
      <c r="V33" s="777" t="s">
        <v>17</v>
      </c>
      <c r="W33" s="778">
        <f t="shared" si="12"/>
        <v>100</v>
      </c>
      <c r="X33" s="779"/>
      <c r="Y33" s="3220"/>
      <c r="Z33" s="780">
        <f t="shared" si="13"/>
        <v>111</v>
      </c>
      <c r="AA33" s="1810">
        <f t="shared" si="3"/>
        <v>1</v>
      </c>
      <c r="AB33" s="1810">
        <f t="shared" si="4"/>
        <v>1</v>
      </c>
      <c r="AC33" s="1810">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20"/>
      <c r="Q34" s="1809" t="str">
        <f>B34</f>
        <v>宗地面积</v>
      </c>
      <c r="R34" s="774" t="s">
        <v>17</v>
      </c>
      <c r="S34" s="775" t="e">
        <f t="shared" si="10"/>
        <v>#N/A</v>
      </c>
      <c r="T34" s="774" t="s">
        <v>17</v>
      </c>
      <c r="U34" s="775" t="e">
        <f t="shared" si="11"/>
        <v>#N/A</v>
      </c>
      <c r="V34" s="774" t="s">
        <v>17</v>
      </c>
      <c r="W34" s="775" t="e">
        <f t="shared" si="12"/>
        <v>#N/A</v>
      </c>
      <c r="X34" s="1812"/>
      <c r="Y34" s="3220"/>
      <c r="Z34" s="1813" t="str">
        <f t="shared" si="13"/>
        <v>宗地面积</v>
      </c>
      <c r="AA34" s="1810" t="e">
        <f t="shared" si="3"/>
        <v>#N/A</v>
      </c>
      <c r="AB34" s="1810" t="e">
        <f t="shared" si="4"/>
        <v>#N/A</v>
      </c>
      <c r="AC34" s="1810" t="e">
        <f t="shared" si="5"/>
        <v>#N/A</v>
      </c>
    </row>
    <row r="35" spans="1:29" ht="15">
      <c r="A35" s="472"/>
      <c r="B35" s="422" t="s">
        <v>2752</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220"/>
      <c r="Q35" s="1809" t="str">
        <f t="shared" ref="Q35:Q40" si="14">B35</f>
        <v>宗地形状</v>
      </c>
      <c r="R35" s="774" t="s">
        <v>17</v>
      </c>
      <c r="S35" s="775">
        <f t="shared" si="10"/>
        <v>100</v>
      </c>
      <c r="T35" s="774" t="s">
        <v>17</v>
      </c>
      <c r="U35" s="775">
        <f t="shared" si="11"/>
        <v>100</v>
      </c>
      <c r="V35" s="774" t="s">
        <v>17</v>
      </c>
      <c r="W35" s="775">
        <f t="shared" si="12"/>
        <v>100</v>
      </c>
      <c r="X35" s="1812"/>
      <c r="Y35" s="3220"/>
      <c r="Z35" s="1813" t="str">
        <f t="shared" si="13"/>
        <v>宗地形状</v>
      </c>
      <c r="AA35" s="1810">
        <f t="shared" si="3"/>
        <v>1</v>
      </c>
      <c r="AB35" s="1810">
        <f t="shared" si="4"/>
        <v>1</v>
      </c>
      <c r="AC35" s="1810">
        <f t="shared" si="5"/>
        <v>1</v>
      </c>
    </row>
    <row r="36" spans="1:29" s="117" customFormat="1" ht="15">
      <c r="A36" s="473"/>
      <c r="B36" s="422" t="s">
        <v>2754</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220"/>
      <c r="Q36" s="1809" t="str">
        <f t="shared" si="14"/>
        <v>宗地开发程度</v>
      </c>
      <c r="R36" s="770" t="s">
        <v>17</v>
      </c>
      <c r="S36" s="771">
        <f t="shared" si="10"/>
        <v>100</v>
      </c>
      <c r="T36" s="770" t="s">
        <v>17</v>
      </c>
      <c r="U36" s="771">
        <f t="shared" si="11"/>
        <v>100</v>
      </c>
      <c r="V36" s="770" t="s">
        <v>17</v>
      </c>
      <c r="W36" s="771">
        <f t="shared" si="12"/>
        <v>100</v>
      </c>
      <c r="X36" s="772"/>
      <c r="Y36" s="3220"/>
      <c r="Z36" s="55" t="str">
        <f t="shared" si="13"/>
        <v>宗地开发程度</v>
      </c>
      <c r="AA36" s="773">
        <f t="shared" si="3"/>
        <v>1</v>
      </c>
      <c r="AB36" s="773">
        <f t="shared" si="4"/>
        <v>1</v>
      </c>
      <c r="AC36" s="773">
        <f t="shared" si="5"/>
        <v>1</v>
      </c>
    </row>
    <row r="37" spans="1:29" ht="15">
      <c r="A37" s="472"/>
      <c r="B37" s="422" t="s">
        <v>2755</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220" t="s">
        <v>2565</v>
      </c>
      <c r="Q37" s="1809" t="str">
        <f t="shared" si="14"/>
        <v>工程地质条件</v>
      </c>
      <c r="R37" s="774" t="s">
        <v>17</v>
      </c>
      <c r="S37" s="775">
        <f t="shared" si="10"/>
        <v>100</v>
      </c>
      <c r="T37" s="774" t="s">
        <v>17</v>
      </c>
      <c r="U37" s="775">
        <f t="shared" si="11"/>
        <v>100</v>
      </c>
      <c r="V37" s="774" t="s">
        <v>17</v>
      </c>
      <c r="W37" s="775">
        <f t="shared" si="12"/>
        <v>100</v>
      </c>
      <c r="X37" s="1812"/>
      <c r="Y37" s="3220" t="s">
        <v>2565</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20"/>
      <c r="Q38" s="1809">
        <f t="shared" si="14"/>
        <v>111</v>
      </c>
      <c r="R38" s="774" t="s">
        <v>17</v>
      </c>
      <c r="S38" s="775">
        <f t="shared" si="10"/>
        <v>100</v>
      </c>
      <c r="T38" s="774" t="s">
        <v>17</v>
      </c>
      <c r="U38" s="775">
        <f t="shared" si="11"/>
        <v>100</v>
      </c>
      <c r="V38" s="774" t="s">
        <v>17</v>
      </c>
      <c r="W38" s="775">
        <f t="shared" si="12"/>
        <v>100</v>
      </c>
      <c r="X38" s="1812"/>
      <c r="Y38" s="3220"/>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20"/>
      <c r="Q39" s="1809">
        <f t="shared" si="14"/>
        <v>111</v>
      </c>
      <c r="R39" s="774" t="s">
        <v>17</v>
      </c>
      <c r="S39" s="775">
        <f t="shared" si="10"/>
        <v>100</v>
      </c>
      <c r="T39" s="774" t="s">
        <v>17</v>
      </c>
      <c r="U39" s="775">
        <f t="shared" si="11"/>
        <v>100</v>
      </c>
      <c r="V39" s="774" t="s">
        <v>17</v>
      </c>
      <c r="W39" s="775">
        <f t="shared" si="12"/>
        <v>100</v>
      </c>
      <c r="X39" s="1812"/>
      <c r="Y39" s="3220"/>
      <c r="Z39" s="1813">
        <f t="shared" si="13"/>
        <v>111</v>
      </c>
      <c r="AA39" s="1810">
        <f t="shared" si="3"/>
        <v>1</v>
      </c>
      <c r="AB39" s="1810">
        <f t="shared" si="4"/>
        <v>1</v>
      </c>
      <c r="AC39" s="1810">
        <f t="shared" si="5"/>
        <v>1</v>
      </c>
    </row>
    <row r="40" spans="1:29" s="471" customFormat="1" ht="15.6" thickBot="1">
      <c r="A40" s="468"/>
      <c r="B40" s="1386">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20"/>
      <c r="Q40" s="1809">
        <f t="shared" si="14"/>
        <v>111</v>
      </c>
      <c r="R40" s="777" t="s">
        <v>17</v>
      </c>
      <c r="S40" s="778">
        <f t="shared" si="10"/>
        <v>100</v>
      </c>
      <c r="T40" s="777" t="s">
        <v>17</v>
      </c>
      <c r="U40" s="778">
        <f t="shared" si="11"/>
        <v>100</v>
      </c>
      <c r="V40" s="777" t="s">
        <v>17</v>
      </c>
      <c r="W40" s="778">
        <f t="shared" si="12"/>
        <v>100</v>
      </c>
      <c r="X40" s="779"/>
      <c r="Y40" s="3220"/>
      <c r="Z40" s="780">
        <f t="shared" si="13"/>
        <v>111</v>
      </c>
      <c r="AA40" s="1810">
        <f t="shared" si="3"/>
        <v>1</v>
      </c>
      <c r="AB40" s="1810">
        <f t="shared" si="4"/>
        <v>1</v>
      </c>
      <c r="AC40" s="1810">
        <f t="shared" si="5"/>
        <v>1</v>
      </c>
    </row>
    <row r="41" spans="1:29" ht="14.4">
      <c r="A41" s="479" t="s">
        <v>2720</v>
      </c>
      <c r="B41" s="2705" t="s">
        <v>2800</v>
      </c>
      <c r="C41" s="682" t="s">
        <v>1</v>
      </c>
      <c r="D41" s="481"/>
      <c r="E41" s="482"/>
      <c r="F41" s="483"/>
      <c r="G41" s="484"/>
      <c r="H41" s="485"/>
      <c r="I41" s="482"/>
      <c r="J41" s="485"/>
      <c r="K41" s="783"/>
      <c r="L41" s="1143"/>
      <c r="M41" s="1131"/>
      <c r="N41" s="1131"/>
      <c r="O41" s="1144"/>
      <c r="P41" s="3213" t="str">
        <f>A41</f>
        <v>成交单价</v>
      </c>
      <c r="Q41" s="3213"/>
      <c r="R41" s="3208">
        <f>E41</f>
        <v>0</v>
      </c>
      <c r="S41" s="3208"/>
      <c r="T41" s="3208">
        <f>G41</f>
        <v>0</v>
      </c>
      <c r="U41" s="3208"/>
      <c r="V41" s="3208">
        <f>I41</f>
        <v>0</v>
      </c>
      <c r="W41" s="3208"/>
      <c r="X41" s="759"/>
      <c r="Y41" s="781"/>
      <c r="Z41" s="759"/>
      <c r="AA41" s="759"/>
      <c r="AB41" s="759"/>
      <c r="AC41" s="759"/>
    </row>
    <row r="42" spans="1:29" ht="1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213" t="str">
        <f>A42</f>
        <v>比较价值（元/平方米）</v>
      </c>
      <c r="Q42" s="3213"/>
      <c r="R42" s="3244" t="e">
        <f>ROUND(PRODUCT(R41,AA7:AA40),0)</f>
        <v>#DIV/0!</v>
      </c>
      <c r="S42" s="3244"/>
      <c r="T42" s="3244" t="e">
        <f>ROUND(PRODUCT(T41,AB7:AB40),0)</f>
        <v>#DIV/0!</v>
      </c>
      <c r="U42" s="3244"/>
      <c r="V42" s="3244" t="e">
        <f>ROUND(PRODUCT(V41,AC7:AC40),0)</f>
        <v>#DIV/0!</v>
      </c>
      <c r="W42" s="3244"/>
      <c r="X42" s="759"/>
      <c r="Y42" s="759"/>
      <c r="Z42" s="759"/>
      <c r="AA42" s="759"/>
      <c r="AB42" s="759"/>
      <c r="AC42" s="759"/>
    </row>
    <row r="43" spans="1:29" ht="15" thickBot="1">
      <c r="A43" s="492" t="s">
        <v>2670</v>
      </c>
      <c r="B43" s="493"/>
      <c r="C43" s="494" t="e">
        <f>R43</f>
        <v>#DIV/0!</v>
      </c>
      <c r="D43" s="494"/>
      <c r="E43" s="494"/>
      <c r="F43" s="494"/>
      <c r="G43" s="494"/>
      <c r="H43" s="494"/>
      <c r="I43" s="494"/>
      <c r="J43" s="494"/>
      <c r="K43" s="785"/>
      <c r="L43" s="1143"/>
      <c r="M43" s="1131"/>
      <c r="N43" s="1131"/>
      <c r="O43" s="1144"/>
      <c r="P43" s="3210" t="str">
        <f>A43</f>
        <v>估价对象XX用房的比较价值（楼面单价，元/平方米）</v>
      </c>
      <c r="Q43" s="3211"/>
      <c r="R43" s="3245" t="e">
        <f>ROUND(AVERAGE(R42:V42),0)</f>
        <v>#DIV/0!</v>
      </c>
      <c r="S43" s="3245"/>
      <c r="T43" s="3245"/>
      <c r="U43" s="3245"/>
      <c r="V43" s="3245"/>
      <c r="W43" s="324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2758</v>
      </c>
      <c r="B50" s="685" t="s">
        <v>2759</v>
      </c>
      <c r="C50" s="2706" t="s">
        <v>2760</v>
      </c>
      <c r="D50" s="2707" t="s">
        <v>2761</v>
      </c>
      <c r="E50" s="686" t="s">
        <v>2762</v>
      </c>
      <c r="F50" s="687" t="s">
        <v>2763</v>
      </c>
      <c r="G50" s="3196" t="s">
        <v>2764</v>
      </c>
      <c r="H50" s="3246"/>
      <c r="I50" s="1813" t="s">
        <v>2801</v>
      </c>
      <c r="J50" s="1813">
        <f>项目基本情况!F35</f>
        <v>0</v>
      </c>
      <c r="K50" s="2709" t="s">
        <v>2766</v>
      </c>
      <c r="L50" s="1106"/>
      <c r="M50" s="1144"/>
      <c r="N50" s="1144"/>
      <c r="O50" s="1144"/>
    </row>
    <row r="51" spans="1:17" s="692" customFormat="1">
      <c r="A51" s="688" t="s">
        <v>2767</v>
      </c>
      <c r="B51" s="689" t="e">
        <f>C43</f>
        <v>#DIV/0!</v>
      </c>
      <c r="C51" s="690">
        <v>1</v>
      </c>
      <c r="D51" s="1163">
        <v>1</v>
      </c>
      <c r="E51" s="690">
        <f>'数据-汇总表'!E8+'数据-汇总表'!E9</f>
        <v>44299.360000000001</v>
      </c>
      <c r="F51" s="691" t="e">
        <f t="shared" ref="F51:F60" si="15">ROUND(B51*E51/10000,0)</f>
        <v>#DIV/0!</v>
      </c>
      <c r="G51" s="3195"/>
      <c r="H51" s="3213"/>
      <c r="I51" s="942">
        <v>1</v>
      </c>
      <c r="J51" s="942">
        <v>1</v>
      </c>
      <c r="K51" s="1145"/>
      <c r="L51" s="941"/>
      <c r="M51" s="941"/>
      <c r="N51" s="941"/>
      <c r="O51" s="941"/>
    </row>
    <row r="52" spans="1:17" s="692" customFormat="1">
      <c r="A52" s="693" t="s">
        <v>2768</v>
      </c>
      <c r="B52" s="262" t="e">
        <f>ROUND($C$43*C52*D52,0)</f>
        <v>#DIV/0!</v>
      </c>
      <c r="C52" s="200">
        <f t="shared" ref="C52:C60" si="16">IF($C$50="北京市系数",I52,J52)</f>
        <v>0.8</v>
      </c>
      <c r="D52" s="1164">
        <v>0.25</v>
      </c>
      <c r="E52" s="694"/>
      <c r="F52" s="691" t="e">
        <f t="shared" si="15"/>
        <v>#DIV/0!</v>
      </c>
      <c r="G52" s="3247" t="s">
        <v>2769</v>
      </c>
      <c r="H52" s="1104" t="str">
        <f>项目基本情况!B37</f>
        <v>二级</v>
      </c>
      <c r="I52" s="942">
        <f>SUMIF(修正!A45:A56,H52,修正!B45:B56)</f>
        <v>0.8</v>
      </c>
      <c r="J52" s="943"/>
      <c r="K52" s="1144"/>
      <c r="L52" s="941"/>
      <c r="M52" s="941"/>
      <c r="N52" s="941"/>
      <c r="O52" s="941"/>
    </row>
    <row r="53" spans="1:17" s="692" customFormat="1">
      <c r="A53" s="693" t="s">
        <v>2770</v>
      </c>
      <c r="B53" s="262" t="e">
        <f t="shared" ref="B53:B60" si="17">ROUND($C$43*C53*D53,0)</f>
        <v>#DIV/0!</v>
      </c>
      <c r="C53" s="200">
        <f t="shared" si="16"/>
        <v>0.5</v>
      </c>
      <c r="D53" s="1164">
        <v>0.25</v>
      </c>
      <c r="E53" s="694"/>
      <c r="F53" s="691" t="e">
        <f t="shared" si="15"/>
        <v>#DIV/0!</v>
      </c>
      <c r="G53" s="3247"/>
      <c r="H53" s="1104" t="str">
        <f>项目基本情况!B37</f>
        <v>二级</v>
      </c>
      <c r="I53" s="942">
        <f>SUMIF(修正!A45:A56,H53,修正!C45:C56)</f>
        <v>0.5</v>
      </c>
      <c r="J53" s="943"/>
      <c r="K53" s="1145"/>
      <c r="L53" s="941"/>
      <c r="M53" s="941"/>
      <c r="N53" s="941"/>
      <c r="O53" s="941"/>
    </row>
    <row r="54" spans="1:17" s="692" customFormat="1">
      <c r="A54" s="693" t="s">
        <v>2771</v>
      </c>
      <c r="B54" s="262" t="e">
        <f t="shared" si="17"/>
        <v>#DIV/0!</v>
      </c>
      <c r="C54" s="200">
        <f t="shared" si="16"/>
        <v>0.36</v>
      </c>
      <c r="D54" s="1164">
        <v>0.25</v>
      </c>
      <c r="E54" s="694"/>
      <c r="F54" s="691" t="e">
        <f t="shared" si="15"/>
        <v>#DIV/0!</v>
      </c>
      <c r="G54" s="3247"/>
      <c r="H54" s="1104" t="str">
        <f>项目基本情况!B37</f>
        <v>二级</v>
      </c>
      <c r="I54" s="942">
        <f>SUMIF(修正!A45:A56,H54,修正!D45:D56)</f>
        <v>0.36</v>
      </c>
      <c r="J54" s="943"/>
      <c r="K54" s="1144"/>
      <c r="L54" s="941"/>
      <c r="M54" s="941"/>
      <c r="N54" s="941"/>
      <c r="O54" s="941"/>
    </row>
    <row r="55" spans="1:17" s="692" customFormat="1">
      <c r="A55" s="693" t="s">
        <v>2772</v>
      </c>
      <c r="B55" s="262" t="e">
        <f t="shared" si="17"/>
        <v>#DIV/0!</v>
      </c>
      <c r="C55" s="200">
        <f t="shared" si="16"/>
        <v>0.3</v>
      </c>
      <c r="D55" s="1164">
        <v>0.25</v>
      </c>
      <c r="E55" s="694"/>
      <c r="F55" s="691" t="e">
        <f t="shared" si="15"/>
        <v>#DIV/0!</v>
      </c>
      <c r="G55" s="3247"/>
      <c r="H55" s="1104" t="str">
        <f>项目基本情况!B37</f>
        <v>二级</v>
      </c>
      <c r="I55" s="942">
        <f>SUMIF(修正!A45:A56,H55,修正!E45:E56)</f>
        <v>0.3</v>
      </c>
      <c r="J55" s="943"/>
      <c r="K55" s="1145"/>
      <c r="L55" s="941"/>
      <c r="M55" s="941"/>
      <c r="N55" s="941"/>
      <c r="O55" s="941"/>
    </row>
    <row r="56" spans="1:17" s="692" customFormat="1">
      <c r="A56" s="693" t="s">
        <v>2773</v>
      </c>
      <c r="B56" s="262" t="e">
        <f t="shared" si="17"/>
        <v>#DIV/0!</v>
      </c>
      <c r="C56" s="200">
        <f t="shared" si="16"/>
        <v>0.3</v>
      </c>
      <c r="D56" s="1164">
        <v>0.25</v>
      </c>
      <c r="E56" s="261">
        <f>'数据-汇总表'!E11</f>
        <v>0</v>
      </c>
      <c r="F56" s="691" t="e">
        <f t="shared" si="15"/>
        <v>#DIV/0!</v>
      </c>
      <c r="G56" s="2710" t="s">
        <v>2774</v>
      </c>
      <c r="H56" s="1104" t="str">
        <f>项目基本情况!C37</f>
        <v>二级</v>
      </c>
      <c r="I56" s="942">
        <f>SUMIF(修正!A45:A56,H56,修正!F45:F56)</f>
        <v>0.3</v>
      </c>
      <c r="J56" s="943"/>
      <c r="K56" s="1144"/>
      <c r="L56" s="941"/>
      <c r="M56" s="941"/>
      <c r="N56" s="941"/>
      <c r="O56" s="941"/>
    </row>
    <row r="57" spans="1:17" s="692" customFormat="1">
      <c r="A57" s="693" t="s">
        <v>2775</v>
      </c>
      <c r="B57" s="262" t="e">
        <f t="shared" si="17"/>
        <v>#DIV/0!</v>
      </c>
      <c r="C57" s="200">
        <f t="shared" si="16"/>
        <v>0.3</v>
      </c>
      <c r="D57" s="1164">
        <v>0.25</v>
      </c>
      <c r="E57" s="261">
        <f>'数据-汇总表'!E12</f>
        <v>0</v>
      </c>
      <c r="F57" s="691" t="e">
        <f t="shared" si="15"/>
        <v>#DIV/0!</v>
      </c>
      <c r="G57" s="1109" t="s">
        <v>2776</v>
      </c>
      <c r="H57" s="1104" t="str">
        <f>IF(G57="商业",项目基本情况!B37,IF(G57="办公",项目基本情况!C37,IF(G57="住宅",项目基本情况!D37,项目基本情况!E37)))</f>
        <v>二级</v>
      </c>
      <c r="I57" s="942">
        <f>SUMIF(修正!A45:A56,H57,修正!G45:G56)</f>
        <v>0.3</v>
      </c>
      <c r="J57" s="943"/>
      <c r="K57" s="1145"/>
      <c r="L57" s="941"/>
      <c r="M57" s="941"/>
      <c r="N57" s="941"/>
      <c r="O57" s="941"/>
    </row>
    <row r="58" spans="1:17" s="692" customFormat="1">
      <c r="A58" s="693" t="s">
        <v>2777</v>
      </c>
      <c r="B58" s="262" t="e">
        <f t="shared" si="17"/>
        <v>#DIV/0!</v>
      </c>
      <c r="C58" s="200">
        <f t="shared" si="16"/>
        <v>0.25</v>
      </c>
      <c r="D58" s="1164">
        <v>0.25</v>
      </c>
      <c r="E58" s="261">
        <f>'数据-汇总表'!E13</f>
        <v>21580.2</v>
      </c>
      <c r="F58" s="691" t="e">
        <f t="shared" si="15"/>
        <v>#DIV/0!</v>
      </c>
      <c r="G58" s="1109" t="s">
        <v>2778</v>
      </c>
      <c r="H58" s="1104" t="str">
        <f>IF(G58="商业",项目基本情况!B37,IF(G58="办公",项目基本情况!C37,IF(G58="住宅",项目基本情况!D37,项目基本情况!E37)))</f>
        <v>二级</v>
      </c>
      <c r="I58" s="942">
        <f>SUMIF(修正!A45:A56,H58,修正!H45:H56)</f>
        <v>0.25</v>
      </c>
      <c r="J58" s="943"/>
      <c r="K58" s="1144"/>
      <c r="L58" s="941"/>
      <c r="M58" s="941"/>
      <c r="N58" s="941"/>
      <c r="O58" s="941"/>
    </row>
    <row r="59" spans="1:17" s="692" customFormat="1">
      <c r="A59" s="693" t="s">
        <v>2779</v>
      </c>
      <c r="B59" s="262" t="e">
        <f t="shared" si="17"/>
        <v>#DIV/0!</v>
      </c>
      <c r="C59" s="200">
        <f t="shared" si="16"/>
        <v>0.25</v>
      </c>
      <c r="D59" s="1164">
        <v>0.25</v>
      </c>
      <c r="E59" s="261">
        <f>'数据-汇总表'!E14</f>
        <v>0</v>
      </c>
      <c r="F59" s="691" t="e">
        <f t="shared" si="15"/>
        <v>#DIV/0!</v>
      </c>
      <c r="G59" s="2710" t="s">
        <v>2769</v>
      </c>
      <c r="H59" s="1104" t="str">
        <f>项目基本情况!B37</f>
        <v>二级</v>
      </c>
      <c r="I59" s="942">
        <f>SUMIF(修正!A45:A56,H59,修正!H45:H56)</f>
        <v>0.25</v>
      </c>
      <c r="J59" s="943"/>
      <c r="K59" s="1145"/>
      <c r="L59" s="941"/>
      <c r="M59" s="941"/>
      <c r="N59" s="941"/>
      <c r="O59" s="941"/>
    </row>
    <row r="60" spans="1:17" s="692" customFormat="1" ht="14.4" thickBot="1">
      <c r="A60" s="693" t="s">
        <v>2780</v>
      </c>
      <c r="B60" s="262" t="e">
        <f t="shared" si="17"/>
        <v>#DIV/0!</v>
      </c>
      <c r="C60" s="200">
        <f t="shared" si="16"/>
        <v>0.25</v>
      </c>
      <c r="D60" s="1164">
        <v>0.25</v>
      </c>
      <c r="E60" s="261">
        <f>'数据-汇总表'!E15</f>
        <v>0</v>
      </c>
      <c r="F60" s="691" t="e">
        <f t="shared" si="15"/>
        <v>#DIV/0!</v>
      </c>
      <c r="G60" s="2711" t="s">
        <v>2774</v>
      </c>
      <c r="H60" s="1114" t="str">
        <f>项目基本情况!C37</f>
        <v>二级</v>
      </c>
      <c r="I60" s="942">
        <f>SUMIF(修正!A45:A56,H60,修正!H45:H56)</f>
        <v>0.25</v>
      </c>
      <c r="J60" s="943"/>
      <c r="K60" s="1144"/>
      <c r="L60" s="941"/>
      <c r="M60" s="941"/>
      <c r="N60" s="941"/>
      <c r="O60" s="941"/>
    </row>
    <row r="61" spans="1:17" s="692" customFormat="1" ht="14.4" thickBot="1">
      <c r="A61" s="695" t="s">
        <v>2781</v>
      </c>
      <c r="B61" s="696" t="s">
        <v>28</v>
      </c>
      <c r="C61" s="696" t="s">
        <v>29</v>
      </c>
      <c r="D61" s="696" t="s">
        <v>1026</v>
      </c>
      <c r="E61" s="696">
        <f>IF(B41="楼面地价",SUM(E51:E60),'数据-汇总表'!D3)</f>
        <v>14193.330000000002</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2019-12-1</v>
      </c>
      <c r="D63" s="761">
        <f>EDATE(C63,-3)</f>
        <v>43709</v>
      </c>
      <c r="E63" s="761">
        <f>EDATE(D63,-3)</f>
        <v>43617</v>
      </c>
      <c r="F63" s="761">
        <f t="shared" ref="F63:O63" si="18">EDATE(E63,-3)</f>
        <v>43525</v>
      </c>
      <c r="G63" s="761">
        <f t="shared" si="18"/>
        <v>43435</v>
      </c>
      <c r="H63" s="761">
        <f t="shared" si="18"/>
        <v>43344</v>
      </c>
      <c r="I63" s="761">
        <f t="shared" si="18"/>
        <v>43252</v>
      </c>
      <c r="J63" s="761">
        <f t="shared" si="18"/>
        <v>43160</v>
      </c>
      <c r="K63" s="761">
        <f t="shared" si="18"/>
        <v>43070</v>
      </c>
      <c r="L63" s="761">
        <f t="shared" si="18"/>
        <v>42979</v>
      </c>
      <c r="M63" s="761">
        <f t="shared" si="18"/>
        <v>42887</v>
      </c>
      <c r="N63" s="761">
        <f t="shared" si="18"/>
        <v>42795</v>
      </c>
      <c r="O63" s="761">
        <f t="shared" si="18"/>
        <v>42705</v>
      </c>
    </row>
    <row r="64" spans="1:17" ht="22.2" thickBot="1">
      <c r="A64" s="763" t="s">
        <v>2674</v>
      </c>
      <c r="B64" s="759"/>
      <c r="C64" s="764"/>
      <c r="D64" s="764"/>
      <c r="E64" s="764"/>
      <c r="F64" s="765"/>
      <c r="G64" s="765"/>
      <c r="H64" s="764"/>
      <c r="I64" s="764"/>
      <c r="J64" s="764"/>
      <c r="K64" s="766"/>
      <c r="L64" s="767"/>
      <c r="M64" s="764"/>
      <c r="N64" s="764"/>
      <c r="O64" s="1159"/>
      <c r="P64" s="503"/>
      <c r="Q64" s="504"/>
    </row>
    <row r="65" spans="1:17" s="508" customFormat="1" ht="14.4">
      <c r="A65" s="2712" t="s">
        <v>2782</v>
      </c>
      <c r="B65" s="1358"/>
      <c r="C65" s="1571" t="str">
        <f>YEAR(C63)&amp;"-"&amp;ROUNDUP(MONTH(C63)/3,0)</f>
        <v>2019-4</v>
      </c>
      <c r="D65" s="1571" t="str">
        <f t="shared" ref="D65:O65" si="19">YEAR(D63)&amp;"-"&amp;ROUNDUP(MONTH(D63)/3,0)</f>
        <v>2019-3</v>
      </c>
      <c r="E65" s="1571" t="str">
        <f t="shared" si="19"/>
        <v>2019-2</v>
      </c>
      <c r="F65" s="1571" t="str">
        <f t="shared" si="19"/>
        <v>2019-1</v>
      </c>
      <c r="G65" s="1571" t="str">
        <f t="shared" si="19"/>
        <v>2018-4</v>
      </c>
      <c r="H65" s="1571" t="str">
        <f t="shared" si="19"/>
        <v>2018-3</v>
      </c>
      <c r="I65" s="1571" t="str">
        <f t="shared" si="19"/>
        <v>2018-2</v>
      </c>
      <c r="J65" s="1571" t="str">
        <f t="shared" si="19"/>
        <v>2018-1</v>
      </c>
      <c r="K65" s="1571" t="str">
        <f t="shared" si="19"/>
        <v>2017-4</v>
      </c>
      <c r="L65" s="1571" t="str">
        <f t="shared" si="19"/>
        <v>2017-3</v>
      </c>
      <c r="M65" s="1571" t="str">
        <f t="shared" si="19"/>
        <v>2017-2</v>
      </c>
      <c r="N65" s="1571" t="str">
        <f t="shared" si="19"/>
        <v>2017-1</v>
      </c>
      <c r="O65" s="1571" t="str">
        <f t="shared" si="19"/>
        <v>2016-4</v>
      </c>
      <c r="P65" s="507"/>
    </row>
    <row r="66" spans="1:17" s="117" customFormat="1" ht="30.75" customHeight="1">
      <c r="A66" s="2717" t="s">
        <v>2802</v>
      </c>
      <c r="B66" s="332" t="str">
        <f>"北京市平均增长率"&amp;TEXT(基准地价修正!P24,"0.00%")</f>
        <v>北京市平均增长率1.38%</v>
      </c>
      <c r="C66" s="603">
        <v>100</v>
      </c>
      <c r="D66" s="595"/>
      <c r="E66" s="595"/>
      <c r="F66" s="595"/>
      <c r="G66" s="595"/>
      <c r="H66" s="595"/>
      <c r="I66" s="595"/>
      <c r="J66" s="595"/>
      <c r="K66" s="595"/>
      <c r="L66" s="595"/>
      <c r="M66" s="1566"/>
      <c r="N66" s="1566"/>
      <c r="O66" s="1568"/>
      <c r="P66" s="504"/>
    </row>
    <row r="67" spans="1:17" s="117" customFormat="1" ht="15" thickBot="1">
      <c r="A67" s="515" t="s">
        <v>2585</v>
      </c>
      <c r="B67" s="516"/>
      <c r="C67" s="517"/>
      <c r="D67" s="518"/>
      <c r="E67" s="518"/>
      <c r="F67" s="518"/>
      <c r="G67" s="518"/>
      <c r="H67" s="518"/>
      <c r="I67" s="518"/>
      <c r="J67" s="518"/>
      <c r="K67" s="518"/>
      <c r="L67" s="518"/>
      <c r="M67" s="519"/>
      <c r="N67" s="519"/>
      <c r="O67" s="520"/>
      <c r="P67" s="504"/>
      <c r="Q67" s="504"/>
    </row>
    <row r="68" spans="1:17" s="117" customFormat="1" ht="14.4">
      <c r="A68" s="521" t="s">
        <v>2550</v>
      </c>
      <c r="B68" s="510"/>
      <c r="C68" s="522" t="s">
        <v>2652</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2588</v>
      </c>
      <c r="B70" s="528" t="s">
        <v>2554</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2557</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4"/>
      <c r="N94" s="1154"/>
      <c r="O94" s="1154"/>
      <c r="P94" s="558"/>
      <c r="Q94" s="559"/>
    </row>
    <row r="95" spans="1:17" ht="1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2691</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2750</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27" sqref="R27"/>
    </sheetView>
  </sheetViews>
  <sheetFormatPr defaultColWidth="12" defaultRowHeight="13.2"/>
  <cols>
    <col min="1" max="1" width="9.77734375" style="2789" customWidth="1"/>
    <col min="2" max="2" width="19.21875" style="2895" customWidth="1"/>
    <col min="3" max="4" width="12" style="2721"/>
    <col min="5" max="5" width="14.6640625" style="2721" customWidth="1"/>
    <col min="6" max="8" width="12" style="2721"/>
    <col min="9" max="9" width="12.21875" style="2721" bestFit="1" customWidth="1"/>
    <col min="10" max="10" width="12" style="2721"/>
    <col min="11" max="11" width="8.109375" style="2784" customWidth="1"/>
    <col min="12" max="12" width="12" style="2721"/>
    <col min="13" max="13" width="8.44140625" style="2721" customWidth="1"/>
    <col min="14" max="14" width="9.77734375" style="2721" customWidth="1"/>
    <col min="15" max="25" width="12" style="2721"/>
    <col min="26" max="26" width="9.33203125" style="2789" customWidth="1"/>
    <col min="27" max="32" width="9.33203125" style="1371" customWidth="1"/>
    <col min="33" max="36" width="9.33203125" style="2789" customWidth="1"/>
    <col min="37" max="38" width="9.33203125" style="2721" customWidth="1"/>
    <col min="39" max="16384" width="12" style="2721"/>
  </cols>
  <sheetData>
    <row r="1" spans="1:36" ht="31.2">
      <c r="A1" s="240" t="s">
        <v>2804</v>
      </c>
      <c r="B1" s="241"/>
      <c r="C1" s="245" t="s">
        <v>2805</v>
      </c>
      <c r="D1" s="388">
        <f>SUM(D29:D30,D33:D39)</f>
        <v>58621.919999999998</v>
      </c>
      <c r="E1" s="2718"/>
      <c r="F1" s="2718"/>
      <c r="G1" s="2718"/>
      <c r="H1" s="2718"/>
      <c r="I1" s="2718"/>
      <c r="J1" s="2718"/>
      <c r="K1" s="1369"/>
      <c r="L1" s="2719" t="s">
        <v>2806</v>
      </c>
      <c r="M1" s="1080">
        <f>SUMPRODUCT((区片价!B5:B9=I2)*(区片价!C3:F3=E2)*(区片价!C5:F9))</f>
        <v>0</v>
      </c>
      <c r="N1" s="1083">
        <f>SUMPRODUCT((因素修正幅度!B5:B9=I2)*(因素修正幅度!C3:F3=E2)*(因素修正幅度!C5:F9))</f>
        <v>0</v>
      </c>
      <c r="O1" s="2720"/>
      <c r="P1" s="2720"/>
      <c r="Q1" s="1369"/>
      <c r="R1" s="1601" t="s">
        <v>2807</v>
      </c>
      <c r="S1" s="1601" t="s">
        <v>2808</v>
      </c>
      <c r="T1" s="1601" t="s">
        <v>2809</v>
      </c>
      <c r="U1" s="1601" t="s">
        <v>2810</v>
      </c>
      <c r="V1" s="1601" t="s">
        <v>2811</v>
      </c>
      <c r="W1" s="1605"/>
      <c r="X1" s="1605"/>
      <c r="Y1" s="1605"/>
      <c r="Z1" s="1605"/>
      <c r="AA1" s="1605"/>
      <c r="AB1" s="1605"/>
      <c r="AC1" s="1606"/>
      <c r="AD1" s="1607"/>
      <c r="AE1" s="1607"/>
      <c r="AF1" s="1607"/>
      <c r="AG1" s="1607"/>
      <c r="AH1" s="1607"/>
      <c r="AI1" s="1607"/>
      <c r="AJ1" s="1608"/>
    </row>
    <row r="2" spans="1:36" ht="15.6">
      <c r="A2" s="245" t="s">
        <v>2812</v>
      </c>
      <c r="B2" s="248">
        <f ca="1">C26</f>
        <v>80020</v>
      </c>
      <c r="C2" s="2722" t="s">
        <v>2813</v>
      </c>
      <c r="D2" s="2723" t="s">
        <v>2814</v>
      </c>
      <c r="E2" s="2724" t="s">
        <v>1373</v>
      </c>
      <c r="F2" s="2723" t="s">
        <v>2815</v>
      </c>
      <c r="G2" s="2725" t="str">
        <f>IF(E2="商业",项目基本情况!B37,IF(E2="办公",项目基本情况!C37,IF(E2="住宅",项目基本情况!D37,项目基本情况!E37)))</f>
        <v>二级</v>
      </c>
      <c r="H2" s="2723" t="s">
        <v>2816</v>
      </c>
      <c r="I2" s="2725" t="str">
        <f>IF(E2="商业",项目基本情况!B38,IF(E2="办公",项目基本情况!C38,IF(E2="住宅",项目基本情况!D38,项目基本情况!E38)))</f>
        <v>Ⅱ—08</v>
      </c>
      <c r="J2" s="2726"/>
      <c r="K2" s="1369"/>
      <c r="L2" s="2727" t="s">
        <v>2817</v>
      </c>
      <c r="M2" s="1081">
        <f>SUMPRODUCT((区片价!B10:B28=I2)*(区片价!C3:F3=E2)*(区片价!C10:F28))</f>
        <v>24700</v>
      </c>
      <c r="N2" s="1083">
        <f>SUMPRODUCT((因素修正幅度!B10:B28=I2)*(因素修正幅度!C3:F3=E2)*(因素修正幅度!C10:F28))</f>
        <v>9.5000000000000001E-2</v>
      </c>
      <c r="O2" s="1369"/>
      <c r="P2" s="1369"/>
      <c r="Q2" s="1369"/>
      <c r="R2" s="1601">
        <v>1</v>
      </c>
      <c r="S2" s="1601">
        <f>ROUND(IF(G3&gt;1,IF(R2&lt;7,SUMPRODUCT((B93:B98=R2)*(C92:N92=G2)*(C93:N98)),SUMIF(C92:N92,G2,C100:N100)),IF(R2&lt;7,SUMPRODUCT((B102:B107=R2)*(C92:N92=G2)*(C102:N107)),SUMIF(C92:N92,G2,C109:N109))),4)</f>
        <v>1.9361999999999999</v>
      </c>
      <c r="T2" s="1601">
        <f ca="1">ROUND($C$5*$C$18*$C$19*$C$20*S2*$C$24,0)</f>
        <v>62215</v>
      </c>
      <c r="U2" s="1602">
        <f>'数据-基础表'!I13-'数据-基础表'!J13</f>
        <v>13929.76</v>
      </c>
      <c r="V2" s="1601">
        <f ca="1">ROUND(T2*U2/10000,0)</f>
        <v>86664</v>
      </c>
      <c r="W2" s="1605"/>
      <c r="X2" s="1605"/>
      <c r="Y2" s="1605"/>
      <c r="Z2" s="1605"/>
      <c r="AA2" s="1605"/>
      <c r="AB2" s="1605"/>
      <c r="AC2" s="1606"/>
      <c r="AD2" s="1607"/>
      <c r="AE2" s="1607"/>
      <c r="AF2" s="1607"/>
      <c r="AG2" s="1607"/>
      <c r="AH2" s="1607"/>
      <c r="AI2" s="1607"/>
      <c r="AJ2" s="1608"/>
    </row>
    <row r="3" spans="1:36" ht="15.6">
      <c r="A3" s="247" t="s">
        <v>2818</v>
      </c>
      <c r="B3" s="248">
        <f ca="1">ROUND(B2*10000/D1,0)</f>
        <v>13650</v>
      </c>
      <c r="C3" s="2722" t="s">
        <v>2819</v>
      </c>
      <c r="D3" s="2723" t="s">
        <v>2820</v>
      </c>
      <c r="E3" s="2728" t="s">
        <v>3086</v>
      </c>
      <c r="F3" s="2729" t="s">
        <v>3087</v>
      </c>
      <c r="G3" s="916">
        <f>IF(F3="宗地容积率",'数据-汇总表'!I4,IF(F3="估价对象容积率",'数据-汇总表'!I6,'数据-汇总表'!I7))</f>
        <v>3.12</v>
      </c>
      <c r="H3" s="198" t="s">
        <v>2821</v>
      </c>
      <c r="I3" s="944">
        <v>1</v>
      </c>
      <c r="J3" s="2726" t="s">
        <v>2822</v>
      </c>
      <c r="K3" s="1369"/>
      <c r="L3" s="2727" t="s">
        <v>2823</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1.4198</v>
      </c>
      <c r="T3" s="1601">
        <f t="shared" ref="T3:T16" ca="1" si="0">ROUND($C$5*$C$18*$C$19*$C$20*S3*$C$24,0)</f>
        <v>45621</v>
      </c>
      <c r="U3" s="1602">
        <f>'数据-基础表'!I14</f>
        <v>15038.23</v>
      </c>
      <c r="V3" s="1601">
        <f t="shared" ref="V3:V16" ca="1" si="1">ROUND(T3*U3/10000,0)</f>
        <v>68606</v>
      </c>
      <c r="W3" s="1605"/>
      <c r="X3" s="1605"/>
      <c r="Y3" s="1605"/>
      <c r="Z3" s="1605"/>
      <c r="AA3" s="1605"/>
      <c r="AB3" s="1605"/>
      <c r="AC3" s="1606"/>
      <c r="AD3" s="1607"/>
      <c r="AE3" s="1607"/>
      <c r="AF3" s="1607"/>
      <c r="AG3" s="1607"/>
      <c r="AH3" s="1607"/>
      <c r="AI3" s="1607"/>
      <c r="AJ3" s="1608"/>
    </row>
    <row r="4" spans="1:36" ht="15.6">
      <c r="A4" s="3268"/>
      <c r="B4" s="3269"/>
      <c r="C4" s="3269"/>
      <c r="D4" s="3270"/>
      <c r="E4" s="3270"/>
      <c r="F4" s="3270"/>
      <c r="G4" s="3270"/>
      <c r="H4" s="3270"/>
      <c r="I4" s="3270"/>
      <c r="J4" s="3271"/>
      <c r="K4" s="1369"/>
      <c r="L4" s="2727" t="s">
        <v>2824</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1.1594</v>
      </c>
      <c r="T4" s="1601">
        <f t="shared" ca="1" si="0"/>
        <v>37254</v>
      </c>
      <c r="U4" s="1602">
        <f>'数据-基础表'!I15</f>
        <v>15331.37</v>
      </c>
      <c r="V4" s="1601">
        <f t="shared" ca="1" si="1"/>
        <v>57115</v>
      </c>
      <c r="W4" s="1605"/>
      <c r="X4" s="1605"/>
      <c r="Y4" s="1605"/>
      <c r="Z4" s="1605"/>
      <c r="AA4" s="1605"/>
      <c r="AB4" s="1605"/>
      <c r="AC4" s="1606"/>
      <c r="AD4" s="1607"/>
      <c r="AE4" s="1607"/>
      <c r="AF4" s="1607"/>
      <c r="AG4" s="1607"/>
      <c r="AH4" s="1607"/>
      <c r="AI4" s="1607"/>
      <c r="AJ4" s="1608"/>
    </row>
    <row r="5" spans="1:36" s="2739" customFormat="1" ht="15.6" thickBot="1">
      <c r="A5" s="2730" t="s">
        <v>807</v>
      </c>
      <c r="B5" s="2731" t="s">
        <v>2825</v>
      </c>
      <c r="C5" s="917">
        <f>ROUND(IF(E2="商业",C6*C7+C16,(IF(E2="住宅",C6*C12+C16,C6+C16))),0)</f>
        <v>28407</v>
      </c>
      <c r="D5" s="1786">
        <f>ROUND(C6+C16,0)</f>
        <v>24700</v>
      </c>
      <c r="E5" s="1786"/>
      <c r="F5" s="2732"/>
      <c r="G5" s="2733"/>
      <c r="H5" s="2733"/>
      <c r="I5" s="2733"/>
      <c r="J5" s="2734"/>
      <c r="K5" s="2735"/>
      <c r="L5" s="2727" t="s">
        <v>2826</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0.96220000000000006</v>
      </c>
      <c r="T5" s="1601">
        <f t="shared" ca="1" si="0"/>
        <v>30918</v>
      </c>
      <c r="U5" s="1602"/>
      <c r="V5" s="1601">
        <f t="shared" ca="1" si="1"/>
        <v>0</v>
      </c>
      <c r="W5" s="1605"/>
      <c r="X5" s="1605"/>
      <c r="Y5" s="1605"/>
      <c r="Z5" s="1605"/>
      <c r="AA5" s="1605"/>
      <c r="AB5" s="1605"/>
      <c r="AC5" s="2736"/>
      <c r="AD5" s="2737"/>
      <c r="AE5" s="2737"/>
      <c r="AF5" s="2737"/>
      <c r="AG5" s="2737"/>
      <c r="AH5" s="2737"/>
      <c r="AI5" s="2737"/>
      <c r="AJ5" s="2738"/>
    </row>
    <row r="6" spans="1:36" ht="15.6" thickBot="1">
      <c r="A6" s="2740" t="s">
        <v>2827</v>
      </c>
      <c r="B6" s="2741" t="s">
        <v>2828</v>
      </c>
      <c r="C6" s="918">
        <f>SUMIF(L1:L12,G2,M1:M12)</f>
        <v>24700</v>
      </c>
      <c r="D6" s="2742" t="s">
        <v>2829</v>
      </c>
      <c r="E6" s="2743"/>
      <c r="F6" s="2743"/>
      <c r="G6" s="2744"/>
      <c r="H6" s="2744"/>
      <c r="I6" s="2744"/>
      <c r="J6" s="2745"/>
      <c r="K6" s="1841"/>
      <c r="L6" s="2727" t="s">
        <v>2830</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0.8417</v>
      </c>
      <c r="T6" s="1601">
        <f t="shared" ca="1" si="0"/>
        <v>27046</v>
      </c>
      <c r="U6" s="1602"/>
      <c r="V6" s="1601">
        <f t="shared" ca="1" si="1"/>
        <v>0</v>
      </c>
      <c r="W6" s="1605"/>
      <c r="X6" s="1605"/>
      <c r="Y6" s="1605"/>
      <c r="Z6" s="1605"/>
      <c r="AA6" s="1605"/>
      <c r="AB6" s="1605"/>
      <c r="AC6" s="2736"/>
      <c r="AD6" s="2737"/>
      <c r="AE6" s="2737"/>
      <c r="AF6" s="2737"/>
      <c r="AG6" s="2737"/>
      <c r="AH6" s="2737"/>
      <c r="AI6" s="2737"/>
      <c r="AJ6" s="2738"/>
    </row>
    <row r="7" spans="1:36" ht="24">
      <c r="A7" s="3252">
        <f>IF(E2="商业",IF(C8="不临58条商业街","",2),"")</f>
        <v>2</v>
      </c>
      <c r="B7" s="2746" t="s">
        <v>2831</v>
      </c>
      <c r="C7" s="919">
        <f>IF(C8="不临58条商业街",1,ROUND(1+(1.6*E8+1.2*E9+0.8*E10+0.4*E11)*C9,4))</f>
        <v>1.1500999999999999</v>
      </c>
      <c r="D7" s="2747" t="s">
        <v>2832</v>
      </c>
      <c r="E7" s="945">
        <v>160</v>
      </c>
      <c r="F7" s="2748"/>
      <c r="G7" s="2749"/>
      <c r="H7" s="2749"/>
      <c r="I7" s="2749"/>
      <c r="J7" s="2750"/>
      <c r="K7" s="1841"/>
      <c r="L7" s="2727" t="s">
        <v>2833</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0.76080000000000003</v>
      </c>
      <c r="T7" s="1601">
        <f t="shared" ca="1" si="0"/>
        <v>24446</v>
      </c>
      <c r="U7" s="1602"/>
      <c r="V7" s="1601">
        <f t="shared" ca="1" si="1"/>
        <v>0</v>
      </c>
      <c r="W7" s="1815" t="s">
        <v>2834</v>
      </c>
      <c r="X7" s="1603" t="str">
        <f>G2</f>
        <v>二级</v>
      </c>
      <c r="Y7" s="1603" t="s">
        <v>2835</v>
      </c>
      <c r="Z7" s="1604">
        <f>G3</f>
        <v>3.12</v>
      </c>
      <c r="AA7" s="1605"/>
      <c r="AB7" s="1605"/>
      <c r="AC7" s="1606"/>
      <c r="AD7" s="1607"/>
      <c r="AE7" s="1607"/>
      <c r="AF7" s="1607"/>
      <c r="AG7" s="1607"/>
      <c r="AH7" s="1607"/>
      <c r="AI7" s="1607"/>
      <c r="AJ7" s="1608"/>
    </row>
    <row r="8" spans="1:36" ht="15">
      <c r="A8" s="3272"/>
      <c r="B8" s="198" t="s">
        <v>2836</v>
      </c>
      <c r="C8" s="2751" t="s">
        <v>3088</v>
      </c>
      <c r="D8" s="920" t="s">
        <v>139</v>
      </c>
      <c r="E8" s="921">
        <f>ROUND(C11/E7,4)</f>
        <v>9.3799999999999994E-2</v>
      </c>
      <c r="F8" s="2752" t="s">
        <v>2837</v>
      </c>
      <c r="G8" s="2753"/>
      <c r="H8" s="2753"/>
      <c r="I8" s="2753"/>
      <c r="J8" s="2754"/>
      <c r="K8" s="1369"/>
      <c r="L8" s="2727" t="s">
        <v>2838</v>
      </c>
      <c r="M8" s="1081">
        <f>SUMPRODUCT((区片价!B206:B244=I2)*(区片价!C3:F3=E2)*(区片价!C206:F244))</f>
        <v>0</v>
      </c>
      <c r="N8" s="1083">
        <f>SUMPRODUCT((因素修正幅度!B206:B244=I2)*(因素修正幅度!C3:F3=E2)*(因素修正幅度!C206:F244))</f>
        <v>0</v>
      </c>
      <c r="O8" s="1369"/>
      <c r="P8" s="1369"/>
      <c r="Q8" s="1369"/>
      <c r="R8" s="1601">
        <v>7</v>
      </c>
      <c r="S8" s="1602"/>
      <c r="T8" s="1601">
        <f t="shared" ca="1" si="0"/>
        <v>0</v>
      </c>
      <c r="U8" s="1602"/>
      <c r="V8" s="1601">
        <f t="shared" ca="1" si="1"/>
        <v>0</v>
      </c>
      <c r="W8" s="3265" t="s">
        <v>2839</v>
      </c>
      <c r="X8" s="3266"/>
      <c r="Y8" s="1609" t="s">
        <v>2840</v>
      </c>
      <c r="Z8" s="1609" t="s">
        <v>2841</v>
      </c>
      <c r="AA8" s="1609" t="s">
        <v>2842</v>
      </c>
      <c r="AB8" s="1609" t="s">
        <v>2843</v>
      </c>
      <c r="AC8" s="1609" t="s">
        <v>2844</v>
      </c>
      <c r="AD8" s="1609" t="s">
        <v>2845</v>
      </c>
      <c r="AE8" s="1609" t="s">
        <v>2846</v>
      </c>
      <c r="AF8" s="1609" t="s">
        <v>2847</v>
      </c>
      <c r="AG8" s="1609" t="s">
        <v>2848</v>
      </c>
      <c r="AH8" s="1609" t="s">
        <v>2849</v>
      </c>
      <c r="AI8" s="1609" t="s">
        <v>2850</v>
      </c>
      <c r="AJ8" s="1609" t="s">
        <v>2851</v>
      </c>
    </row>
    <row r="9" spans="1:36" ht="15">
      <c r="A9" s="3272"/>
      <c r="B9" s="198" t="s">
        <v>2852</v>
      </c>
      <c r="C9" s="922">
        <f>SUMIF(修正!C59:C119,C8,修正!E59:E119)</f>
        <v>0.4</v>
      </c>
      <c r="D9" s="200" t="s">
        <v>140</v>
      </c>
      <c r="E9" s="200">
        <f>ROUND(C11/E7,4)</f>
        <v>9.3799999999999994E-2</v>
      </c>
      <c r="F9" s="2752" t="s">
        <v>2853</v>
      </c>
      <c r="G9" s="2753"/>
      <c r="H9" s="2753"/>
      <c r="I9" s="2753"/>
      <c r="J9" s="2754"/>
      <c r="K9" s="1369"/>
      <c r="L9" s="2727" t="s">
        <v>2854</v>
      </c>
      <c r="M9" s="1081">
        <f>SUMPRODUCT((区片价!B245:B289=I2)*(区片价!C3:F3=E2)*(区片价!C245:F289))</f>
        <v>0</v>
      </c>
      <c r="N9" s="1083">
        <f>SUMPRODUCT((因素修正幅度!B245:B289=I2)*(因素修正幅度!C3:F3=E2)*(因素修正幅度!C245:F289))</f>
        <v>0</v>
      </c>
      <c r="O9" s="1369"/>
      <c r="P9" s="1369"/>
      <c r="Q9" s="1369"/>
      <c r="R9" s="1601">
        <v>8</v>
      </c>
      <c r="S9" s="1602"/>
      <c r="T9" s="1601">
        <f t="shared" ca="1" si="0"/>
        <v>0</v>
      </c>
      <c r="U9" s="1602"/>
      <c r="V9" s="1601">
        <f t="shared" ca="1" si="1"/>
        <v>0</v>
      </c>
      <c r="W9" s="3267" t="s">
        <v>2855</v>
      </c>
      <c r="X9" s="1610" t="s">
        <v>2856</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72"/>
      <c r="B10" s="198" t="s">
        <v>2857</v>
      </c>
      <c r="C10" s="200">
        <f>SUMIF(修正!C59:C119,C8,修正!F59:F119)</f>
        <v>60</v>
      </c>
      <c r="D10" s="200" t="s">
        <v>141</v>
      </c>
      <c r="E10" s="200">
        <f>ROUND(C11/E7,4)</f>
        <v>9.3799999999999994E-2</v>
      </c>
      <c r="F10" s="2752" t="s">
        <v>2858</v>
      </c>
      <c r="G10" s="2753"/>
      <c r="H10" s="2753"/>
      <c r="I10" s="2753"/>
      <c r="J10" s="2754"/>
      <c r="K10" s="1369"/>
      <c r="L10" s="2727" t="s">
        <v>2859</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f t="shared" ca="1" si="0"/>
        <v>0</v>
      </c>
      <c r="U10" s="1602"/>
      <c r="V10" s="1601">
        <f t="shared" ca="1" si="1"/>
        <v>0</v>
      </c>
      <c r="W10" s="3267"/>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72"/>
      <c r="B11" s="2755" t="s">
        <v>2860</v>
      </c>
      <c r="C11" s="923">
        <f>C10/4</f>
        <v>15</v>
      </c>
      <c r="D11" s="923" t="s">
        <v>142</v>
      </c>
      <c r="E11" s="923">
        <f>ROUND(C11/E7,4)</f>
        <v>9.3799999999999994E-2</v>
      </c>
      <c r="F11" s="2756" t="s">
        <v>2861</v>
      </c>
      <c r="G11" s="2757"/>
      <c r="H11" s="2757"/>
      <c r="I11" s="2757"/>
      <c r="J11" s="2758"/>
      <c r="K11" s="1369"/>
      <c r="L11" s="2727" t="s">
        <v>2862</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f t="shared" ca="1" si="0"/>
        <v>0</v>
      </c>
      <c r="U11" s="1602"/>
      <c r="V11" s="1601">
        <f t="shared" ca="1" si="1"/>
        <v>0</v>
      </c>
      <c r="W11" s="3267" t="s">
        <v>2863</v>
      </c>
      <c r="X11" s="1613" t="s">
        <v>2864</v>
      </c>
      <c r="Y11" s="1614">
        <f>$G$3</f>
        <v>3.12</v>
      </c>
      <c r="Z11" s="1614">
        <f t="shared" ref="Z11:AJ11" si="3">$G$3</f>
        <v>3.12</v>
      </c>
      <c r="AA11" s="1614">
        <f t="shared" si="3"/>
        <v>3.12</v>
      </c>
      <c r="AB11" s="1614">
        <f t="shared" si="3"/>
        <v>3.12</v>
      </c>
      <c r="AC11" s="1614">
        <f t="shared" si="3"/>
        <v>3.12</v>
      </c>
      <c r="AD11" s="1614">
        <f t="shared" si="3"/>
        <v>3.12</v>
      </c>
      <c r="AE11" s="1614">
        <f t="shared" si="3"/>
        <v>3.12</v>
      </c>
      <c r="AF11" s="1614">
        <f t="shared" si="3"/>
        <v>3.12</v>
      </c>
      <c r="AG11" s="1614">
        <f t="shared" si="3"/>
        <v>3.12</v>
      </c>
      <c r="AH11" s="1614">
        <f t="shared" si="3"/>
        <v>3.12</v>
      </c>
      <c r="AI11" s="1614">
        <f t="shared" si="3"/>
        <v>3.12</v>
      </c>
      <c r="AJ11" s="1614">
        <f t="shared" si="3"/>
        <v>3.12</v>
      </c>
    </row>
    <row r="12" spans="1:36" ht="25.8" thickBot="1">
      <c r="A12" s="3252" t="s">
        <v>2865</v>
      </c>
      <c r="B12" s="2759" t="s">
        <v>2866</v>
      </c>
      <c r="C12" s="919">
        <f>ROUND(C15*D15*E15*F15*G15*H15*I15*J15,4)</f>
        <v>1</v>
      </c>
      <c r="D12" s="2760" t="s">
        <v>2867</v>
      </c>
      <c r="E12" s="2761"/>
      <c r="F12" s="2761"/>
      <c r="G12" s="2762"/>
      <c r="H12" s="2762"/>
      <c r="I12" s="2762"/>
      <c r="J12" s="2763"/>
      <c r="K12" s="1369"/>
      <c r="L12" s="2764" t="s">
        <v>2868</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f t="shared" ca="1" si="0"/>
        <v>0</v>
      </c>
      <c r="U12" s="1602"/>
      <c r="V12" s="1601">
        <f t="shared" ca="1" si="1"/>
        <v>0</v>
      </c>
      <c r="W12" s="3267"/>
      <c r="X12" s="1615" t="s">
        <v>2869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73"/>
      <c r="B13" s="2765" t="s">
        <v>2870</v>
      </c>
      <c r="C13" s="2766" t="s">
        <v>2871</v>
      </c>
      <c r="D13" s="1807" t="s">
        <v>2872</v>
      </c>
      <c r="E13" s="1807" t="s">
        <v>2873</v>
      </c>
      <c r="F13" s="30" t="s">
        <v>2874</v>
      </c>
      <c r="G13" s="2767" t="s">
        <v>2875</v>
      </c>
      <c r="H13" s="2767" t="s">
        <v>2875</v>
      </c>
      <c r="I13" s="2767" t="s">
        <v>2875</v>
      </c>
      <c r="J13" s="2768" t="s">
        <v>2875</v>
      </c>
      <c r="K13" s="1369"/>
      <c r="L13" s="1369"/>
      <c r="M13" s="1369"/>
      <c r="N13" s="1369"/>
      <c r="O13" s="1369"/>
      <c r="P13" s="1369"/>
      <c r="Q13" s="1369"/>
      <c r="R13" s="1601">
        <v>12</v>
      </c>
      <c r="S13" s="1602"/>
      <c r="T13" s="1601">
        <f t="shared" ca="1" si="0"/>
        <v>0</v>
      </c>
      <c r="U13" s="1602"/>
      <c r="V13" s="1601">
        <f t="shared" ca="1" si="1"/>
        <v>0</v>
      </c>
      <c r="W13" s="3267"/>
      <c r="X13" s="1615"/>
      <c r="Y13" s="1612">
        <f>(-0.163*(Y12^2)-0.59*Y12+7617)*(10^(-4))/Y11</f>
        <v>0.24413461538461539</v>
      </c>
      <c r="Z13" s="1612">
        <f t="shared" ref="Z13:AJ13" si="5">(-0.163*(Z12^2)-0.59*Z12+7617)*(10^(-4))/Z11</f>
        <v>0.24413461538461539</v>
      </c>
      <c r="AA13" s="1612">
        <f t="shared" si="5"/>
        <v>0.24413461538461539</v>
      </c>
      <c r="AB13" s="1612">
        <f t="shared" si="5"/>
        <v>0.24413461538461539</v>
      </c>
      <c r="AC13" s="1612">
        <f t="shared" si="5"/>
        <v>0.24413461538461539</v>
      </c>
      <c r="AD13" s="1612">
        <f t="shared" si="5"/>
        <v>0.24413461538461539</v>
      </c>
      <c r="AE13" s="1612">
        <f t="shared" si="5"/>
        <v>0.24413461538461539</v>
      </c>
      <c r="AF13" s="1612">
        <f t="shared" si="5"/>
        <v>0.24413461538461539</v>
      </c>
      <c r="AG13" s="1612">
        <f t="shared" si="5"/>
        <v>0.24413461538461539</v>
      </c>
      <c r="AH13" s="1612">
        <f t="shared" si="5"/>
        <v>0.24413461538461539</v>
      </c>
      <c r="AI13" s="1612">
        <f t="shared" si="5"/>
        <v>0.24413461538461539</v>
      </c>
      <c r="AJ13" s="1612">
        <f t="shared" si="5"/>
        <v>0.24413461538461539</v>
      </c>
    </row>
    <row r="14" spans="1:36" ht="15">
      <c r="A14" s="3273"/>
      <c r="B14" s="2769"/>
      <c r="C14" s="2770"/>
      <c r="D14" s="2771"/>
      <c r="E14" s="2771"/>
      <c r="F14" s="2772"/>
      <c r="G14" s="2773" t="s">
        <v>2876</v>
      </c>
      <c r="H14" s="2774"/>
      <c r="I14" s="2775"/>
      <c r="J14" s="2776"/>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thickBot="1">
      <c r="A15" s="3274"/>
      <c r="B15" s="2777" t="s">
        <v>2877</v>
      </c>
      <c r="C15" s="229">
        <f>IF(C14="有",1.1,1)</f>
        <v>1</v>
      </c>
      <c r="D15" s="229">
        <f>IF(D14="有",1.1,1)</f>
        <v>1</v>
      </c>
      <c r="E15" s="229">
        <f>IF(E14="有",1.1,1)</f>
        <v>1</v>
      </c>
      <c r="F15" s="229">
        <f>IF(F14="500米范围内",1.2,IF(F14="500-1000米",1.1,1))</f>
        <v>1</v>
      </c>
      <c r="G15" s="946">
        <v>1</v>
      </c>
      <c r="H15" s="946">
        <v>1</v>
      </c>
      <c r="I15" s="946">
        <v>1</v>
      </c>
      <c r="J15" s="947">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52" t="s">
        <v>2882</v>
      </c>
      <c r="B16" s="2746" t="s">
        <v>2883</v>
      </c>
      <c r="C16" s="2933">
        <f>ROUND(IF(F17="与级别开发程度一致",0,(G17-E17)/C17),0)</f>
        <v>0</v>
      </c>
      <c r="D16" s="3263" t="s">
        <v>2887</v>
      </c>
      <c r="E16" s="3264"/>
      <c r="F16" s="3263" t="s">
        <v>2884</v>
      </c>
      <c r="G16" s="3264"/>
      <c r="H16" s="2780" t="s">
        <v>3079</v>
      </c>
      <c r="I16" s="2780" t="s">
        <v>3080</v>
      </c>
      <c r="J16" s="2937" t="s">
        <v>3081</v>
      </c>
      <c r="K16" s="2780" t="s">
        <v>3082</v>
      </c>
      <c r="L16" s="2780" t="s">
        <v>3083</v>
      </c>
      <c r="M16" s="2780" t="s">
        <v>3084</v>
      </c>
      <c r="N16" s="2780" t="s">
        <v>3085</v>
      </c>
      <c r="O16" s="2781" t="s">
        <v>3090</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7" thickBot="1">
      <c r="A17" s="3253"/>
      <c r="B17" s="2944" t="s">
        <v>2886</v>
      </c>
      <c r="C17" s="2945">
        <f>SUMPRODUCT((修正!A2:A5=E2)*(修正!B1:M1=G2)*(修正!B2:M5))</f>
        <v>3.5</v>
      </c>
      <c r="D17" s="229" t="str">
        <f>IF(OR(G2="八级",G2="九级",G2="十级",G2="十一级",G2="十二级"),"五通一平","七通一平")</f>
        <v>七通一平</v>
      </c>
      <c r="E17" s="2934">
        <f>SUMPRODUCT((修正!B1:M1=G2)*(修正!B15:M15))</f>
        <v>375</v>
      </c>
      <c r="F17" s="2935" t="s">
        <v>3089</v>
      </c>
      <c r="G17" s="2936">
        <f>SUM(H17:O17)</f>
        <v>375</v>
      </c>
      <c r="H17" s="2945">
        <f>SUMPRODUCT((七通一平=H16)*(修正!B1:M1=G2)*(修正!B6:M14))</f>
        <v>80</v>
      </c>
      <c r="I17" s="2945">
        <f>SUMPRODUCT((七通一平=I16)*(修正!B1:M1=G2)*(修正!B6:M14))</f>
        <v>70</v>
      </c>
      <c r="J17" s="2946">
        <f>SUMPRODUCT((七通一平=J16)*(修正!B1:M1=G2)*(修正!B6:M14))</f>
        <v>20</v>
      </c>
      <c r="K17" s="2945">
        <f>SUMPRODUCT((七通一平=K16)*(修正!B1:M1=G2)*(修正!B6:M14))</f>
        <v>30</v>
      </c>
      <c r="L17" s="2945">
        <f>SUMPRODUCT((七通一平=L16)*(修正!B1:M1=G2)*(修正!B6:M14))</f>
        <v>45</v>
      </c>
      <c r="M17" s="2945">
        <f>SUMPRODUCT((七通一平=M16)*(修正!B1:M1=G2)*(修正!B6:M14))</f>
        <v>60</v>
      </c>
      <c r="N17" s="2945">
        <f>SUMPRODUCT((七通一平=N16)*(修正!B1:M1=G2)*(修正!B6:M14))</f>
        <v>50</v>
      </c>
      <c r="O17" s="2947">
        <f>SUMPRODUCT((七通一平=O16)*(修正!B1:M1=G2)*(修正!B6:M14))</f>
        <v>20</v>
      </c>
      <c r="Q17" s="1369"/>
      <c r="R17" s="1369"/>
      <c r="S17" s="1369"/>
      <c r="T17" s="1369"/>
      <c r="U17" s="1369"/>
      <c r="V17" s="1369"/>
      <c r="W17" s="1369"/>
      <c r="X17" s="1369"/>
      <c r="Y17" s="1369"/>
      <c r="Z17" s="1370"/>
      <c r="AE17" s="2784"/>
      <c r="AF17" s="2784"/>
      <c r="AG17" s="2721"/>
      <c r="AH17" s="2721"/>
      <c r="AI17" s="2721"/>
      <c r="AJ17" s="2721"/>
    </row>
    <row r="18" spans="1:37" s="2739" customFormat="1" ht="15" thickBot="1">
      <c r="A18" s="2938" t="s">
        <v>808</v>
      </c>
      <c r="B18" s="2939" t="s">
        <v>2889</v>
      </c>
      <c r="C18" s="2940">
        <f>SUMIF(修正!C18:C39,E3,修正!E18:E39)</f>
        <v>1</v>
      </c>
      <c r="D18" s="2941"/>
      <c r="E18" s="2942"/>
      <c r="F18" s="2942"/>
      <c r="G18" s="2942"/>
      <c r="H18" s="2942"/>
      <c r="I18" s="2942"/>
      <c r="J18" s="2943"/>
      <c r="K18" s="1376"/>
      <c r="O18" s="1374"/>
      <c r="P18" s="1374"/>
      <c r="Q18" s="1375"/>
      <c r="R18" s="1375"/>
      <c r="S18" s="1375"/>
      <c r="T18" s="1370"/>
      <c r="U18" s="1370"/>
      <c r="V18" s="1370"/>
      <c r="W18" s="1369"/>
      <c r="X18" s="1369"/>
      <c r="Y18" s="1369"/>
      <c r="Z18" s="1376"/>
      <c r="AA18" s="1377"/>
      <c r="AB18" s="1377"/>
      <c r="AC18" s="1377"/>
      <c r="AD18" s="1377"/>
      <c r="AE18" s="1371"/>
      <c r="AF18" s="1371"/>
      <c r="AG18" s="2789"/>
      <c r="AH18" s="2789"/>
      <c r="AI18" s="2789"/>
    </row>
    <row r="19" spans="1:37" s="2739" customFormat="1" ht="29.4" thickBot="1">
      <c r="A19" s="2785" t="s">
        <v>809</v>
      </c>
      <c r="B19" s="2786" t="s">
        <v>2890</v>
      </c>
      <c r="C19" s="924">
        <f>ROUND(IF(H19="按公示增长率计算",SUMPRODUCT((地价!A3:A28=YEAR(G19)&amp;"-"&amp;ROUNDUP(MONTH(G19)/3,0))*(地价!X2:AB2=E2)*(地价!X3:AB28)),IF(H19="地价指数",M20/M19,(1+I19)^O19)),4)</f>
        <v>1.3643000000000001</v>
      </c>
      <c r="D19" s="2790" t="s">
        <v>2891</v>
      </c>
      <c r="E19" s="925">
        <v>41640</v>
      </c>
      <c r="F19" s="2790" t="s">
        <v>2892</v>
      </c>
      <c r="G19" s="926">
        <f>'数据-取费表'!B2</f>
        <v>43802</v>
      </c>
      <c r="H19" s="2791" t="s">
        <v>3091</v>
      </c>
      <c r="I19" s="927" t="str">
        <f>IF(H19="季度增幅（自定义）",SUMIF(N21:N24,E2,O21:O24),"")</f>
        <v/>
      </c>
      <c r="J19" s="2788"/>
      <c r="K19" s="1376"/>
      <c r="L19" s="2792" t="s">
        <v>2893</v>
      </c>
      <c r="M19" s="1733">
        <f>ROUND(SUMIF(地价!B2:F2,E2,地价!B28:F28),0)</f>
        <v>258</v>
      </c>
      <c r="N19" s="2793" t="s">
        <v>2894</v>
      </c>
      <c r="O19" s="928">
        <f>ROUNDDOWN(DATEDIF(E19,G19,"M")/3,0)</f>
        <v>23</v>
      </c>
      <c r="P19" s="1373"/>
      <c r="Q19" s="1375"/>
      <c r="R19" s="1375"/>
      <c r="S19" s="1375"/>
      <c r="T19" s="1370"/>
      <c r="U19" s="1370"/>
      <c r="V19" s="1370"/>
      <c r="W19" s="1369"/>
      <c r="X19" s="1369"/>
      <c r="Y19" s="1369"/>
      <c r="Z19" s="1376"/>
      <c r="AA19" s="1377"/>
      <c r="AB19" s="1377"/>
      <c r="AC19" s="1377"/>
      <c r="AD19" s="1377"/>
      <c r="AE19" s="1377"/>
      <c r="AF19" s="2794"/>
      <c r="AG19" s="2795"/>
      <c r="AH19" s="2789"/>
      <c r="AI19" s="2796"/>
      <c r="AJ19" s="2796"/>
      <c r="AK19" s="2796"/>
    </row>
    <row r="20" spans="1:37" s="2739" customFormat="1" ht="29.4" thickBot="1">
      <c r="A20" s="2797" t="s">
        <v>810</v>
      </c>
      <c r="B20" s="2798" t="s">
        <v>2895</v>
      </c>
      <c r="C20" s="929">
        <f ca="1">ROUND(POWER(1+G20,J20-I20)*(POWER(1+G20,I20)-1)/(POWER(1+G20,J20)-1),4)</f>
        <v>0.82909999999999995</v>
      </c>
      <c r="D20" s="2799" t="s">
        <v>2896</v>
      </c>
      <c r="E20" s="1767">
        <f ca="1">存贷款利率!D4/100</f>
        <v>4.3499999999999997E-2</v>
      </c>
      <c r="F20" s="2799" t="s">
        <v>2888</v>
      </c>
      <c r="G20" s="934">
        <f ca="1">SUMIF(M26:P26,E2,M28:P28)</f>
        <v>5.3999999999999999E-2</v>
      </c>
      <c r="H20" s="2799" t="s">
        <v>2897</v>
      </c>
      <c r="I20" s="935">
        <f>SUMIF('数据-取费表'!C6:C15,E2,'数据-取费表'!F6:F15)/COUNTIF('数据-取费表'!C6:C15,E2)</f>
        <v>24.75</v>
      </c>
      <c r="J20" s="936">
        <f>IF(E2="住宅",70,IF(E2="商业",40,50))</f>
        <v>40</v>
      </c>
      <c r="K20" s="1376"/>
      <c r="L20" s="2800" t="s">
        <v>2898</v>
      </c>
      <c r="M20" s="1734">
        <f>ROUND(SUMPRODUCT((地价!A4:A28=YEAR(G19)&amp;"-"&amp;ROUNDUP(MONTH(G19)/3,0))*(地价!B2:F2=E2)*(地价!B4:F28)),0)</f>
        <v>352</v>
      </c>
      <c r="N20" s="2801" t="s">
        <v>2899</v>
      </c>
      <c r="O20" s="2802" t="s">
        <v>2900</v>
      </c>
      <c r="P20" s="2803" t="s">
        <v>2901</v>
      </c>
      <c r="R20" s="1375"/>
      <c r="S20" s="1375"/>
      <c r="T20" s="1370"/>
      <c r="U20" s="1370"/>
      <c r="V20" s="1370"/>
      <c r="W20" s="1369"/>
      <c r="X20" s="1369"/>
      <c r="Y20" s="1369"/>
      <c r="Z20" s="1376"/>
      <c r="AA20" s="1377"/>
      <c r="AB20" s="1377"/>
      <c r="AC20" s="1377"/>
      <c r="AD20" s="1377"/>
      <c r="AE20" s="1377"/>
      <c r="AF20" s="1377"/>
    </row>
    <row r="21" spans="1:37" s="2739" customFormat="1" ht="14.4">
      <c r="A21" s="2804" t="s">
        <v>811</v>
      </c>
      <c r="B21" s="2805" t="s">
        <v>2902</v>
      </c>
      <c r="C21" s="937">
        <f>IF(B21="容积率修正",IF(G3&lt;=10,D22,J22),C23)</f>
        <v>1.9361999999999999</v>
      </c>
      <c r="D21" s="2806"/>
      <c r="E21" s="2806"/>
      <c r="F21" s="2806"/>
      <c r="G21" s="2806"/>
      <c r="H21" s="2806"/>
      <c r="I21" s="2806"/>
      <c r="J21" s="2807"/>
      <c r="K21" s="1376"/>
      <c r="N21" s="2808" t="s">
        <v>2903</v>
      </c>
      <c r="O21" s="1560"/>
      <c r="P21" s="1561">
        <f>SUMPRODUCT((地价!A3:A28=YEAR(G19)&amp;"-"&amp;ROUNDUP(MONTH(G19)/3,0))*(地价!AD2:AH2=N21)*(地价!AD3:AH28))</f>
        <v>1.41E-2</v>
      </c>
      <c r="R21" s="1375"/>
      <c r="S21" s="1375"/>
      <c r="T21" s="1370"/>
      <c r="U21" s="1370"/>
      <c r="V21" s="1370"/>
      <c r="W21" s="1369"/>
      <c r="X21" s="1369"/>
      <c r="Y21" s="1369"/>
      <c r="Z21" s="1376"/>
      <c r="AA21" s="1377"/>
      <c r="AB21" s="1377"/>
      <c r="AC21" s="1377"/>
      <c r="AD21" s="1377"/>
      <c r="AE21" s="1377"/>
      <c r="AF21" s="1377"/>
    </row>
    <row r="22" spans="1:37" s="2739" customFormat="1" ht="14.4">
      <c r="A22" s="2665" t="s">
        <v>2904</v>
      </c>
      <c r="B22" s="2809" t="s">
        <v>2905</v>
      </c>
      <c r="C22" s="1809" t="s">
        <v>2906</v>
      </c>
      <c r="D22" s="1809">
        <f>IF(E22=G22,F22,IF(G3&lt;=10,ROUND(F22+(H22-F22)*(G3-E22)/(G22-E22),4),"——"))</f>
        <v>1.0297000000000001</v>
      </c>
      <c r="E22" s="916">
        <f>ROUNDDOWN(G3,1)</f>
        <v>3.1</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1.0314000000000001</v>
      </c>
      <c r="G22" s="916">
        <f>ROUNDUP(G3,1)</f>
        <v>3.2</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1.0229999999999999</v>
      </c>
      <c r="I22" s="1809" t="s">
        <v>155</v>
      </c>
      <c r="J22" s="938" t="str">
        <f>IF(G3&gt;10,D113,"——")</f>
        <v>——</v>
      </c>
      <c r="K22" s="1376"/>
      <c r="N22" s="2808" t="s">
        <v>2907</v>
      </c>
      <c r="O22" s="1560"/>
      <c r="P22" s="1561">
        <f>SUMPRODUCT((地价!A3:A28=YEAR(G19)&amp;"-"&amp;ROUNDUP(MONTH(G19)/3,0))*(地价!AD2:AH2=N22)*(地价!AD3:AH28))</f>
        <v>1.41E-2</v>
      </c>
      <c r="R22" s="1375"/>
      <c r="S22" s="1375"/>
      <c r="T22" s="1370"/>
      <c r="U22" s="1370"/>
      <c r="V22" s="1370"/>
      <c r="W22" s="1369"/>
      <c r="X22" s="1369"/>
      <c r="Y22" s="1369"/>
      <c r="Z22" s="1376"/>
      <c r="AA22" s="1377"/>
      <c r="AB22" s="1377"/>
      <c r="AC22" s="1377"/>
      <c r="AD22" s="1377"/>
      <c r="AE22" s="1377"/>
      <c r="AF22" s="1377"/>
    </row>
    <row r="23" spans="1:37" ht="29.4" thickBot="1">
      <c r="A23" s="2665" t="s">
        <v>2908</v>
      </c>
      <c r="B23" s="2810" t="s">
        <v>2909</v>
      </c>
      <c r="C23" s="1013">
        <f>ROUND(IF(G3&gt;1,IF(I3&lt;7,SUMPRODUCT((B93:B98=I3)*(C92:N92=G2)*(C93:N98)),SUMIF(C92:N92,G2,C100:N100)),IF(I3&lt;7,SUMPRODUCT((B102:B107=I3)*(C92:N92=G2)*(C102:N107)),SUMIF(C92:N92,G2,C109:N109))),4)</f>
        <v>1.9361999999999999</v>
      </c>
      <c r="D23" s="2774"/>
      <c r="E23" s="2774"/>
      <c r="F23" s="2811"/>
      <c r="G23" s="2812"/>
      <c r="H23" s="2813"/>
      <c r="I23" s="2814"/>
      <c r="J23" s="2815"/>
      <c r="K23" s="1369"/>
      <c r="N23" s="2808" t="s">
        <v>2910</v>
      </c>
      <c r="O23" s="1560"/>
      <c r="P23" s="1561">
        <f>SUMPRODUCT((地价!A3:A28=YEAR(G19)&amp;"-"&amp;ROUNDUP(MONTH(G19)/3,0))*(地价!AD2:AH2=N23)*(地价!AD3:AH28))</f>
        <v>2.1600000000000001E-2</v>
      </c>
      <c r="R23" s="1375"/>
      <c r="S23" s="1375"/>
      <c r="T23" s="1370"/>
      <c r="U23" s="1370"/>
      <c r="V23" s="1370"/>
      <c r="W23" s="1369"/>
      <c r="X23" s="1369"/>
      <c r="Y23" s="1369"/>
      <c r="Z23" s="1376"/>
      <c r="AA23" s="1377"/>
      <c r="AB23" s="1377"/>
      <c r="AC23" s="1377"/>
      <c r="AD23" s="1377"/>
      <c r="AK23" s="2789"/>
    </row>
    <row r="24" spans="1:37" s="2739" customFormat="1" ht="15" thickBot="1">
      <c r="A24" s="2797" t="s">
        <v>812</v>
      </c>
      <c r="B24" s="2786" t="s">
        <v>2911</v>
      </c>
      <c r="C24" s="924">
        <f>SUMIF(A45:A88,E2,B45:B88)</f>
        <v>1</v>
      </c>
      <c r="D24" s="2787"/>
      <c r="E24" s="2816"/>
      <c r="F24" s="2816"/>
      <c r="G24" s="2816"/>
      <c r="H24" s="2816"/>
      <c r="I24" s="2816"/>
      <c r="J24" s="2817"/>
      <c r="K24" s="1376"/>
      <c r="N24" s="2818" t="s">
        <v>2912</v>
      </c>
      <c r="O24" s="1562"/>
      <c r="P24" s="1563">
        <f>SUMPRODUCT((地价!A3:A28=YEAR(G19)&amp;"-"&amp;ROUNDUP(MONTH(G19)/3,0))*(地价!AD2:AH2=N24)*(地价!AD3:AH28))</f>
        <v>1.38E-2</v>
      </c>
      <c r="R24" s="1375"/>
      <c r="S24" s="1375"/>
      <c r="T24" s="1370"/>
      <c r="U24" s="1370"/>
      <c r="V24" s="1370"/>
      <c r="W24" s="1369"/>
      <c r="X24" s="1369"/>
      <c r="Y24" s="1369"/>
      <c r="Z24" s="1376"/>
      <c r="AA24" s="1377"/>
      <c r="AB24" s="1377"/>
      <c r="AC24" s="1377"/>
      <c r="AD24" s="1377"/>
      <c r="AE24" s="1377"/>
      <c r="AF24" s="1377"/>
    </row>
    <row r="25" spans="1:37" ht="15" thickBot="1">
      <c r="A25" s="2797" t="s">
        <v>813</v>
      </c>
      <c r="B25" s="2819" t="s">
        <v>2913</v>
      </c>
      <c r="C25" s="930"/>
      <c r="D25" s="2749"/>
      <c r="E25" s="2749"/>
      <c r="F25" s="2820"/>
      <c r="G25" s="2749"/>
      <c r="H25" s="2749"/>
      <c r="I25" s="2749"/>
      <c r="J25" s="2750"/>
      <c r="K25" s="1369"/>
      <c r="N25" s="2821" t="s">
        <v>2914</v>
      </c>
      <c r="O25" s="1564"/>
      <c r="P25" s="1563">
        <f>SUMPRODUCT((地价!A3:A28=YEAR(G19)&amp;"-"&amp;ROUNDUP(MONTH(G19)/3,0))*(地价!AD2:AH2=N25)*(地价!AD3:AH28))</f>
        <v>1.9800000000000002E-2</v>
      </c>
      <c r="R25" s="1375"/>
      <c r="S25" s="1375"/>
      <c r="T25" s="1370"/>
      <c r="U25" s="1370"/>
      <c r="V25" s="1370"/>
      <c r="W25" s="1369"/>
      <c r="X25" s="1369"/>
      <c r="Y25" s="1369"/>
      <c r="Z25" s="1376"/>
      <c r="AA25" s="1377"/>
      <c r="AB25" s="1377"/>
      <c r="AC25" s="1377"/>
      <c r="AD25" s="1377"/>
    </row>
    <row r="26" spans="1:37" ht="14.4">
      <c r="A26" s="2822"/>
      <c r="B26" s="2809" t="s">
        <v>2915</v>
      </c>
      <c r="C26" s="206">
        <f ca="1">E29+SUM(E33:E39)</f>
        <v>80020</v>
      </c>
      <c r="D26" s="2823"/>
      <c r="E26" s="2774"/>
      <c r="F26" s="2824"/>
      <c r="G26" s="2774"/>
      <c r="H26" s="2774"/>
      <c r="I26" s="2774"/>
      <c r="J26" s="2825"/>
      <c r="K26" s="1369"/>
      <c r="L26" s="2778" t="s">
        <v>2814</v>
      </c>
      <c r="M26" s="920" t="s">
        <v>2878</v>
      </c>
      <c r="N26" s="920" t="s">
        <v>2879</v>
      </c>
      <c r="O26" s="920" t="s">
        <v>2880</v>
      </c>
      <c r="P26" s="2779" t="s">
        <v>2881</v>
      </c>
      <c r="R26" s="1375"/>
      <c r="S26" s="1375"/>
      <c r="T26" s="1370"/>
      <c r="U26" s="1370"/>
      <c r="V26" s="1370"/>
      <c r="W26" s="1369"/>
      <c r="X26" s="1369"/>
      <c r="Y26" s="1369"/>
      <c r="Z26" s="1376"/>
      <c r="AA26" s="1377"/>
      <c r="AB26" s="1377"/>
      <c r="AC26" s="1377"/>
      <c r="AD26" s="1377"/>
    </row>
    <row r="27" spans="1:37" ht="15" thickBot="1">
      <c r="A27" s="2822"/>
      <c r="B27" s="2826" t="s">
        <v>2916</v>
      </c>
      <c r="C27" s="931">
        <f ca="1">E30+SUM(I33:I39)</f>
        <v>20007</v>
      </c>
      <c r="D27" s="2827"/>
      <c r="E27" s="2828"/>
      <c r="F27" s="2829"/>
      <c r="G27" s="2828"/>
      <c r="H27" s="2828"/>
      <c r="I27" s="2828"/>
      <c r="J27" s="2830"/>
      <c r="K27" s="1369"/>
      <c r="L27" s="2782" t="s">
        <v>2885</v>
      </c>
      <c r="M27" s="922">
        <v>0.25</v>
      </c>
      <c r="N27" s="922">
        <v>0.2</v>
      </c>
      <c r="O27" s="922">
        <v>0.15</v>
      </c>
      <c r="P27" s="1368">
        <v>0.1</v>
      </c>
      <c r="Q27" s="1375"/>
      <c r="R27" s="1375"/>
      <c r="S27" s="1375"/>
      <c r="T27" s="1370"/>
      <c r="U27" s="1370"/>
      <c r="V27" s="1370"/>
      <c r="W27" s="1369"/>
      <c r="X27" s="1369"/>
      <c r="Y27" s="1369"/>
      <c r="Z27" s="1376"/>
      <c r="AA27" s="1377"/>
      <c r="AB27" s="1377"/>
      <c r="AC27" s="1377"/>
      <c r="AD27" s="1377"/>
    </row>
    <row r="28" spans="1:37" ht="15" thickBot="1">
      <c r="A28" s="2831"/>
      <c r="B28" s="2832" t="s">
        <v>2917</v>
      </c>
      <c r="C28" s="2833" t="s">
        <v>2918</v>
      </c>
      <c r="D28" s="2833" t="s">
        <v>2919</v>
      </c>
      <c r="E28" s="2834" t="s">
        <v>2920</v>
      </c>
      <c r="F28" s="2835"/>
      <c r="G28" s="2762"/>
      <c r="H28" s="2762"/>
      <c r="I28" s="2762"/>
      <c r="J28" s="2763"/>
      <c r="K28" s="1369"/>
      <c r="L28" s="2783" t="s">
        <v>2888</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6"/>
      <c r="B29" s="2837" t="s">
        <v>2921</v>
      </c>
      <c r="C29" s="206">
        <f ca="1">ROUND(C5*C18*C19*C20*C21*C24,0)</f>
        <v>62215</v>
      </c>
      <c r="D29" s="2838"/>
      <c r="E29" s="942">
        <f ca="1">ROUND(C29*D29/10000,0)</f>
        <v>0</v>
      </c>
      <c r="F29" s="2839" t="s">
        <v>2922</v>
      </c>
      <c r="G29" s="2840"/>
      <c r="H29" s="2840"/>
      <c r="I29" s="2840"/>
      <c r="J29" s="2841"/>
      <c r="K29" s="1369"/>
      <c r="L29" s="1369"/>
      <c r="M29" s="1369"/>
      <c r="N29" s="1369"/>
      <c r="O29" s="1374"/>
      <c r="P29" s="1374"/>
      <c r="Q29" s="1375"/>
      <c r="R29" s="1375"/>
      <c r="S29" s="1375"/>
      <c r="T29" s="1370"/>
      <c r="U29" s="1370"/>
      <c r="V29" s="1370"/>
      <c r="W29" s="1369"/>
      <c r="X29" s="1369"/>
      <c r="Y29" s="1369"/>
      <c r="Z29" s="1376"/>
      <c r="AA29" s="1377"/>
      <c r="AB29" s="1377"/>
      <c r="AC29" s="1377"/>
      <c r="AD29" s="1377"/>
      <c r="AE29" s="2784"/>
      <c r="AF29" s="2784"/>
      <c r="AG29" s="2721"/>
      <c r="AH29" s="2721"/>
      <c r="AI29" s="2721"/>
      <c r="AJ29" s="2721"/>
    </row>
    <row r="30" spans="1:37" ht="25.8" thickBot="1">
      <c r="A30" s="2842"/>
      <c r="B30" s="2843" t="s">
        <v>2923</v>
      </c>
      <c r="C30" s="229">
        <f ca="1">ROUND(IF(E2="工业",C29*M39,C29*M38),0)</f>
        <v>15554</v>
      </c>
      <c r="D30" s="2844"/>
      <c r="E30" s="942">
        <f ca="1">ROUND(C30*D30/10000,0)</f>
        <v>0</v>
      </c>
      <c r="F30" s="2845" t="s">
        <v>2924</v>
      </c>
      <c r="G30" s="2846"/>
      <c r="H30" s="2846"/>
      <c r="I30" s="2846"/>
      <c r="J30" s="2847"/>
      <c r="K30" s="1369"/>
      <c r="L30" s="1369"/>
      <c r="M30" s="1369"/>
      <c r="N30" s="1369"/>
      <c r="O30" s="1374"/>
      <c r="P30" s="1374"/>
      <c r="Q30" s="1375"/>
      <c r="R30" s="1375"/>
      <c r="S30" s="1375"/>
      <c r="T30" s="1370"/>
      <c r="U30" s="1370"/>
      <c r="V30" s="1370"/>
      <c r="W30" s="1369"/>
      <c r="X30" s="1369"/>
      <c r="Y30" s="1369"/>
      <c r="Z30" s="1376"/>
      <c r="AA30" s="1377"/>
      <c r="AB30" s="1377"/>
      <c r="AC30" s="1377"/>
      <c r="AD30" s="1377"/>
      <c r="AE30" s="2784"/>
      <c r="AF30" s="2784"/>
      <c r="AG30" s="2721"/>
      <c r="AH30" s="2721"/>
      <c r="AI30" s="2721"/>
      <c r="AJ30" s="2721"/>
    </row>
    <row r="31" spans="1:37" ht="13.8">
      <c r="A31" s="2848"/>
      <c r="B31" s="2849" t="s">
        <v>2925</v>
      </c>
      <c r="C31" s="2850" t="s">
        <v>2926</v>
      </c>
      <c r="D31" s="2762"/>
      <c r="E31" s="2850"/>
      <c r="F31" s="2850"/>
      <c r="G31" s="2760" t="s">
        <v>2927</v>
      </c>
      <c r="H31" s="2762"/>
      <c r="I31" s="2851"/>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4"/>
      <c r="AF31" s="2784"/>
      <c r="AG31" s="2721"/>
      <c r="AH31" s="2721"/>
      <c r="AI31" s="2721"/>
      <c r="AJ31" s="2721"/>
    </row>
    <row r="32" spans="1:37" ht="36">
      <c r="A32" s="2836"/>
      <c r="B32" s="2852"/>
      <c r="C32" s="501" t="s">
        <v>2918</v>
      </c>
      <c r="D32" s="498" t="s">
        <v>2919</v>
      </c>
      <c r="E32" s="498" t="s">
        <v>2920</v>
      </c>
      <c r="F32" s="388" t="s">
        <v>2928</v>
      </c>
      <c r="G32" s="2853" t="s">
        <v>2918</v>
      </c>
      <c r="H32" s="2853" t="s">
        <v>2919</v>
      </c>
      <c r="I32" s="2853" t="s">
        <v>2920</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4"/>
      <c r="AF32" s="2784"/>
      <c r="AG32" s="2721"/>
      <c r="AH32" s="2721"/>
      <c r="AI32" s="2721"/>
      <c r="AJ32" s="2721"/>
    </row>
    <row r="33" spans="1:37" ht="36" customHeight="1">
      <c r="A33" s="3260" t="s">
        <v>2929</v>
      </c>
      <c r="B33" s="2854" t="s">
        <v>2930</v>
      </c>
      <c r="C33" s="206">
        <f ca="1">ROUND(D5*C19*C20*C24*F33,0)</f>
        <v>22351</v>
      </c>
      <c r="D33" s="2838">
        <f>'数据-基础表'!K16</f>
        <v>14115.78</v>
      </c>
      <c r="E33" s="200">
        <f ca="1">ROUND(C33*D33/10000,0)</f>
        <v>31550</v>
      </c>
      <c r="F33" s="200">
        <f>SUMIF(修正!A45:A56,G2,修正!B45:B56)</f>
        <v>0.8</v>
      </c>
      <c r="G33" s="200">
        <f t="shared" ref="G33" ca="1" si="6">ROUND(IF(E2="工业",C33*$M$39,C33*$M$38),0)</f>
        <v>5588</v>
      </c>
      <c r="H33" s="200">
        <f>D33</f>
        <v>14115.78</v>
      </c>
      <c r="I33" s="200">
        <f ca="1">ROUND(G33*H33/10000,0)</f>
        <v>7888</v>
      </c>
      <c r="J33" s="2855"/>
      <c r="K33" s="1369"/>
      <c r="L33" s="1369"/>
      <c r="M33" s="1369"/>
      <c r="N33" s="1369"/>
      <c r="O33" s="2955" t="s">
        <v>3092</v>
      </c>
      <c r="P33" s="1373">
        <f ca="1">E33+E34+E39+V2+V3+V4</f>
        <v>292405</v>
      </c>
      <c r="Q33" s="1375"/>
      <c r="R33" s="1375"/>
      <c r="S33" s="1375"/>
      <c r="T33" s="1370"/>
      <c r="U33" s="1370"/>
      <c r="V33" s="1370"/>
      <c r="W33" s="1369"/>
      <c r="X33" s="1369"/>
      <c r="Y33" s="1369"/>
      <c r="Z33" s="1376"/>
      <c r="AA33" s="1377"/>
      <c r="AB33" s="1377"/>
      <c r="AC33" s="1377"/>
      <c r="AD33" s="1377"/>
    </row>
    <row r="34" spans="1:37" ht="13.8">
      <c r="A34" s="3261"/>
      <c r="B34" s="2766" t="s">
        <v>2931</v>
      </c>
      <c r="C34" s="206">
        <f ca="1">ROUND(D5*C19*C20*C24*F34,0)</f>
        <v>13970</v>
      </c>
      <c r="D34" s="2838">
        <f>'数据-基础表'!K17</f>
        <v>22925.94</v>
      </c>
      <c r="E34" s="200">
        <f t="shared" ref="E34:E39" ca="1" si="7">ROUND(C34*D34/10000,0)</f>
        <v>32028</v>
      </c>
      <c r="F34" s="200">
        <f>SUMIF(修正!A45:A56,G2,修正!C45:C56)</f>
        <v>0.5</v>
      </c>
      <c r="G34" s="200">
        <f ca="1">ROUND(IF(E2="工业",C34*$M$39,C34*$M$38),0)</f>
        <v>3493</v>
      </c>
      <c r="H34" s="200">
        <f t="shared" ref="H34:H39" si="8">D34</f>
        <v>22925.94</v>
      </c>
      <c r="I34" s="200">
        <f t="shared" ref="I34:I39" ca="1" si="9">ROUND(G34*H34/10000,0)</f>
        <v>8008</v>
      </c>
      <c r="J34" s="285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61"/>
      <c r="B35" s="2766" t="s">
        <v>2932</v>
      </c>
      <c r="C35" s="206">
        <f ca="1">ROUND(D5*C19*C20*C24*F35,0)</f>
        <v>10058</v>
      </c>
      <c r="D35" s="2838"/>
      <c r="E35" s="200">
        <f t="shared" ca="1" si="7"/>
        <v>0</v>
      </c>
      <c r="F35" s="200">
        <f>SUMIF(修正!A45:A56,G2,修正!D45:D56)</f>
        <v>0.36</v>
      </c>
      <c r="G35" s="200">
        <f ca="1">ROUND(IF(E2="工业",C35*$M$39,C35*$M$38),0)</f>
        <v>2515</v>
      </c>
      <c r="H35" s="200">
        <f t="shared" si="8"/>
        <v>0</v>
      </c>
      <c r="I35" s="200">
        <f t="shared" ca="1" si="9"/>
        <v>0</v>
      </c>
      <c r="J35" s="2855"/>
      <c r="K35" s="1369"/>
      <c r="L35" s="1369"/>
      <c r="M35" s="1369"/>
      <c r="N35" s="1369"/>
      <c r="O35" s="1369"/>
      <c r="P35" s="1369"/>
      <c r="Q35" s="1369"/>
      <c r="R35" s="1369"/>
      <c r="S35" s="1369"/>
      <c r="T35" s="1369"/>
      <c r="U35" s="1369"/>
      <c r="V35" s="1369"/>
      <c r="W35" s="1369"/>
      <c r="X35" s="1369"/>
      <c r="Y35" s="1369"/>
      <c r="Z35" s="1370"/>
    </row>
    <row r="36" spans="1:37" ht="13.8" thickBot="1">
      <c r="A36" s="3262"/>
      <c r="B36" s="2766" t="s">
        <v>2933</v>
      </c>
      <c r="C36" s="206">
        <f ca="1">ROUND(D5*C19*C20*C24*F36,0)</f>
        <v>8382</v>
      </c>
      <c r="D36" s="2838"/>
      <c r="E36" s="200">
        <f t="shared" ca="1" si="7"/>
        <v>0</v>
      </c>
      <c r="F36" s="200">
        <f>SUMIF(修正!A45:A56,G2,修正!E45:E56)</f>
        <v>0.3</v>
      </c>
      <c r="G36" s="200">
        <f ca="1">ROUND(IF(E2="工业",C36*$M$39,C36*$M$38),0)</f>
        <v>2096</v>
      </c>
      <c r="H36" s="200">
        <f t="shared" si="8"/>
        <v>0</v>
      </c>
      <c r="I36" s="200">
        <f t="shared" ca="1" si="9"/>
        <v>0</v>
      </c>
      <c r="J36" s="2855"/>
      <c r="K36" s="1369"/>
      <c r="L36" s="2720"/>
      <c r="M36" s="2720"/>
      <c r="N36" s="1369"/>
      <c r="O36" s="1369"/>
      <c r="P36" s="1369"/>
      <c r="Q36" s="1369"/>
      <c r="R36" s="1369"/>
      <c r="S36" s="1369"/>
      <c r="T36" s="1369"/>
      <c r="U36" s="1369"/>
      <c r="V36" s="1369"/>
      <c r="W36" s="1369"/>
      <c r="X36" s="1369"/>
      <c r="Y36" s="1369"/>
      <c r="Z36" s="1370"/>
    </row>
    <row r="37" spans="1:37">
      <c r="A37" s="2856"/>
      <c r="B37" s="2766" t="s">
        <v>2934</v>
      </c>
      <c r="C37" s="200">
        <f ca="1">ROUND(D5*C19*C20*C24*F37,0)</f>
        <v>8382</v>
      </c>
      <c r="D37" s="2838"/>
      <c r="E37" s="200">
        <f t="shared" ca="1" si="7"/>
        <v>0</v>
      </c>
      <c r="F37" s="206">
        <f>SUMIF(修正!A45:A56,G2,修正!F45:F56)</f>
        <v>0.3</v>
      </c>
      <c r="G37" s="200">
        <f ca="1">ROUND(IF(E2="工业",C37*$M$39,C37*$M$38),0)</f>
        <v>2096</v>
      </c>
      <c r="H37" s="200">
        <f t="shared" si="8"/>
        <v>0</v>
      </c>
      <c r="I37" s="200">
        <f t="shared" ca="1" si="9"/>
        <v>0</v>
      </c>
      <c r="J37" s="2855"/>
      <c r="K37" s="1369"/>
      <c r="L37" s="2857" t="s">
        <v>2935</v>
      </c>
      <c r="M37" s="2858"/>
      <c r="N37" s="1369"/>
      <c r="O37" s="1369"/>
      <c r="P37" s="1369"/>
      <c r="Q37" s="1369"/>
      <c r="R37" s="1369"/>
      <c r="S37" s="1369"/>
      <c r="T37" s="1369"/>
      <c r="U37" s="1369"/>
      <c r="V37" s="1369"/>
      <c r="W37" s="1369"/>
      <c r="X37" s="1369"/>
      <c r="Y37" s="1369"/>
      <c r="Z37" s="1370"/>
    </row>
    <row r="38" spans="1:37">
      <c r="A38" s="2856"/>
      <c r="B38" s="2766" t="s">
        <v>2936</v>
      </c>
      <c r="C38" s="200">
        <f ca="1">ROUND(D5*C19*C41*C24*F38,0)</f>
        <v>9143</v>
      </c>
      <c r="D38" s="2838"/>
      <c r="E38" s="200">
        <f t="shared" ca="1" si="7"/>
        <v>0</v>
      </c>
      <c r="F38" s="206">
        <f>SUMIF(修正!A45:A56,G2,修正!G45:G56)</f>
        <v>0.3</v>
      </c>
      <c r="G38" s="200">
        <f ca="1">ROUND(IF(E2="工业",C38*$M$39,C38*$M$38),0)</f>
        <v>2286</v>
      </c>
      <c r="H38" s="200">
        <f t="shared" si="8"/>
        <v>0</v>
      </c>
      <c r="I38" s="200">
        <f t="shared" ca="1" si="9"/>
        <v>0</v>
      </c>
      <c r="J38" s="2855"/>
      <c r="K38" s="1369"/>
      <c r="L38" s="1886" t="s">
        <v>2937</v>
      </c>
      <c r="M38" s="2859">
        <v>0.25</v>
      </c>
      <c r="N38" s="1369"/>
      <c r="O38" s="1369"/>
      <c r="P38" s="1369"/>
      <c r="Q38" s="1369"/>
      <c r="R38" s="1369"/>
      <c r="S38" s="1369"/>
      <c r="T38" s="1369"/>
      <c r="U38" s="1369"/>
      <c r="V38" s="1369"/>
      <c r="W38" s="1369"/>
      <c r="X38" s="1369"/>
      <c r="Y38" s="1369"/>
      <c r="Z38" s="1370"/>
    </row>
    <row r="39" spans="1:37" ht="13.8" thickBot="1">
      <c r="A39" s="2842"/>
      <c r="B39" s="2860" t="s">
        <v>2938</v>
      </c>
      <c r="C39" s="229">
        <f ca="1">ROUND(D5*C19*C41*C24*F39,0)</f>
        <v>7619</v>
      </c>
      <c r="D39" s="2844">
        <f>'数据-基础表'!M18</f>
        <v>21580.2</v>
      </c>
      <c r="E39" s="229">
        <f t="shared" ca="1" si="7"/>
        <v>16442</v>
      </c>
      <c r="F39" s="932">
        <f>SUMIF(修正!A45:A56,G2,修正!H45:H56)</f>
        <v>0.25</v>
      </c>
      <c r="G39" s="229">
        <f ca="1">ROUND(IF(E2="工业",C39*$M$39,C39*$M$38),0)</f>
        <v>1905</v>
      </c>
      <c r="H39" s="229">
        <f t="shared" si="8"/>
        <v>21580.2</v>
      </c>
      <c r="I39" s="229">
        <f t="shared" ca="1" si="9"/>
        <v>4111</v>
      </c>
      <c r="J39" s="2861"/>
      <c r="K39" s="1369"/>
      <c r="L39" s="2862" t="s">
        <v>2881</v>
      </c>
      <c r="M39" s="286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4">
      <c r="A41" s="1370"/>
      <c r="B41" s="2931" t="s">
        <v>3049</v>
      </c>
      <c r="C41" s="388">
        <f ca="1">ROUND(POWER(1+E41,H41-G41)*(POWER(1+E41,G41)-1)/(POWER(1+E41,H41)-1),4)</f>
        <v>0.90439999999999998</v>
      </c>
      <c r="D41" s="200" t="s">
        <v>2888</v>
      </c>
      <c r="E41" s="2930">
        <f ca="1">G20</f>
        <v>5.3999999999999999E-2</v>
      </c>
      <c r="F41" s="200" t="s">
        <v>2897</v>
      </c>
      <c r="G41" s="218">
        <f>项目基本情况!F15</f>
        <v>34.75</v>
      </c>
      <c r="H41" s="200">
        <v>50</v>
      </c>
      <c r="Z41" s="1370"/>
      <c r="AA41" s="1370"/>
      <c r="AB41" s="1370"/>
      <c r="AC41" s="1370"/>
      <c r="AD41" s="1370"/>
      <c r="AE41" s="1370"/>
      <c r="AF41" s="1370"/>
      <c r="AG41" s="1370"/>
      <c r="AH41" s="1370"/>
      <c r="AI41" s="1370"/>
      <c r="AJ41" s="1370"/>
    </row>
    <row r="42" spans="1:37" s="1369" customFormat="1">
      <c r="A42" s="1370"/>
      <c r="B42" s="2864"/>
      <c r="Z42" s="1370"/>
      <c r="AA42" s="1370"/>
      <c r="AB42" s="1370"/>
      <c r="AC42" s="1370"/>
      <c r="AD42" s="1370"/>
      <c r="AE42" s="1370"/>
      <c r="AF42" s="1370"/>
      <c r="AG42" s="1370"/>
      <c r="AH42" s="1370"/>
      <c r="AI42" s="1370"/>
      <c r="AJ42" s="1370"/>
    </row>
    <row r="43" spans="1:37" s="1369" customFormat="1">
      <c r="A43" s="1370"/>
      <c r="B43" s="2864"/>
      <c r="Z43" s="1370"/>
      <c r="AA43" s="1370"/>
      <c r="AB43" s="1370"/>
      <c r="AC43" s="1370"/>
      <c r="AD43" s="1370"/>
      <c r="AE43" s="1370"/>
      <c r="AF43" s="1370"/>
      <c r="AG43" s="1370"/>
      <c r="AH43" s="1370"/>
      <c r="AI43" s="1370"/>
      <c r="AJ43" s="1370"/>
    </row>
    <row r="44" spans="1:37" s="1369" customFormat="1">
      <c r="A44" s="1370"/>
      <c r="B44" s="2864"/>
      <c r="Z44" s="1370"/>
      <c r="AA44" s="1370"/>
      <c r="AB44" s="1370"/>
      <c r="AC44" s="1370"/>
      <c r="AD44" s="1370"/>
      <c r="AE44" s="1370"/>
      <c r="AF44" s="1370"/>
      <c r="AG44" s="1370"/>
      <c r="AH44" s="1370"/>
      <c r="AI44" s="1370"/>
      <c r="AJ44" s="1370"/>
    </row>
    <row r="45" spans="1:37" s="1369" customFormat="1" ht="15" thickBot="1">
      <c r="A45" s="2865" t="s">
        <v>2939</v>
      </c>
      <c r="B45" s="2866"/>
      <c r="C45" s="7"/>
      <c r="D45" s="7"/>
      <c r="E45" s="7"/>
      <c r="F45" s="6"/>
      <c r="G45" s="6"/>
      <c r="H45" s="6"/>
      <c r="I45" s="7"/>
      <c r="J45" s="7"/>
      <c r="K45" s="7"/>
      <c r="L45" s="7"/>
      <c r="M45" s="7"/>
      <c r="N45" s="2784"/>
      <c r="Z45" s="1370"/>
      <c r="AA45" s="1370"/>
      <c r="AB45" s="1370"/>
      <c r="AC45" s="1370"/>
      <c r="AD45" s="1370"/>
      <c r="AE45" s="1370"/>
      <c r="AF45" s="1370"/>
      <c r="AG45" s="1370"/>
      <c r="AH45" s="1370"/>
      <c r="AI45" s="1370"/>
      <c r="AJ45" s="1370"/>
    </row>
    <row r="46" spans="1:37" s="1369" customFormat="1" ht="14.4">
      <c r="A46" s="2867" t="s">
        <v>2940</v>
      </c>
      <c r="B46" s="2868">
        <f>1+E48</f>
        <v>1</v>
      </c>
      <c r="C46" s="2869"/>
      <c r="D46" s="814"/>
      <c r="E46" s="815"/>
      <c r="F46" s="2870"/>
      <c r="G46" s="6"/>
      <c r="H46" s="7"/>
      <c r="I46" s="7"/>
      <c r="J46" s="7"/>
      <c r="K46" s="7"/>
      <c r="L46" s="7"/>
      <c r="M46" s="7"/>
      <c r="N46" s="2784"/>
      <c r="Z46" s="1370"/>
      <c r="AA46" s="1370"/>
      <c r="AB46" s="1370"/>
      <c r="AC46" s="1370"/>
      <c r="AD46" s="1370"/>
      <c r="AE46" s="1370"/>
      <c r="AF46" s="1370"/>
      <c r="AG46" s="1370"/>
      <c r="AH46" s="1370"/>
      <c r="AI46" s="1370"/>
      <c r="AJ46" s="1370"/>
    </row>
    <row r="47" spans="1:37" s="1369" customFormat="1" ht="25.2">
      <c r="A47" s="2871" t="s">
        <v>2941</v>
      </c>
      <c r="B47" s="1808" t="s">
        <v>2942</v>
      </c>
      <c r="C47" s="1808" t="s">
        <v>2943</v>
      </c>
      <c r="D47" s="1808" t="s">
        <v>2944</v>
      </c>
      <c r="E47" s="819" t="s">
        <v>2945</v>
      </c>
      <c r="F47" s="2872" t="s">
        <v>2946</v>
      </c>
      <c r="G47" s="1808" t="s">
        <v>754</v>
      </c>
      <c r="H47" s="2873" t="s">
        <v>2947</v>
      </c>
      <c r="I47" s="1808" t="s">
        <v>2948</v>
      </c>
      <c r="J47" s="603" t="s">
        <v>2597</v>
      </c>
      <c r="K47" s="603" t="s">
        <v>2598</v>
      </c>
      <c r="L47" s="603" t="s">
        <v>2599</v>
      </c>
      <c r="M47" s="603" t="s">
        <v>2600</v>
      </c>
      <c r="N47" s="603" t="s">
        <v>2601</v>
      </c>
      <c r="AA47" s="1370"/>
      <c r="AB47" s="1370"/>
      <c r="AC47" s="1370"/>
      <c r="AD47" s="1370"/>
      <c r="AE47" s="1370"/>
      <c r="AF47" s="1370"/>
      <c r="AG47" s="1370"/>
      <c r="AH47" s="1370"/>
      <c r="AI47" s="1370"/>
      <c r="AJ47" s="1370"/>
      <c r="AK47" s="1370"/>
    </row>
    <row r="48" spans="1:37" s="1369" customFormat="1" ht="52.8">
      <c r="A48" s="2871" t="s">
        <v>2949</v>
      </c>
      <c r="B48" s="2874" t="str">
        <f>估价对象房地状况!C4</f>
        <v>估价对象位于XX商圈，周边商业氛围成熟，人流量大，商业繁华度好</v>
      </c>
      <c r="C48" s="2771"/>
      <c r="D48" s="1285">
        <f t="shared" ref="D48:D56" si="10">SUMIF($J$47:$N$47,C48,J48:N48)</f>
        <v>0</v>
      </c>
      <c r="E48" s="821">
        <f>ROUND(SUM(D48:D56),4)</f>
        <v>0</v>
      </c>
      <c r="F48" s="2502">
        <f>IF(E2="商业",SUMIF(L1:L12,G2,N1:N12),"——")</f>
        <v>9.5000000000000001E-2</v>
      </c>
      <c r="G48" s="1283"/>
      <c r="H48" s="1287">
        <f t="shared" ref="H48:H56" si="11">IFERROR(ROUNDDOWN($F$48*I48/2,4),"——")</f>
        <v>1.5599999999999999E-2</v>
      </c>
      <c r="I48" s="820">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66">
      <c r="A49" s="2871" t="s">
        <v>2950</v>
      </c>
      <c r="B49" s="2875" t="str">
        <f>估价对象房地状况!C18</f>
        <v>估价对象周边道路状况、公共交通通达情况、停车便捷程度，综合评价交通便捷度较好</v>
      </c>
      <c r="C49" s="2771"/>
      <c r="D49" s="1285">
        <f t="shared" si="10"/>
        <v>0</v>
      </c>
      <c r="E49" s="822"/>
      <c r="F49" s="2502"/>
      <c r="G49" s="1283"/>
      <c r="H49" s="1287">
        <f t="shared" si="11"/>
        <v>1.18E-2</v>
      </c>
      <c r="I49" s="820">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1" t="s">
        <v>2951</v>
      </c>
      <c r="B50" s="2875">
        <f>估价对象房地状况!C19</f>
        <v>0</v>
      </c>
      <c r="C50" s="2771"/>
      <c r="D50" s="1285">
        <f t="shared" si="10"/>
        <v>0</v>
      </c>
      <c r="E50" s="822"/>
      <c r="F50" s="2502"/>
      <c r="G50" s="1283"/>
      <c r="H50" s="1287">
        <f t="shared" si="11"/>
        <v>2.3E-3</v>
      </c>
      <c r="I50" s="820">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71" t="s">
        <v>2952</v>
      </c>
      <c r="B51" s="2876" t="s">
        <v>2953</v>
      </c>
      <c r="C51" s="2771"/>
      <c r="D51" s="1285">
        <f t="shared" si="10"/>
        <v>0</v>
      </c>
      <c r="E51" s="822"/>
      <c r="F51" s="2502"/>
      <c r="G51" s="1283"/>
      <c r="H51" s="1287">
        <f t="shared" si="11"/>
        <v>2.3E-3</v>
      </c>
      <c r="I51" s="820">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1" t="s">
        <v>2954</v>
      </c>
      <c r="B52" s="2875">
        <f>估价对象房地状况!C24</f>
        <v>0</v>
      </c>
      <c r="C52" s="2771"/>
      <c r="D52" s="1285">
        <f t="shared" si="10"/>
        <v>0</v>
      </c>
      <c r="E52" s="822"/>
      <c r="F52" s="2502"/>
      <c r="G52" s="1283"/>
      <c r="H52" s="1287">
        <f t="shared" si="11"/>
        <v>3.8E-3</v>
      </c>
      <c r="I52" s="820">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71" t="s">
        <v>2955</v>
      </c>
      <c r="B53" s="2877" t="s">
        <v>2956</v>
      </c>
      <c r="C53" s="2771"/>
      <c r="D53" s="1285">
        <f t="shared" si="10"/>
        <v>0</v>
      </c>
      <c r="E53" s="822"/>
      <c r="F53" s="2502"/>
      <c r="G53" s="1283"/>
      <c r="H53" s="1287">
        <f t="shared" si="11"/>
        <v>1.4E-3</v>
      </c>
      <c r="I53" s="820">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4">
      <c r="A54" s="2878" t="s">
        <v>2957</v>
      </c>
      <c r="B54" s="1724" t="str">
        <f>估价对象房地状况!C21</f>
        <v>估价对象所在区域公共配套设施齐备情况</v>
      </c>
      <c r="C54" s="2771"/>
      <c r="D54" s="1285">
        <f t="shared" si="10"/>
        <v>0</v>
      </c>
      <c r="E54" s="822"/>
      <c r="F54" s="2502"/>
      <c r="G54" s="1283"/>
      <c r="H54" s="1287">
        <f t="shared" si="11"/>
        <v>2.3E-3</v>
      </c>
      <c r="I54" s="820">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4">
      <c r="A55" s="2878" t="s">
        <v>2958</v>
      </c>
      <c r="B55" s="2875" t="str">
        <f>估价对象房地状况!C22</f>
        <v>估价对象所在区域基础设施水平</v>
      </c>
      <c r="C55" s="2771"/>
      <c r="D55" s="1285">
        <f t="shared" si="10"/>
        <v>0</v>
      </c>
      <c r="E55" s="822"/>
      <c r="F55" s="2502"/>
      <c r="G55" s="1283"/>
      <c r="H55" s="1287">
        <f t="shared" si="11"/>
        <v>4.7000000000000002E-3</v>
      </c>
      <c r="I55" s="820">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40.200000000000003" thickBot="1">
      <c r="A56" s="2879" t="s">
        <v>2959</v>
      </c>
      <c r="B56" s="2880" t="str">
        <f>估价对象房地状况!C20</f>
        <v>区域自然环境：；人文环境；综合评价环境状况一般</v>
      </c>
      <c r="C56" s="2771"/>
      <c r="D56" s="1285">
        <f t="shared" si="10"/>
        <v>0</v>
      </c>
      <c r="E56" s="825"/>
      <c r="F56" s="2502"/>
      <c r="G56" s="1283"/>
      <c r="H56" s="1287">
        <f t="shared" si="11"/>
        <v>2.8E-3</v>
      </c>
      <c r="I56" s="824">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67" t="s">
        <v>2960</v>
      </c>
      <c r="B57" s="2868">
        <f>1+E59</f>
        <v>1</v>
      </c>
      <c r="C57" s="814"/>
      <c r="D57" s="814"/>
      <c r="E57" s="815"/>
      <c r="F57" s="287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71" t="s">
        <v>2941</v>
      </c>
      <c r="B58" s="1808"/>
      <c r="C58" s="1808" t="s">
        <v>2943</v>
      </c>
      <c r="D58" s="1808" t="s">
        <v>2944</v>
      </c>
      <c r="E58" s="819" t="s">
        <v>2945</v>
      </c>
      <c r="F58" s="2872" t="s">
        <v>2961</v>
      </c>
      <c r="G58" s="1808" t="s">
        <v>754</v>
      </c>
      <c r="H58" s="2873" t="s">
        <v>2947</v>
      </c>
      <c r="I58" s="1808" t="s">
        <v>2948</v>
      </c>
      <c r="J58" s="603" t="s">
        <v>2597</v>
      </c>
      <c r="K58" s="603" t="s">
        <v>2598</v>
      </c>
      <c r="L58" s="603" t="s">
        <v>2599</v>
      </c>
      <c r="M58" s="603" t="s">
        <v>2600</v>
      </c>
      <c r="N58" s="603" t="s">
        <v>2601</v>
      </c>
      <c r="AA58" s="1370"/>
      <c r="AB58" s="1370"/>
      <c r="AC58" s="1370"/>
      <c r="AD58" s="1370"/>
      <c r="AE58" s="1370"/>
      <c r="AF58" s="1370"/>
      <c r="AG58" s="1370"/>
      <c r="AH58" s="1370"/>
      <c r="AI58" s="1370"/>
      <c r="AJ58" s="1370"/>
      <c r="AK58" s="1370"/>
    </row>
    <row r="59" spans="1:37" s="1369" customFormat="1" ht="52.8">
      <c r="A59" s="2871" t="s">
        <v>2962</v>
      </c>
      <c r="B59" s="2874" t="str">
        <f>估价对象房地状况!C17</f>
        <v>估价对象位于XX商圈，周边办公楼项目较多，入驻率高，办公集聚程度较好</v>
      </c>
      <c r="C59" s="2771"/>
      <c r="D59" s="1285">
        <f t="shared" ref="D59:D67" si="15">SUMIF($J$58:$N$58,C59,J59:N59)</f>
        <v>0</v>
      </c>
      <c r="E59" s="821">
        <f>ROUND(SUM(D59:D67),4)</f>
        <v>0</v>
      </c>
      <c r="F59" s="2502" t="str">
        <f>IF(E2="办公",SUMIF(L1:L12,G2,N1:N12),"——")</f>
        <v>——</v>
      </c>
      <c r="G59" s="1283"/>
      <c r="H59" s="1287" t="str">
        <f t="shared" ref="H59:H67" si="16">IFERROR(ROUNDDOWN($F$59*I59/2,4),"——")</f>
        <v>——</v>
      </c>
      <c r="I59" s="820">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66">
      <c r="A60" s="2871" t="s">
        <v>2950</v>
      </c>
      <c r="B60" s="2875" t="str">
        <f>估价对象房地状况!C18</f>
        <v>估价对象周边道路状况、公共交通通达情况、停车便捷程度，综合评价交通便捷度较好</v>
      </c>
      <c r="C60" s="2771"/>
      <c r="D60" s="1285">
        <f t="shared" si="15"/>
        <v>0</v>
      </c>
      <c r="E60" s="822"/>
      <c r="F60" s="2502"/>
      <c r="G60" s="1283"/>
      <c r="H60" s="1287" t="str">
        <f t="shared" si="16"/>
        <v>——</v>
      </c>
      <c r="I60" s="820">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1" t="s">
        <v>2951</v>
      </c>
      <c r="B61" s="2875">
        <f>估价对象房地状况!C19</f>
        <v>0</v>
      </c>
      <c r="C61" s="2771"/>
      <c r="D61" s="1285">
        <f t="shared" si="15"/>
        <v>0</v>
      </c>
      <c r="E61" s="822"/>
      <c r="F61" s="2502"/>
      <c r="G61" s="1283"/>
      <c r="H61" s="1287" t="str">
        <f t="shared" si="16"/>
        <v>——</v>
      </c>
      <c r="I61" s="820">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0.4">
      <c r="A62" s="2871" t="s">
        <v>2952</v>
      </c>
      <c r="B62" s="2876" t="s">
        <v>2953</v>
      </c>
      <c r="C62" s="2771"/>
      <c r="D62" s="1285">
        <f t="shared" si="15"/>
        <v>0</v>
      </c>
      <c r="E62" s="822"/>
      <c r="F62" s="2502"/>
      <c r="G62" s="1283"/>
      <c r="H62" s="1287" t="str">
        <f t="shared" si="16"/>
        <v>——</v>
      </c>
      <c r="I62" s="820">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1" t="s">
        <v>2954</v>
      </c>
      <c r="B63" s="2875">
        <f>估价对象房地状况!C24</f>
        <v>0</v>
      </c>
      <c r="C63" s="2771"/>
      <c r="D63" s="1285">
        <f t="shared" si="15"/>
        <v>0</v>
      </c>
      <c r="E63" s="822"/>
      <c r="F63" s="2502"/>
      <c r="G63" s="1283"/>
      <c r="H63" s="1287" t="str">
        <f t="shared" si="16"/>
        <v>——</v>
      </c>
      <c r="I63" s="820">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36">
      <c r="A64" s="2871" t="s">
        <v>2955</v>
      </c>
      <c r="B64" s="2877" t="s">
        <v>2956</v>
      </c>
      <c r="C64" s="2771"/>
      <c r="D64" s="1285">
        <f t="shared" si="15"/>
        <v>0</v>
      </c>
      <c r="E64" s="822"/>
      <c r="F64" s="2502"/>
      <c r="G64" s="1283"/>
      <c r="H64" s="1287" t="str">
        <f t="shared" si="16"/>
        <v>——</v>
      </c>
      <c r="I64" s="820">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4">
      <c r="A65" s="2871" t="s">
        <v>2957</v>
      </c>
      <c r="B65" s="1724" t="str">
        <f>估价对象房地状况!C21</f>
        <v>估价对象所在区域公共配套设施齐备情况</v>
      </c>
      <c r="C65" s="2771"/>
      <c r="D65" s="1285">
        <f t="shared" si="15"/>
        <v>0</v>
      </c>
      <c r="E65" s="822"/>
      <c r="F65" s="2502"/>
      <c r="G65" s="1283"/>
      <c r="H65" s="1287" t="str">
        <f t="shared" si="16"/>
        <v>——</v>
      </c>
      <c r="I65" s="820">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4">
      <c r="A66" s="2871" t="s">
        <v>2958</v>
      </c>
      <c r="B66" s="1724" t="str">
        <f>估价对象房地状况!C22</f>
        <v>估价对象所在区域基础设施水平</v>
      </c>
      <c r="C66" s="2771"/>
      <c r="D66" s="1285">
        <f t="shared" si="15"/>
        <v>0</v>
      </c>
      <c r="E66" s="822"/>
      <c r="F66" s="2502"/>
      <c r="G66" s="1283"/>
      <c r="H66" s="1287" t="str">
        <f t="shared" si="16"/>
        <v>——</v>
      </c>
      <c r="I66" s="820">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40.200000000000003" thickBot="1">
      <c r="A67" s="2879" t="s">
        <v>2959</v>
      </c>
      <c r="B67" s="2881" t="str">
        <f>估价对象房地状况!C20</f>
        <v>区域自然环境：；人文环境；综合评价环境状况一般</v>
      </c>
      <c r="C67" s="2771"/>
      <c r="D67" s="1285">
        <f t="shared" si="15"/>
        <v>0</v>
      </c>
      <c r="E67" s="825"/>
      <c r="F67" s="2502"/>
      <c r="G67" s="1283"/>
      <c r="H67" s="1287" t="str">
        <f t="shared" si="16"/>
        <v>——</v>
      </c>
      <c r="I67" s="824">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4">
      <c r="A68" s="2867" t="s">
        <v>2963</v>
      </c>
      <c r="B68" s="2868">
        <f>1+E70</f>
        <v>1</v>
      </c>
      <c r="C68" s="814"/>
      <c r="D68" s="814"/>
      <c r="E68" s="815"/>
      <c r="F68" s="287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71" t="s">
        <v>2941</v>
      </c>
      <c r="B69" s="1808"/>
      <c r="C69" s="1808" t="s">
        <v>2943</v>
      </c>
      <c r="D69" s="1808" t="s">
        <v>2944</v>
      </c>
      <c r="E69" s="819" t="s">
        <v>2945</v>
      </c>
      <c r="F69" s="2872" t="s">
        <v>2961</v>
      </c>
      <c r="G69" s="1808" t="s">
        <v>754</v>
      </c>
      <c r="H69" s="2873" t="s">
        <v>2947</v>
      </c>
      <c r="I69" s="1808" t="s">
        <v>2948</v>
      </c>
      <c r="J69" s="603" t="s">
        <v>2597</v>
      </c>
      <c r="K69" s="603" t="s">
        <v>2598</v>
      </c>
      <c r="L69" s="603" t="s">
        <v>2599</v>
      </c>
      <c r="M69" s="603" t="s">
        <v>2600</v>
      </c>
      <c r="N69" s="603" t="s">
        <v>2601</v>
      </c>
      <c r="AA69" s="1370"/>
      <c r="AB69" s="1370"/>
      <c r="AC69" s="1370"/>
      <c r="AD69" s="1370"/>
      <c r="AE69" s="1370"/>
      <c r="AF69" s="1370"/>
      <c r="AG69" s="1370"/>
      <c r="AH69" s="1370"/>
      <c r="AI69" s="1370"/>
      <c r="AJ69" s="1370"/>
      <c r="AK69" s="1370"/>
    </row>
    <row r="70" spans="1:37" s="1369" customFormat="1" ht="66">
      <c r="A70" s="2871" t="s">
        <v>2964</v>
      </c>
      <c r="B70" s="2874" t="str">
        <f>估价对象房地状况!C15</f>
        <v>估价对象周边居住用地比例、居住小区规模和社区发展完善程度，综合评价居住社区成熟度一般</v>
      </c>
      <c r="C70" s="2771"/>
      <c r="D70" s="1285">
        <f t="shared" ref="D70:D78" si="20">SUMIF($J$69:$N$69,C70,J70:N70)</f>
        <v>0</v>
      </c>
      <c r="E70" s="821">
        <f>ROUND(SUM(D70:D78),4)</f>
        <v>0</v>
      </c>
      <c r="F70" s="2502" t="str">
        <f>IF(E2="住宅",SUMIF(L1:L12,G2,N1:N12),"——")</f>
        <v>——</v>
      </c>
      <c r="G70" s="1283"/>
      <c r="H70" s="1287" t="str">
        <f t="shared" ref="H70:H78" si="21">IFERROR(ROUNDDOWN($F$70*I70/2,4),"——")</f>
        <v>——</v>
      </c>
      <c r="I70" s="820">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c r="A71" s="2871" t="s">
        <v>2950</v>
      </c>
      <c r="B71" s="2875" t="str">
        <f>估价对象房地状况!C18</f>
        <v>估价对象周边道路状况、公共交通通达情况、停车便捷程度，综合评价交通便捷度较好</v>
      </c>
      <c r="C71" s="2771"/>
      <c r="D71" s="1285">
        <f t="shared" si="20"/>
        <v>0</v>
      </c>
      <c r="E71" s="826"/>
      <c r="F71" s="2502"/>
      <c r="G71" s="1283"/>
      <c r="H71" s="1287" t="str">
        <f t="shared" si="21"/>
        <v>——</v>
      </c>
      <c r="I71" s="820">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1" t="s">
        <v>2951</v>
      </c>
      <c r="B72" s="2875">
        <f>估价对象房地状况!C19</f>
        <v>0</v>
      </c>
      <c r="C72" s="2771"/>
      <c r="D72" s="1285">
        <f t="shared" si="20"/>
        <v>0</v>
      </c>
      <c r="E72" s="826"/>
      <c r="F72" s="2502"/>
      <c r="G72" s="1283"/>
      <c r="H72" s="1287" t="str">
        <f t="shared" si="21"/>
        <v>——</v>
      </c>
      <c r="I72" s="820">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c r="A73" s="2871" t="s">
        <v>2965</v>
      </c>
      <c r="B73" s="2875">
        <f>估价对象房地状况!C24</f>
        <v>0</v>
      </c>
      <c r="C73" s="2771"/>
      <c r="D73" s="1285">
        <f t="shared" si="20"/>
        <v>0</v>
      </c>
      <c r="E73" s="826"/>
      <c r="F73" s="2502"/>
      <c r="G73" s="1283"/>
      <c r="H73" s="1287" t="str">
        <f t="shared" si="21"/>
        <v>——</v>
      </c>
      <c r="I73" s="820">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c r="A74" s="2871" t="s">
        <v>2957</v>
      </c>
      <c r="B74" s="1724" t="str">
        <f>估价对象房地状况!C21</f>
        <v>估价对象所在区域公共配套设施齐备情况</v>
      </c>
      <c r="C74" s="2771"/>
      <c r="D74" s="1285">
        <f t="shared" si="20"/>
        <v>0</v>
      </c>
      <c r="E74" s="826"/>
      <c r="F74" s="2502"/>
      <c r="G74" s="1283"/>
      <c r="H74" s="1287" t="str">
        <f t="shared" si="21"/>
        <v>——</v>
      </c>
      <c r="I74" s="820">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c r="A75" s="2871" t="s">
        <v>2958</v>
      </c>
      <c r="B75" s="1724" t="str">
        <f>估价对象房地状况!C22</f>
        <v>估价对象所在区域基础设施水平</v>
      </c>
      <c r="C75" s="2771"/>
      <c r="D75" s="1285">
        <f t="shared" si="20"/>
        <v>0</v>
      </c>
      <c r="E75" s="826"/>
      <c r="F75" s="2502"/>
      <c r="G75" s="1283"/>
      <c r="H75" s="1287" t="str">
        <f t="shared" si="21"/>
        <v>——</v>
      </c>
      <c r="I75" s="820">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0" customFormat="1" ht="36">
      <c r="A76" s="2871" t="s">
        <v>2955</v>
      </c>
      <c r="B76" s="2877" t="s">
        <v>2956</v>
      </c>
      <c r="C76" s="2771"/>
      <c r="D76" s="1285">
        <f t="shared" si="20"/>
        <v>0</v>
      </c>
      <c r="E76" s="826"/>
      <c r="F76" s="2502"/>
      <c r="G76" s="1283"/>
      <c r="H76" s="1287" t="str">
        <f t="shared" si="21"/>
        <v>——</v>
      </c>
      <c r="I76" s="820">
        <v>0.05</v>
      </c>
      <c r="J76" s="1284">
        <f t="shared" si="22"/>
        <v>0</v>
      </c>
      <c r="K76" s="1284">
        <f t="shared" si="23"/>
        <v>0</v>
      </c>
      <c r="L76" s="1284">
        <v>0</v>
      </c>
      <c r="M76" s="1284">
        <f t="shared" si="24"/>
        <v>0</v>
      </c>
      <c r="N76" s="1284">
        <f t="shared" si="24"/>
        <v>0</v>
      </c>
      <c r="AA76" s="2882"/>
      <c r="AB76" s="1370"/>
      <c r="AC76" s="1370"/>
      <c r="AD76" s="1370"/>
      <c r="AE76" s="1370"/>
      <c r="AF76" s="1370"/>
      <c r="AG76" s="1370"/>
      <c r="AH76" s="2882"/>
      <c r="AI76" s="2882"/>
      <c r="AJ76" s="2882"/>
      <c r="AK76" s="2882"/>
    </row>
    <row r="77" spans="1:37" ht="39.6">
      <c r="A77" s="2871" t="s">
        <v>2959</v>
      </c>
      <c r="B77" s="2874" t="str">
        <f>估价对象房地状况!C20</f>
        <v>区域自然环境：；人文环境；综合评价环境状况一般</v>
      </c>
      <c r="C77" s="2771"/>
      <c r="D77" s="1285">
        <f t="shared" si="20"/>
        <v>0</v>
      </c>
      <c r="E77" s="826"/>
      <c r="F77" s="2502"/>
      <c r="G77" s="1283"/>
      <c r="H77" s="1287" t="str">
        <f t="shared" si="21"/>
        <v>——</v>
      </c>
      <c r="I77" s="820">
        <v>0.15</v>
      </c>
      <c r="J77" s="1284">
        <f t="shared" si="22"/>
        <v>0</v>
      </c>
      <c r="K77" s="1284">
        <f t="shared" si="23"/>
        <v>0</v>
      </c>
      <c r="L77" s="1284">
        <v>0</v>
      </c>
      <c r="M77" s="1284">
        <f t="shared" si="24"/>
        <v>0</v>
      </c>
      <c r="N77" s="1284">
        <f t="shared" si="24"/>
        <v>0</v>
      </c>
      <c r="Z77" s="2721"/>
      <c r="AA77" s="2789"/>
      <c r="AG77" s="1371"/>
      <c r="AK77" s="2789"/>
    </row>
    <row r="78" spans="1:37" ht="36.6" thickBot="1">
      <c r="A78" s="2879" t="s">
        <v>2966</v>
      </c>
      <c r="B78" s="2883"/>
      <c r="C78" s="2771"/>
      <c r="D78" s="1285">
        <f t="shared" si="20"/>
        <v>0</v>
      </c>
      <c r="E78" s="827"/>
      <c r="F78" s="2502"/>
      <c r="G78" s="1283"/>
      <c r="H78" s="1287" t="str">
        <f t="shared" si="21"/>
        <v>——</v>
      </c>
      <c r="I78" s="824">
        <v>0.04</v>
      </c>
      <c r="J78" s="1284">
        <f t="shared" si="22"/>
        <v>0</v>
      </c>
      <c r="K78" s="1284">
        <f t="shared" si="23"/>
        <v>0</v>
      </c>
      <c r="L78" s="1284">
        <v>0</v>
      </c>
      <c r="M78" s="1284">
        <f t="shared" si="24"/>
        <v>0</v>
      </c>
      <c r="N78" s="1284">
        <f t="shared" si="24"/>
        <v>0</v>
      </c>
      <c r="Z78" s="2721"/>
      <c r="AA78" s="2789"/>
      <c r="AG78" s="1371"/>
      <c r="AK78" s="2789"/>
    </row>
    <row r="79" spans="1:37" ht="14.4">
      <c r="A79" s="2867" t="s">
        <v>2967</v>
      </c>
      <c r="B79" s="2868">
        <f>1+E81</f>
        <v>1</v>
      </c>
      <c r="C79" s="814"/>
      <c r="D79" s="814"/>
      <c r="E79" s="815"/>
      <c r="F79" s="2870"/>
      <c r="G79" s="6"/>
      <c r="H79" s="6"/>
      <c r="I79" s="6"/>
      <c r="J79" s="7"/>
      <c r="K79" s="7"/>
      <c r="L79" s="7"/>
      <c r="M79" s="7"/>
      <c r="N79" s="7"/>
      <c r="Z79" s="2721"/>
      <c r="AA79" s="2789"/>
      <c r="AG79" s="1371"/>
      <c r="AK79" s="2789"/>
    </row>
    <row r="80" spans="1:37" ht="25.2">
      <c r="A80" s="2871" t="s">
        <v>2941</v>
      </c>
      <c r="B80" s="1808"/>
      <c r="C80" s="1808" t="s">
        <v>2943</v>
      </c>
      <c r="D80" s="1808" t="s">
        <v>2944</v>
      </c>
      <c r="E80" s="819" t="s">
        <v>2945</v>
      </c>
      <c r="F80" s="2872" t="s">
        <v>2961</v>
      </c>
      <c r="G80" s="1808" t="s">
        <v>754</v>
      </c>
      <c r="H80" s="2873" t="s">
        <v>2947</v>
      </c>
      <c r="I80" s="1808" t="s">
        <v>2948</v>
      </c>
      <c r="J80" s="603" t="s">
        <v>2597</v>
      </c>
      <c r="K80" s="603" t="s">
        <v>2598</v>
      </c>
      <c r="L80" s="603" t="s">
        <v>2599</v>
      </c>
      <c r="M80" s="603" t="s">
        <v>2600</v>
      </c>
      <c r="N80" s="603" t="s">
        <v>2601</v>
      </c>
      <c r="Z80" s="2721"/>
      <c r="AA80" s="2789"/>
      <c r="AG80" s="1371"/>
      <c r="AK80" s="2789"/>
    </row>
    <row r="81" spans="1:37" ht="39.6">
      <c r="A81" s="2871" t="s">
        <v>2968</v>
      </c>
      <c r="B81" s="2875" t="str">
        <f>估价对象房地状况!G15</f>
        <v>估价对象位于XX开发区，园区建设成熟度XX，产业集聚程度XX</v>
      </c>
      <c r="C81" s="2771"/>
      <c r="D81" s="1285">
        <f t="shared" ref="D81:D88" si="25">SUMIF($J$80:$N$80,C81,J81:N81)</f>
        <v>0</v>
      </c>
      <c r="E81" s="821">
        <f>ROUND(SUM(D81:D88),4)</f>
        <v>0</v>
      </c>
      <c r="F81" s="2502" t="str">
        <f>IF(E2="工业",SUMIF(L1:L12,G2,N1:N12),"——")</f>
        <v>——</v>
      </c>
      <c r="G81" s="1283"/>
      <c r="H81" s="1287" t="str">
        <f t="shared" ref="H81:H88" si="26">IFERROR(ROUNDDOWN($F$81*I81/2,4),"——")</f>
        <v>——</v>
      </c>
      <c r="I81" s="820">
        <v>0.26</v>
      </c>
      <c r="J81" s="1284">
        <f t="shared" ref="J81:J88" si="27">K81+$G81</f>
        <v>0</v>
      </c>
      <c r="K81" s="1284">
        <f t="shared" ref="K81:K88" si="28">$L81+$G81</f>
        <v>0</v>
      </c>
      <c r="L81" s="1284">
        <v>0</v>
      </c>
      <c r="M81" s="1284">
        <f t="shared" ref="M81:N88" si="29">L81-$G81</f>
        <v>0</v>
      </c>
      <c r="N81" s="1284">
        <f t="shared" si="29"/>
        <v>0</v>
      </c>
      <c r="Z81" s="2721"/>
      <c r="AA81" s="2789"/>
      <c r="AG81" s="1371"/>
      <c r="AK81" s="2789"/>
    </row>
    <row r="82" spans="1:37" ht="66">
      <c r="A82" s="2871" t="s">
        <v>2950</v>
      </c>
      <c r="B82" s="2875" t="str">
        <f>估价对象房地状况!G16</f>
        <v>估价对象周边道路状况、公共交通通达情况、停车便捷程度，综合评价交通便捷度较好</v>
      </c>
      <c r="C82" s="2771"/>
      <c r="D82" s="1285">
        <f t="shared" si="25"/>
        <v>0</v>
      </c>
      <c r="E82" s="826"/>
      <c r="F82" s="2502"/>
      <c r="G82" s="1283"/>
      <c r="H82" s="1287" t="str">
        <f t="shared" si="26"/>
        <v>——</v>
      </c>
      <c r="I82" s="820">
        <v>0.33</v>
      </c>
      <c r="J82" s="1284">
        <f t="shared" si="27"/>
        <v>0</v>
      </c>
      <c r="K82" s="1284">
        <f t="shared" si="28"/>
        <v>0</v>
      </c>
      <c r="L82" s="1284">
        <v>0</v>
      </c>
      <c r="M82" s="1284">
        <f t="shared" si="29"/>
        <v>0</v>
      </c>
      <c r="N82" s="1284">
        <f t="shared" si="29"/>
        <v>0</v>
      </c>
      <c r="Z82" s="2721"/>
      <c r="AA82" s="2789"/>
      <c r="AG82" s="1371"/>
      <c r="AK82" s="2789"/>
    </row>
    <row r="83" spans="1:37" ht="24">
      <c r="A83" s="2871" t="s">
        <v>2951</v>
      </c>
      <c r="B83" s="2875">
        <f>估价对象房地状况!G17</f>
        <v>0</v>
      </c>
      <c r="C83" s="2771"/>
      <c r="D83" s="1285">
        <f t="shared" si="25"/>
        <v>0</v>
      </c>
      <c r="E83" s="826"/>
      <c r="F83" s="2502"/>
      <c r="G83" s="1283"/>
      <c r="H83" s="1287" t="str">
        <f t="shared" si="26"/>
        <v>——</v>
      </c>
      <c r="I83" s="820">
        <v>0.05</v>
      </c>
      <c r="J83" s="1284">
        <f t="shared" si="27"/>
        <v>0</v>
      </c>
      <c r="K83" s="1284">
        <f t="shared" si="28"/>
        <v>0</v>
      </c>
      <c r="L83" s="1284">
        <v>0</v>
      </c>
      <c r="M83" s="1284">
        <f t="shared" si="29"/>
        <v>0</v>
      </c>
      <c r="N83" s="1284">
        <f t="shared" si="29"/>
        <v>0</v>
      </c>
      <c r="Z83" s="2721"/>
      <c r="AA83" s="2789"/>
      <c r="AG83" s="1371"/>
      <c r="AK83" s="2789"/>
    </row>
    <row r="84" spans="1:37" ht="13.8">
      <c r="A84" s="2871" t="s">
        <v>2965</v>
      </c>
      <c r="B84" s="2875">
        <f>估价对象房地状况!G22</f>
        <v>0</v>
      </c>
      <c r="C84" s="2771"/>
      <c r="D84" s="1285">
        <f t="shared" si="25"/>
        <v>0</v>
      </c>
      <c r="E84" s="826"/>
      <c r="F84" s="2502"/>
      <c r="G84" s="1283"/>
      <c r="H84" s="1287" t="str">
        <f t="shared" si="26"/>
        <v>——</v>
      </c>
      <c r="I84" s="820">
        <v>0.04</v>
      </c>
      <c r="J84" s="1284">
        <f t="shared" si="27"/>
        <v>0</v>
      </c>
      <c r="K84" s="1284">
        <f t="shared" si="28"/>
        <v>0</v>
      </c>
      <c r="L84" s="1284">
        <v>0</v>
      </c>
      <c r="M84" s="1284">
        <f t="shared" si="29"/>
        <v>0</v>
      </c>
      <c r="N84" s="1284">
        <f t="shared" si="29"/>
        <v>0</v>
      </c>
      <c r="Z84" s="2721"/>
      <c r="AA84" s="2789"/>
      <c r="AG84" s="1371"/>
      <c r="AK84" s="2789"/>
    </row>
    <row r="85" spans="1:37" ht="26.4">
      <c r="A85" s="2871" t="s">
        <v>2957</v>
      </c>
      <c r="B85" s="1724" t="str">
        <f>估价对象房地状况!G19</f>
        <v>估价对象所在区域公共配套设施齐备情况</v>
      </c>
      <c r="C85" s="2771"/>
      <c r="D85" s="1285">
        <f t="shared" si="25"/>
        <v>0</v>
      </c>
      <c r="E85" s="826"/>
      <c r="F85" s="2502"/>
      <c r="G85" s="1283"/>
      <c r="H85" s="1287" t="str">
        <f t="shared" si="26"/>
        <v>——</v>
      </c>
      <c r="I85" s="820">
        <v>0.06</v>
      </c>
      <c r="J85" s="1284">
        <f t="shared" si="27"/>
        <v>0</v>
      </c>
      <c r="K85" s="1284">
        <f t="shared" si="28"/>
        <v>0</v>
      </c>
      <c r="L85" s="1284">
        <v>0</v>
      </c>
      <c r="M85" s="1284">
        <f t="shared" si="29"/>
        <v>0</v>
      </c>
      <c r="N85" s="1284">
        <f t="shared" si="29"/>
        <v>0</v>
      </c>
      <c r="Z85" s="2721"/>
      <c r="AA85" s="2789"/>
      <c r="AG85" s="1371"/>
      <c r="AK85" s="2789"/>
    </row>
    <row r="86" spans="1:37" ht="26.4">
      <c r="A86" s="2871" t="s">
        <v>2958</v>
      </c>
      <c r="B86" s="1724" t="str">
        <f>估价对象房地状况!G20</f>
        <v>估价对象所在区域基础设施水平</v>
      </c>
      <c r="C86" s="2771"/>
      <c r="D86" s="1285">
        <f t="shared" si="25"/>
        <v>0</v>
      </c>
      <c r="E86" s="826"/>
      <c r="F86" s="2502"/>
      <c r="G86" s="1283"/>
      <c r="H86" s="1287" t="str">
        <f t="shared" si="26"/>
        <v>——</v>
      </c>
      <c r="I86" s="820">
        <v>0.15</v>
      </c>
      <c r="J86" s="1284">
        <f t="shared" si="27"/>
        <v>0</v>
      </c>
      <c r="K86" s="1284">
        <f t="shared" si="28"/>
        <v>0</v>
      </c>
      <c r="L86" s="1284">
        <v>0</v>
      </c>
      <c r="M86" s="1284">
        <f t="shared" si="29"/>
        <v>0</v>
      </c>
      <c r="N86" s="1284">
        <f t="shared" si="29"/>
        <v>0</v>
      </c>
      <c r="Z86" s="2721"/>
      <c r="AA86" s="2789"/>
      <c r="AG86" s="1371"/>
      <c r="AK86" s="2789"/>
    </row>
    <row r="87" spans="1:37" ht="36">
      <c r="A87" s="2871" t="s">
        <v>2955</v>
      </c>
      <c r="B87" s="2877" t="s">
        <v>2969</v>
      </c>
      <c r="C87" s="2771"/>
      <c r="D87" s="1285">
        <f t="shared" si="25"/>
        <v>0</v>
      </c>
      <c r="E87" s="826"/>
      <c r="F87" s="2502"/>
      <c r="G87" s="1283"/>
      <c r="H87" s="1287" t="str">
        <f t="shared" si="26"/>
        <v>——</v>
      </c>
      <c r="I87" s="820">
        <v>0.05</v>
      </c>
      <c r="J87" s="1284">
        <f t="shared" si="27"/>
        <v>0</v>
      </c>
      <c r="K87" s="1284">
        <f t="shared" si="28"/>
        <v>0</v>
      </c>
      <c r="L87" s="1284">
        <v>0</v>
      </c>
      <c r="M87" s="1284">
        <f t="shared" si="29"/>
        <v>0</v>
      </c>
      <c r="N87" s="1284">
        <f t="shared" si="29"/>
        <v>0</v>
      </c>
      <c r="Z87" s="2721"/>
      <c r="AA87" s="2789"/>
      <c r="AG87" s="1371"/>
      <c r="AK87" s="2789"/>
    </row>
    <row r="88" spans="1:37" ht="53.4" thickBot="1">
      <c r="A88" s="2879" t="s">
        <v>2970</v>
      </c>
      <c r="B88" s="2884" t="str">
        <f>估价对象房地状况!G18</f>
        <v>该园区内是否有污染型企业，绿化情况，卫生条件，整体环境状况判断</v>
      </c>
      <c r="C88" s="2771"/>
      <c r="D88" s="1285">
        <f t="shared" si="25"/>
        <v>0</v>
      </c>
      <c r="E88" s="827"/>
      <c r="F88" s="2502"/>
      <c r="G88" s="1283"/>
      <c r="H88" s="1287" t="str">
        <f t="shared" si="26"/>
        <v>——</v>
      </c>
      <c r="I88" s="824">
        <v>0.06</v>
      </c>
      <c r="J88" s="1284">
        <f t="shared" si="27"/>
        <v>0</v>
      </c>
      <c r="K88" s="1284">
        <f t="shared" si="28"/>
        <v>0</v>
      </c>
      <c r="L88" s="1284">
        <v>0</v>
      </c>
      <c r="M88" s="1284">
        <f t="shared" si="29"/>
        <v>0</v>
      </c>
      <c r="N88" s="1284">
        <f t="shared" si="29"/>
        <v>0</v>
      </c>
      <c r="Z88" s="2721"/>
      <c r="AA88" s="2789"/>
      <c r="AG88" s="1371"/>
      <c r="AK88" s="2789"/>
    </row>
    <row r="90" spans="1:37">
      <c r="A90" s="3254" t="s">
        <v>2971</v>
      </c>
      <c r="B90" s="3254"/>
      <c r="C90" s="3254"/>
      <c r="D90" s="3254"/>
      <c r="E90" s="3254"/>
      <c r="F90" s="3254"/>
      <c r="G90" s="3254"/>
      <c r="H90" s="3254"/>
      <c r="I90" s="3254"/>
      <c r="J90" s="3254"/>
      <c r="K90" s="2885"/>
      <c r="L90" s="2885"/>
      <c r="M90" s="2885"/>
      <c r="N90" s="2885"/>
    </row>
    <row r="91" spans="1:37">
      <c r="A91" s="3256" t="s">
        <v>2972</v>
      </c>
      <c r="B91" s="3256" t="s">
        <v>2973</v>
      </c>
      <c r="C91" s="2839" t="s">
        <v>2974</v>
      </c>
      <c r="D91" s="2840"/>
      <c r="E91" s="2840"/>
      <c r="F91" s="2840"/>
      <c r="G91" s="2840"/>
      <c r="H91" s="2840"/>
      <c r="I91" s="2840"/>
      <c r="J91" s="2886"/>
      <c r="K91" s="2887"/>
      <c r="L91" s="2887"/>
      <c r="M91" s="2887"/>
      <c r="N91" s="2887"/>
    </row>
    <row r="92" spans="1:37">
      <c r="A92" s="3256"/>
      <c r="B92" s="3256"/>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57" t="s">
        <v>2975</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5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5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5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5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5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58"/>
      <c r="B99" s="2888" t="s">
        <v>2856</v>
      </c>
      <c r="C99" s="2890">
        <f>$I$3</f>
        <v>1</v>
      </c>
      <c r="D99" s="2890">
        <f t="shared" ref="D99:M99" si="30">$I$3</f>
        <v>1</v>
      </c>
      <c r="E99" s="2890">
        <f t="shared" si="30"/>
        <v>1</v>
      </c>
      <c r="F99" s="2890">
        <f t="shared" si="30"/>
        <v>1</v>
      </c>
      <c r="G99" s="2890">
        <f t="shared" si="30"/>
        <v>1</v>
      </c>
      <c r="H99" s="2890">
        <f t="shared" si="30"/>
        <v>1</v>
      </c>
      <c r="I99" s="2890">
        <f t="shared" si="30"/>
        <v>1</v>
      </c>
      <c r="J99" s="2890">
        <f t="shared" si="30"/>
        <v>1</v>
      </c>
      <c r="K99" s="2890">
        <f t="shared" si="30"/>
        <v>1</v>
      </c>
      <c r="L99" s="2890">
        <f t="shared" si="30"/>
        <v>1</v>
      </c>
      <c r="M99" s="2890">
        <f t="shared" si="30"/>
        <v>1</v>
      </c>
      <c r="N99" s="2890">
        <f>$I$3</f>
        <v>1</v>
      </c>
    </row>
    <row r="100" spans="1:14">
      <c r="A100" s="3259"/>
      <c r="B100" s="2888">
        <v>7</v>
      </c>
      <c r="C100" s="2891">
        <f>(-0.163*(C99^2)-0.59*C99+7617)*(10^(-4))</f>
        <v>0.76162470000000004</v>
      </c>
      <c r="D100" s="2891">
        <f>(-0.163*(D99^2)-0.59*D99+7617)*(10^(-4))</f>
        <v>0.76162470000000004</v>
      </c>
      <c r="E100" s="2891">
        <f>(-0.161*(E99^2)-7.509*E99+6533)*(10^(-4))</f>
        <v>0.65253300000000003</v>
      </c>
      <c r="F100" s="2891">
        <f>(-0.161*(F99^2)-7.509*F99+6533)*(10^(-4))</f>
        <v>0.65253300000000003</v>
      </c>
      <c r="G100" s="2891">
        <f>(-0.161*(G99^2)-7.509*G99+6533)*(10^(-4))</f>
        <v>0.65253300000000003</v>
      </c>
      <c r="H100" s="2891">
        <f>(-0.161*(H99^2)-7.509*H99+6533)*(10^(-4))</f>
        <v>0.65253300000000003</v>
      </c>
      <c r="I100" s="2891">
        <f>(-0.161*(I99^2)-7.509*I99+6533)*(10^(-4))</f>
        <v>0.65253300000000003</v>
      </c>
      <c r="J100" s="2891">
        <f>(-0.214*(J99^2)-21.991*J99+4665)*(10^(-4))</f>
        <v>0.46427950000000001</v>
      </c>
      <c r="K100" s="2891">
        <f>(-0.214*(K99^2)-21.991*K99+4665)*(10^(-4))</f>
        <v>0.46427950000000001</v>
      </c>
      <c r="L100" s="2891">
        <f>(-0.214*(L99^2)-21.991*L99+4665)*(10^(-4))</f>
        <v>0.46427950000000001</v>
      </c>
      <c r="M100" s="2891">
        <f>(-0.214*(M99^2)-21.991*M99+4665)*(10^(-4))</f>
        <v>0.46427950000000001</v>
      </c>
      <c r="N100" s="2891">
        <f>(-0.214*(N99^2)-21.991*N99+4665)*(10^(-4))</f>
        <v>0.46427950000000001</v>
      </c>
    </row>
    <row r="101" spans="1:14">
      <c r="A101" s="3257" t="s">
        <v>2976</v>
      </c>
      <c r="B101" s="2892" t="s">
        <v>2977</v>
      </c>
      <c r="C101" s="2893">
        <f>$G$3</f>
        <v>3.12</v>
      </c>
      <c r="D101" s="2893">
        <f t="shared" ref="D101:N101" si="31">$G$3</f>
        <v>3.12</v>
      </c>
      <c r="E101" s="2893">
        <f t="shared" si="31"/>
        <v>3.12</v>
      </c>
      <c r="F101" s="2893">
        <f t="shared" si="31"/>
        <v>3.12</v>
      </c>
      <c r="G101" s="2893">
        <f t="shared" si="31"/>
        <v>3.12</v>
      </c>
      <c r="H101" s="2893">
        <f t="shared" si="31"/>
        <v>3.12</v>
      </c>
      <c r="I101" s="2893">
        <f t="shared" si="31"/>
        <v>3.12</v>
      </c>
      <c r="J101" s="2893">
        <f t="shared" si="31"/>
        <v>3.12</v>
      </c>
      <c r="K101" s="2893">
        <f t="shared" si="31"/>
        <v>3.12</v>
      </c>
      <c r="L101" s="2893">
        <f t="shared" si="31"/>
        <v>3.12</v>
      </c>
      <c r="M101" s="2893">
        <f t="shared" si="31"/>
        <v>3.12</v>
      </c>
      <c r="N101" s="2893">
        <f t="shared" si="31"/>
        <v>3.12</v>
      </c>
    </row>
    <row r="102" spans="1:14">
      <c r="A102" s="3258"/>
      <c r="B102" s="2888">
        <v>1</v>
      </c>
      <c r="C102" s="2889">
        <f>1.9362/C101</f>
        <v>0.62057692307692303</v>
      </c>
      <c r="D102" s="2889">
        <f>1.9362/D101</f>
        <v>0.62057692307692303</v>
      </c>
      <c r="E102" s="2889">
        <f>1.8629/E101</f>
        <v>0.5970833333333333</v>
      </c>
      <c r="F102" s="2889">
        <f>1.8629/F101</f>
        <v>0.5970833333333333</v>
      </c>
      <c r="G102" s="2889">
        <f>1.8629/G101</f>
        <v>0.5970833333333333</v>
      </c>
      <c r="H102" s="2889">
        <f>1.8629/H101</f>
        <v>0.5970833333333333</v>
      </c>
      <c r="I102" s="2889">
        <f>1.8629/I101</f>
        <v>0.5970833333333333</v>
      </c>
      <c r="J102" s="2889">
        <f>1.942/J101</f>
        <v>0.62243589743589745</v>
      </c>
      <c r="K102" s="2889">
        <f>1.942/K101</f>
        <v>0.62243589743589745</v>
      </c>
      <c r="L102" s="2889">
        <f>1.942/L101</f>
        <v>0.62243589743589745</v>
      </c>
      <c r="M102" s="2889">
        <f>1.942/M101</f>
        <v>0.62243589743589745</v>
      </c>
      <c r="N102" s="2889">
        <f>1.942/N101</f>
        <v>0.62243589743589745</v>
      </c>
    </row>
    <row r="103" spans="1:14">
      <c r="A103" s="3258"/>
      <c r="B103" s="2888">
        <v>2</v>
      </c>
      <c r="C103" s="2889">
        <f>1.4198/C101</f>
        <v>0.45506410256410251</v>
      </c>
      <c r="D103" s="2889">
        <f>1.4198/D101</f>
        <v>0.45506410256410251</v>
      </c>
      <c r="E103" s="2889">
        <f>1.3372/E101</f>
        <v>0.42858974358974355</v>
      </c>
      <c r="F103" s="2889">
        <f>1.3372/F101</f>
        <v>0.42858974358974355</v>
      </c>
      <c r="G103" s="2889">
        <f>1.3372/G101</f>
        <v>0.42858974358974355</v>
      </c>
      <c r="H103" s="2889">
        <f>1.3372/H101</f>
        <v>0.42858974358974355</v>
      </c>
      <c r="I103" s="2889">
        <f>1.3372/I101</f>
        <v>0.42858974358974355</v>
      </c>
      <c r="J103" s="2889">
        <f>1.2799/J101</f>
        <v>0.41022435897435899</v>
      </c>
      <c r="K103" s="2889">
        <f>1.2799/K101</f>
        <v>0.41022435897435899</v>
      </c>
      <c r="L103" s="2889">
        <f>1.2799/L101</f>
        <v>0.41022435897435899</v>
      </c>
      <c r="M103" s="2889">
        <f>1.2799/M101</f>
        <v>0.41022435897435899</v>
      </c>
      <c r="N103" s="2889">
        <f>1.2799/N101</f>
        <v>0.41022435897435899</v>
      </c>
    </row>
    <row r="104" spans="1:14">
      <c r="A104" s="3258"/>
      <c r="B104" s="2888">
        <v>3</v>
      </c>
      <c r="C104" s="2889">
        <f>1.1594/C101</f>
        <v>0.37160256410256409</v>
      </c>
      <c r="D104" s="2889">
        <f>1.1594/D101</f>
        <v>0.37160256410256409</v>
      </c>
      <c r="E104" s="2889">
        <f>1.0788/E101</f>
        <v>0.34576923076923077</v>
      </c>
      <c r="F104" s="2889">
        <f>1.0788/F101</f>
        <v>0.34576923076923077</v>
      </c>
      <c r="G104" s="2889">
        <f>1.0788/G101</f>
        <v>0.34576923076923077</v>
      </c>
      <c r="H104" s="2889">
        <f>1.0788/H101</f>
        <v>0.34576923076923077</v>
      </c>
      <c r="I104" s="2889">
        <f>1.0788/I101</f>
        <v>0.34576923076923077</v>
      </c>
      <c r="J104" s="2889">
        <f>1.0072/J101</f>
        <v>0.32282051282051283</v>
      </c>
      <c r="K104" s="2889">
        <f>1.0072/K101</f>
        <v>0.32282051282051283</v>
      </c>
      <c r="L104" s="2889">
        <f>1.0072/L101</f>
        <v>0.32282051282051283</v>
      </c>
      <c r="M104" s="2889">
        <f>1.0072/M101</f>
        <v>0.32282051282051283</v>
      </c>
      <c r="N104" s="2889">
        <f>1.0072/N101</f>
        <v>0.32282051282051283</v>
      </c>
    </row>
    <row r="105" spans="1:14">
      <c r="A105" s="3258"/>
      <c r="B105" s="2888">
        <v>4</v>
      </c>
      <c r="C105" s="2889">
        <f>0.9622/C101</f>
        <v>0.3083974358974359</v>
      </c>
      <c r="D105" s="2889">
        <f>0.9622/D101</f>
        <v>0.3083974358974359</v>
      </c>
      <c r="E105" s="2889">
        <f>0.8656/E101</f>
        <v>0.27743589743589742</v>
      </c>
      <c r="F105" s="2889">
        <f>0.8656/F101</f>
        <v>0.27743589743589742</v>
      </c>
      <c r="G105" s="2889">
        <f>0.8656/G101</f>
        <v>0.27743589743589742</v>
      </c>
      <c r="H105" s="2889">
        <f>0.8656/H101</f>
        <v>0.27743589743589742</v>
      </c>
      <c r="I105" s="2889">
        <f>0.8656/I101</f>
        <v>0.27743589743589742</v>
      </c>
      <c r="J105" s="2889">
        <f>0.7525/J101</f>
        <v>0.24118589743589741</v>
      </c>
      <c r="K105" s="2889">
        <f>0.7525/K101</f>
        <v>0.24118589743589741</v>
      </c>
      <c r="L105" s="2889">
        <f>0.7525/L101</f>
        <v>0.24118589743589741</v>
      </c>
      <c r="M105" s="2889">
        <f>0.7525/M101</f>
        <v>0.24118589743589741</v>
      </c>
      <c r="N105" s="2889">
        <f>0.7525/N101</f>
        <v>0.24118589743589741</v>
      </c>
    </row>
    <row r="106" spans="1:14">
      <c r="A106" s="3258"/>
      <c r="B106" s="2888">
        <v>5</v>
      </c>
      <c r="C106" s="2889">
        <f>0.8417/C101</f>
        <v>0.269775641025641</v>
      </c>
      <c r="D106" s="2889">
        <f>0.8417/D101</f>
        <v>0.269775641025641</v>
      </c>
      <c r="E106" s="2889">
        <f>0.7371/E101</f>
        <v>0.23624999999999999</v>
      </c>
      <c r="F106" s="2889">
        <f>0.7371/F101</f>
        <v>0.23624999999999999</v>
      </c>
      <c r="G106" s="2889">
        <f>0.7371/G101</f>
        <v>0.23624999999999999</v>
      </c>
      <c r="H106" s="2889">
        <f>0.7371/H101</f>
        <v>0.23624999999999999</v>
      </c>
      <c r="I106" s="2889">
        <f>0.7371/I101</f>
        <v>0.23624999999999999</v>
      </c>
      <c r="J106" s="2889">
        <f>0.5659/J101</f>
        <v>0.1813782051282051</v>
      </c>
      <c r="K106" s="2889">
        <f>0.5659/K101</f>
        <v>0.1813782051282051</v>
      </c>
      <c r="L106" s="2889">
        <f>0.5659/L101</f>
        <v>0.1813782051282051</v>
      </c>
      <c r="M106" s="2889">
        <f>0.5659/M101</f>
        <v>0.1813782051282051</v>
      </c>
      <c r="N106" s="2889">
        <f>0.5659/N101</f>
        <v>0.1813782051282051</v>
      </c>
    </row>
    <row r="107" spans="1:14">
      <c r="A107" s="3258"/>
      <c r="B107" s="2888">
        <v>6</v>
      </c>
      <c r="C107" s="2889">
        <f>0.7608/C101</f>
        <v>0.24384615384615385</v>
      </c>
      <c r="D107" s="2889">
        <f>0.7608/D101</f>
        <v>0.24384615384615385</v>
      </c>
      <c r="E107" s="2889">
        <f>0.6482/E101</f>
        <v>0.20775641025641026</v>
      </c>
      <c r="F107" s="2889">
        <f>0.6482/F101</f>
        <v>0.20775641025641026</v>
      </c>
      <c r="G107" s="2889">
        <f>0.6482/G101</f>
        <v>0.20775641025641026</v>
      </c>
      <c r="H107" s="2889">
        <f>0.6482/H101</f>
        <v>0.20775641025641026</v>
      </c>
      <c r="I107" s="2889">
        <f>0.6482/I101</f>
        <v>0.20775641025641026</v>
      </c>
      <c r="J107" s="2889">
        <f>0.4525/J101</f>
        <v>0.14503205128205129</v>
      </c>
      <c r="K107" s="2889">
        <f>0.4525/K101</f>
        <v>0.14503205128205129</v>
      </c>
      <c r="L107" s="2889">
        <f>0.4525/L101</f>
        <v>0.14503205128205129</v>
      </c>
      <c r="M107" s="2889">
        <f>0.4525/M101</f>
        <v>0.14503205128205129</v>
      </c>
      <c r="N107" s="2889">
        <f>0.4525/N101</f>
        <v>0.14503205128205129</v>
      </c>
    </row>
    <row r="108" spans="1:14">
      <c r="A108" s="3258"/>
      <c r="B108" s="3082" t="s">
        <v>2978</v>
      </c>
      <c r="C108" s="2890">
        <f>C99</f>
        <v>1</v>
      </c>
      <c r="D108" s="2890">
        <f t="shared" ref="D108:N108" si="32">D99</f>
        <v>1</v>
      </c>
      <c r="E108" s="2890">
        <f t="shared" si="32"/>
        <v>1</v>
      </c>
      <c r="F108" s="2890">
        <f t="shared" si="32"/>
        <v>1</v>
      </c>
      <c r="G108" s="2890">
        <f t="shared" si="32"/>
        <v>1</v>
      </c>
      <c r="H108" s="2890">
        <f t="shared" si="32"/>
        <v>1</v>
      </c>
      <c r="I108" s="2890">
        <f t="shared" si="32"/>
        <v>1</v>
      </c>
      <c r="J108" s="2890">
        <f t="shared" si="32"/>
        <v>1</v>
      </c>
      <c r="K108" s="2890">
        <f t="shared" si="32"/>
        <v>1</v>
      </c>
      <c r="L108" s="2890">
        <f t="shared" si="32"/>
        <v>1</v>
      </c>
      <c r="M108" s="2890">
        <f t="shared" si="32"/>
        <v>1</v>
      </c>
      <c r="N108" s="2890">
        <f t="shared" si="32"/>
        <v>1</v>
      </c>
    </row>
    <row r="109" spans="1:14">
      <c r="A109" s="3259"/>
      <c r="B109" s="3083"/>
      <c r="C109" s="2891">
        <f>(-0.163*(C108^2)-0.59*C108+7617)*(10^(-4))/C101</f>
        <v>0.24411048076923078</v>
      </c>
      <c r="D109" s="2891">
        <f>(-0.163*(D108^2)-0.59*D108+7617)*(10^(-4))/D101</f>
        <v>0.24411048076923078</v>
      </c>
      <c r="E109" s="2891">
        <f>(-0.161*(E108^2)-7.509*E108+6533)*(10^(-4))/E101</f>
        <v>0.20914519230769232</v>
      </c>
      <c r="F109" s="2891">
        <f>(-0.161*(F108^2)-7.509*F108+6533)*(10^(-4))/F101</f>
        <v>0.20914519230769232</v>
      </c>
      <c r="G109" s="2891">
        <f>(-0.161*(G108^2)-7.509*G108+6533)*(10^(-4))/G101</f>
        <v>0.20914519230769232</v>
      </c>
      <c r="H109" s="2891">
        <f>(-0.161*(H108^2)-7.509*H108+6533)*(10^(-4))/H101</f>
        <v>0.20914519230769232</v>
      </c>
      <c r="I109" s="2891">
        <f>(-0.161*(I108^2)-7.509*I108+6533)*(10^(-4))/I101</f>
        <v>0.20914519230769232</v>
      </c>
      <c r="J109" s="2891">
        <f>(-0.214*(J108^2)-21.991*J108+4665)*(10^(-4))/J101</f>
        <v>0.14880753205128205</v>
      </c>
      <c r="K109" s="2891">
        <f>(-0.214*(K108^2)-21.991*K108+4665)*(10^(-4))/K101</f>
        <v>0.14880753205128205</v>
      </c>
      <c r="L109" s="2891">
        <f>(-0.214*(L108^2)-21.991*L108+4665)*(10^(-4))/L101</f>
        <v>0.14880753205128205</v>
      </c>
      <c r="M109" s="2891">
        <f>(-0.214*(M108^2)-21.991*M108+4665)*(10^(-4))/M101</f>
        <v>0.14880753205128205</v>
      </c>
      <c r="N109" s="2891">
        <f>(-0.214*(N108^2)-21.991*N108+4665)*(10^(-4))/N101</f>
        <v>0.14880753205128205</v>
      </c>
    </row>
    <row r="110" spans="1:14">
      <c r="A110" s="3255" t="s">
        <v>2979</v>
      </c>
      <c r="B110" s="3255"/>
      <c r="C110" s="3255"/>
      <c r="D110" s="3255"/>
      <c r="E110" s="3255"/>
      <c r="F110" s="3255"/>
      <c r="G110" s="3255"/>
      <c r="H110" s="3255"/>
      <c r="I110" s="3255"/>
      <c r="J110" s="3255"/>
      <c r="K110" s="2894"/>
      <c r="L110" s="2894"/>
      <c r="M110" s="2894"/>
      <c r="N110" s="2894"/>
    </row>
    <row r="112" spans="1:14" ht="13.8" thickBot="1"/>
    <row r="113" spans="1:13" ht="25.8" thickBot="1">
      <c r="A113" s="903" t="s">
        <v>2980</v>
      </c>
      <c r="B113" s="1286">
        <f>G3</f>
        <v>3.12</v>
      </c>
      <c r="C113" s="904" t="s">
        <v>2981</v>
      </c>
      <c r="D113" s="905">
        <f>SUMPRODUCT((A115:A118=F113)*(B114:M114=H113)*B115:M118)</f>
        <v>0.9042</v>
      </c>
      <c r="E113" s="2725" t="s">
        <v>2814</v>
      </c>
      <c r="F113" s="2896" t="str">
        <f>E2</f>
        <v>商业</v>
      </c>
      <c r="G113" s="2725" t="s">
        <v>2815</v>
      </c>
      <c r="H113" s="2896" t="str">
        <f>G2</f>
        <v>二级</v>
      </c>
      <c r="I113" s="2725"/>
      <c r="J113" s="2897"/>
      <c r="K113" s="2897"/>
      <c r="L113" s="2897"/>
      <c r="M113" s="2897"/>
    </row>
    <row r="114" spans="1:13">
      <c r="A114" s="908"/>
      <c r="B114" s="2898" t="s">
        <v>2982</v>
      </c>
      <c r="C114" s="2898" t="s">
        <v>2983</v>
      </c>
      <c r="D114" s="2898" t="s">
        <v>2984</v>
      </c>
      <c r="E114" s="2899" t="s">
        <v>2985</v>
      </c>
      <c r="F114" s="2899" t="s">
        <v>2986</v>
      </c>
      <c r="G114" s="2899" t="s">
        <v>2987</v>
      </c>
      <c r="H114" s="2900" t="s">
        <v>2988</v>
      </c>
      <c r="I114" s="2900" t="s">
        <v>2989</v>
      </c>
      <c r="J114" s="2901" t="s">
        <v>2990</v>
      </c>
      <c r="K114" s="2901" t="s">
        <v>2991</v>
      </c>
      <c r="L114" s="2901" t="s">
        <v>2992</v>
      </c>
      <c r="M114" s="2902" t="s">
        <v>2993</v>
      </c>
    </row>
    <row r="115" spans="1:13">
      <c r="A115" s="909" t="s">
        <v>2878</v>
      </c>
      <c r="B115" s="910">
        <f>ROUND(0.9335-0.0094*B113,4)</f>
        <v>0.9042</v>
      </c>
      <c r="C115" s="910">
        <f>B115</f>
        <v>0.9042</v>
      </c>
      <c r="D115" s="910">
        <f>ROUND(0.8331-0.0109*B113,4)</f>
        <v>0.79910000000000003</v>
      </c>
      <c r="E115" s="910">
        <f>D115</f>
        <v>0.79910000000000003</v>
      </c>
      <c r="F115" s="910">
        <f>E115</f>
        <v>0.79910000000000003</v>
      </c>
      <c r="G115" s="910">
        <f>F115</f>
        <v>0.79910000000000003</v>
      </c>
      <c r="H115" s="910">
        <f>G115</f>
        <v>0.79910000000000003</v>
      </c>
      <c r="I115" s="910">
        <f>ROUND(0.689-0.0155*B113,4)</f>
        <v>0.64059999999999995</v>
      </c>
      <c r="J115" s="910">
        <f t="shared" ref="J115:M118" si="33">I115</f>
        <v>0.64059999999999995</v>
      </c>
      <c r="K115" s="910">
        <f t="shared" si="33"/>
        <v>0.64059999999999995</v>
      </c>
      <c r="L115" s="910">
        <f t="shared" si="33"/>
        <v>0.64059999999999995</v>
      </c>
      <c r="M115" s="911">
        <f t="shared" si="33"/>
        <v>0.64059999999999995</v>
      </c>
    </row>
    <row r="116" spans="1:13">
      <c r="A116" s="909" t="s">
        <v>2879</v>
      </c>
      <c r="B116" s="910">
        <f>ROUND(0.949-0.012*B113,4)</f>
        <v>0.91159999999999997</v>
      </c>
      <c r="C116" s="910">
        <f>B116</f>
        <v>0.91159999999999997</v>
      </c>
      <c r="D116" s="910">
        <f>ROUND(0.8567-0.013*B113,4)</f>
        <v>0.81610000000000005</v>
      </c>
      <c r="E116" s="910">
        <f t="shared" ref="E116:H117" si="34">D116</f>
        <v>0.81610000000000005</v>
      </c>
      <c r="F116" s="910">
        <f t="shared" si="34"/>
        <v>0.81610000000000005</v>
      </c>
      <c r="G116" s="910">
        <f t="shared" si="34"/>
        <v>0.81610000000000005</v>
      </c>
      <c r="H116" s="910">
        <f t="shared" si="34"/>
        <v>0.81610000000000005</v>
      </c>
      <c r="I116" s="910">
        <f>ROUND(0.7694-0.014*B113,4)</f>
        <v>0.72570000000000001</v>
      </c>
      <c r="J116" s="910">
        <f t="shared" si="33"/>
        <v>0.72570000000000001</v>
      </c>
      <c r="K116" s="910">
        <f t="shared" si="33"/>
        <v>0.72570000000000001</v>
      </c>
      <c r="L116" s="910">
        <f t="shared" si="33"/>
        <v>0.72570000000000001</v>
      </c>
      <c r="M116" s="911">
        <f t="shared" si="33"/>
        <v>0.72570000000000001</v>
      </c>
    </row>
    <row r="117" spans="1:13">
      <c r="A117" s="909" t="s">
        <v>2880</v>
      </c>
      <c r="B117" s="910">
        <f>ROUND(0.8808-0.006*B113,4)</f>
        <v>0.86209999999999998</v>
      </c>
      <c r="C117" s="910">
        <f>B117</f>
        <v>0.86209999999999998</v>
      </c>
      <c r="D117" s="910">
        <f>ROUND(0.8748-0.008*B113,4)</f>
        <v>0.8498</v>
      </c>
      <c r="E117" s="910">
        <f t="shared" si="34"/>
        <v>0.8498</v>
      </c>
      <c r="F117" s="910">
        <f t="shared" si="34"/>
        <v>0.8498</v>
      </c>
      <c r="G117" s="910">
        <f t="shared" si="34"/>
        <v>0.8498</v>
      </c>
      <c r="H117" s="910">
        <f t="shared" si="34"/>
        <v>0.8498</v>
      </c>
      <c r="I117" s="910">
        <f>ROUND(0.7412-0.0095*B113,4)</f>
        <v>0.71160000000000001</v>
      </c>
      <c r="J117" s="910">
        <f t="shared" si="33"/>
        <v>0.71160000000000001</v>
      </c>
      <c r="K117" s="910">
        <f t="shared" si="33"/>
        <v>0.71160000000000001</v>
      </c>
      <c r="L117" s="910">
        <f t="shared" si="33"/>
        <v>0.71160000000000001</v>
      </c>
      <c r="M117" s="911">
        <f t="shared" si="33"/>
        <v>0.71160000000000001</v>
      </c>
    </row>
    <row r="118" spans="1:13" ht="13.8" thickBot="1">
      <c r="A118" s="714" t="s">
        <v>2881</v>
      </c>
      <c r="B118" s="912">
        <f>ROUND(0.7275-0.01*B113,4)</f>
        <v>0.69630000000000003</v>
      </c>
      <c r="C118" s="912">
        <f>B118</f>
        <v>0.69630000000000003</v>
      </c>
      <c r="D118" s="912">
        <f>ROUND(0.7043-0.012*B113,4)</f>
        <v>0.66690000000000005</v>
      </c>
      <c r="E118" s="912">
        <f>D118</f>
        <v>0.66690000000000005</v>
      </c>
      <c r="F118" s="912">
        <f>E118</f>
        <v>0.66690000000000005</v>
      </c>
      <c r="G118" s="912">
        <f>ROUND(0.6299-0.0122*B113,4)</f>
        <v>0.59179999999999999</v>
      </c>
      <c r="H118" s="912">
        <f>G118</f>
        <v>0.59179999999999999</v>
      </c>
      <c r="I118" s="912">
        <f>ROUND(0.5667-0.0136*B113,4)</f>
        <v>0.52429999999999999</v>
      </c>
      <c r="J118" s="912">
        <f t="shared" si="33"/>
        <v>0.52429999999999999</v>
      </c>
      <c r="K118" s="912">
        <f t="shared" si="33"/>
        <v>0.52429999999999999</v>
      </c>
      <c r="L118" s="912">
        <f t="shared" si="33"/>
        <v>0.52429999999999999</v>
      </c>
      <c r="M118" s="913">
        <f t="shared" si="33"/>
        <v>0.52429999999999999</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5" t="s">
        <v>183</v>
      </c>
      <c r="B18" s="882" t="s">
        <v>560</v>
      </c>
      <c r="C18" s="883" t="s">
        <v>561</v>
      </c>
      <c r="D18" s="884"/>
      <c r="E18" s="882">
        <v>1</v>
      </c>
      <c r="F18" s="885" t="s">
        <v>562</v>
      </c>
      <c r="G18" s="886"/>
      <c r="H18" s="878"/>
      <c r="I18" s="878"/>
    </row>
    <row r="19" spans="1:9" s="887" customFormat="1" ht="19.5" customHeight="1">
      <c r="A19" s="3275"/>
      <c r="B19" s="3275" t="s">
        <v>563</v>
      </c>
      <c r="C19" s="883" t="s">
        <v>564</v>
      </c>
      <c r="D19" s="884"/>
      <c r="E19" s="882">
        <v>0.9</v>
      </c>
      <c r="F19" s="885" t="s">
        <v>565</v>
      </c>
      <c r="G19" s="886"/>
      <c r="H19" s="878"/>
      <c r="I19" s="878"/>
    </row>
    <row r="20" spans="1:9" s="887" customFormat="1" ht="19.5" customHeight="1">
      <c r="A20" s="3275"/>
      <c r="B20" s="3275"/>
      <c r="C20" s="883" t="s">
        <v>566</v>
      </c>
      <c r="D20" s="884"/>
      <c r="E20" s="882">
        <v>1.1000000000000001</v>
      </c>
      <c r="F20" s="885" t="s">
        <v>567</v>
      </c>
      <c r="G20" s="886"/>
      <c r="H20" s="878"/>
      <c r="I20" s="878"/>
    </row>
    <row r="21" spans="1:9" s="887" customFormat="1" ht="19.5" customHeight="1">
      <c r="A21" s="3275"/>
      <c r="B21" s="3275"/>
      <c r="C21" s="883" t="s">
        <v>568</v>
      </c>
      <c r="D21" s="884"/>
      <c r="E21" s="882">
        <v>0.8</v>
      </c>
      <c r="F21" s="885" t="s">
        <v>569</v>
      </c>
      <c r="G21" s="886"/>
      <c r="H21" s="878"/>
      <c r="I21" s="878"/>
    </row>
    <row r="22" spans="1:9" s="887" customFormat="1" ht="19.5" customHeight="1">
      <c r="A22" s="3275"/>
      <c r="B22" s="3275"/>
      <c r="C22" s="883" t="s">
        <v>570</v>
      </c>
      <c r="D22" s="884"/>
      <c r="E22" s="882">
        <v>0.5</v>
      </c>
      <c r="F22" s="885"/>
      <c r="G22" s="886"/>
      <c r="H22" s="878"/>
      <c r="I22" s="878"/>
    </row>
    <row r="23" spans="1:9" s="887" customFormat="1" ht="19.5" customHeight="1">
      <c r="A23" s="3275" t="s">
        <v>184</v>
      </c>
      <c r="B23" s="882" t="s">
        <v>560</v>
      </c>
      <c r="C23" s="883" t="s">
        <v>571</v>
      </c>
      <c r="D23" s="884"/>
      <c r="E23" s="882">
        <v>1</v>
      </c>
      <c r="F23" s="885" t="s">
        <v>572</v>
      </c>
      <c r="G23" s="886"/>
      <c r="H23" s="878"/>
      <c r="I23" s="878"/>
    </row>
    <row r="24" spans="1:9" s="887" customFormat="1" ht="19.5" customHeight="1">
      <c r="A24" s="3275"/>
      <c r="B24" s="3275" t="s">
        <v>563</v>
      </c>
      <c r="C24" s="883" t="s">
        <v>573</v>
      </c>
      <c r="D24" s="884"/>
      <c r="E24" s="882">
        <v>0.5</v>
      </c>
      <c r="F24" s="885"/>
      <c r="G24" s="886"/>
      <c r="H24" s="878"/>
      <c r="I24" s="878"/>
    </row>
    <row r="25" spans="1:9" s="887" customFormat="1" ht="19.5" customHeight="1">
      <c r="A25" s="3275"/>
      <c r="B25" s="3275"/>
      <c r="C25" s="883" t="s">
        <v>574</v>
      </c>
      <c r="D25" s="884"/>
      <c r="E25" s="882">
        <v>1.1000000000000001</v>
      </c>
      <c r="F25" s="885"/>
      <c r="G25" s="886"/>
      <c r="H25" s="878"/>
      <c r="I25" s="878"/>
    </row>
    <row r="26" spans="1:9" s="887" customFormat="1" ht="19.5" customHeight="1">
      <c r="A26" s="3275"/>
      <c r="B26" s="3275"/>
      <c r="C26" s="883" t="s">
        <v>575</v>
      </c>
      <c r="D26" s="884"/>
      <c r="E26" s="882">
        <v>1.1000000000000001</v>
      </c>
      <c r="F26" s="885"/>
      <c r="G26" s="886"/>
      <c r="H26" s="878"/>
      <c r="I26" s="878"/>
    </row>
    <row r="27" spans="1:9" s="887" customFormat="1" ht="19.5" customHeight="1">
      <c r="A27" s="3275"/>
      <c r="B27" s="3275"/>
      <c r="C27" s="883" t="s">
        <v>576</v>
      </c>
      <c r="D27" s="884"/>
      <c r="E27" s="882">
        <v>0.9</v>
      </c>
      <c r="F27" s="885" t="s">
        <v>577</v>
      </c>
      <c r="G27" s="886"/>
      <c r="H27" s="878"/>
      <c r="I27" s="878"/>
    </row>
    <row r="28" spans="1:9" s="887" customFormat="1" ht="19.5" customHeight="1">
      <c r="A28" s="3275"/>
      <c r="B28" s="3275"/>
      <c r="C28" s="883" t="s">
        <v>578</v>
      </c>
      <c r="D28" s="884"/>
      <c r="E28" s="882">
        <v>0.9</v>
      </c>
      <c r="F28" s="885" t="s">
        <v>579</v>
      </c>
      <c r="G28" s="886"/>
      <c r="H28" s="878"/>
      <c r="I28" s="878"/>
    </row>
    <row r="29" spans="1:9" s="887" customFormat="1" ht="19.5" customHeight="1">
      <c r="A29" s="3275"/>
      <c r="B29" s="3275"/>
      <c r="C29" s="883" t="s">
        <v>580</v>
      </c>
      <c r="D29" s="884"/>
      <c r="E29" s="882">
        <v>0.9</v>
      </c>
      <c r="F29" s="885" t="s">
        <v>581</v>
      </c>
      <c r="G29" s="886"/>
      <c r="H29" s="878"/>
      <c r="I29" s="878"/>
    </row>
    <row r="30" spans="1:9" s="887" customFormat="1" ht="19.5" customHeight="1">
      <c r="A30" s="3275"/>
      <c r="B30" s="3275"/>
      <c r="C30" s="883" t="s">
        <v>582</v>
      </c>
      <c r="D30" s="884"/>
      <c r="E30" s="882">
        <v>0.9</v>
      </c>
      <c r="F30" s="885" t="s">
        <v>583</v>
      </c>
      <c r="G30" s="886"/>
      <c r="H30" s="878"/>
      <c r="I30" s="878"/>
    </row>
    <row r="31" spans="1:9" s="887" customFormat="1" ht="19.5" customHeight="1">
      <c r="A31" s="3275"/>
      <c r="B31" s="3275"/>
      <c r="C31" s="883" t="s">
        <v>584</v>
      </c>
      <c r="D31" s="884"/>
      <c r="E31" s="882">
        <v>0.8</v>
      </c>
      <c r="F31" s="885" t="s">
        <v>585</v>
      </c>
      <c r="G31" s="886"/>
      <c r="H31" s="878"/>
      <c r="I31" s="878"/>
    </row>
    <row r="32" spans="1:9" s="887" customFormat="1" ht="19.5" customHeight="1">
      <c r="A32" s="3275"/>
      <c r="B32" s="3275"/>
      <c r="C32" s="883" t="s">
        <v>586</v>
      </c>
      <c r="D32" s="884"/>
      <c r="E32" s="882">
        <v>0.8</v>
      </c>
      <c r="F32" s="885" t="s">
        <v>587</v>
      </c>
      <c r="G32" s="886"/>
      <c r="H32" s="878"/>
      <c r="I32" s="878"/>
    </row>
    <row r="33" spans="1:9" s="887" customFormat="1" ht="19.5" customHeight="1">
      <c r="A33" s="3275" t="s">
        <v>185</v>
      </c>
      <c r="B33" s="882" t="s">
        <v>560</v>
      </c>
      <c r="C33" s="883" t="s">
        <v>588</v>
      </c>
      <c r="D33" s="884"/>
      <c r="E33" s="882">
        <v>1</v>
      </c>
      <c r="F33" s="885" t="s">
        <v>589</v>
      </c>
      <c r="G33" s="886"/>
      <c r="H33" s="878"/>
      <c r="I33" s="878"/>
    </row>
    <row r="34" spans="1:9" s="887" customFormat="1" ht="19.5" customHeight="1">
      <c r="A34" s="3275"/>
      <c r="B34" s="882" t="s">
        <v>563</v>
      </c>
      <c r="C34" s="883" t="s">
        <v>590</v>
      </c>
      <c r="D34" s="884"/>
      <c r="E34" s="882">
        <v>1.5</v>
      </c>
      <c r="F34" s="885" t="s">
        <v>591</v>
      </c>
      <c r="G34" s="886"/>
      <c r="H34" s="878"/>
      <c r="I34" s="878"/>
    </row>
    <row r="35" spans="1:9" s="887" customFormat="1" ht="19.5" customHeight="1">
      <c r="A35" s="3275" t="s">
        <v>186</v>
      </c>
      <c r="B35" s="882" t="s">
        <v>560</v>
      </c>
      <c r="C35" s="883" t="s">
        <v>592</v>
      </c>
      <c r="D35" s="884"/>
      <c r="E35" s="882">
        <v>1</v>
      </c>
      <c r="F35" s="885" t="s">
        <v>593</v>
      </c>
      <c r="G35" s="886"/>
      <c r="H35" s="878"/>
      <c r="I35" s="878"/>
    </row>
    <row r="36" spans="1:9" s="887" customFormat="1" ht="19.5" customHeight="1">
      <c r="A36" s="3275"/>
      <c r="B36" s="3275" t="s">
        <v>563</v>
      </c>
      <c r="C36" s="883" t="s">
        <v>594</v>
      </c>
      <c r="D36" s="884"/>
      <c r="E36" s="882">
        <v>1</v>
      </c>
      <c r="F36" s="885" t="s">
        <v>595</v>
      </c>
      <c r="G36" s="886"/>
      <c r="H36" s="878"/>
      <c r="I36" s="878"/>
    </row>
    <row r="37" spans="1:9" s="887" customFormat="1" ht="19.5" customHeight="1">
      <c r="A37" s="3275"/>
      <c r="B37" s="3275"/>
      <c r="C37" s="883" t="s">
        <v>596</v>
      </c>
      <c r="D37" s="884"/>
      <c r="E37" s="882">
        <v>1.5</v>
      </c>
      <c r="F37" s="885" t="s">
        <v>597</v>
      </c>
      <c r="G37" s="886"/>
      <c r="H37" s="878"/>
      <c r="I37" s="878"/>
    </row>
    <row r="38" spans="1:9" s="887" customFormat="1" ht="19.5" customHeight="1">
      <c r="A38" s="3275"/>
      <c r="B38" s="3275"/>
      <c r="C38" s="883" t="s">
        <v>598</v>
      </c>
      <c r="D38" s="884"/>
      <c r="E38" s="882">
        <v>1</v>
      </c>
      <c r="F38" s="885" t="s">
        <v>599</v>
      </c>
      <c r="G38" s="886"/>
      <c r="H38" s="878"/>
      <c r="I38" s="878"/>
    </row>
    <row r="39" spans="1:9" s="887" customFormat="1" ht="19.5" customHeight="1">
      <c r="A39" s="3275"/>
      <c r="B39" s="327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75" t="s">
        <v>614</v>
      </c>
      <c r="C61" s="818" t="s">
        <v>615</v>
      </c>
      <c r="D61" s="818" t="s">
        <v>616</v>
      </c>
      <c r="E61" s="895">
        <v>0.5</v>
      </c>
      <c r="F61" s="882">
        <v>80</v>
      </c>
    </row>
    <row r="62" spans="1:8" s="878" customFormat="1" ht="36">
      <c r="A62" s="882">
        <v>2</v>
      </c>
      <c r="B62" s="3275"/>
      <c r="C62" s="818" t="s">
        <v>617</v>
      </c>
      <c r="D62" s="818" t="s">
        <v>618</v>
      </c>
      <c r="E62" s="895">
        <v>0.5</v>
      </c>
      <c r="F62" s="882">
        <v>80</v>
      </c>
    </row>
    <row r="63" spans="1:8" s="878" customFormat="1" ht="48">
      <c r="A63" s="882">
        <v>3</v>
      </c>
      <c r="B63" s="3275"/>
      <c r="C63" s="818" t="s">
        <v>619</v>
      </c>
      <c r="D63" s="818" t="s">
        <v>620</v>
      </c>
      <c r="E63" s="895">
        <v>0.5</v>
      </c>
      <c r="F63" s="882">
        <v>80</v>
      </c>
    </row>
    <row r="64" spans="1:8" s="878" customFormat="1" ht="48">
      <c r="A64" s="882">
        <v>4</v>
      </c>
      <c r="B64" s="3275"/>
      <c r="C64" s="818" t="s">
        <v>621</v>
      </c>
      <c r="D64" s="818" t="s">
        <v>622</v>
      </c>
      <c r="E64" s="895">
        <v>0.4</v>
      </c>
      <c r="F64" s="882">
        <v>60</v>
      </c>
    </row>
    <row r="65" spans="1:6" s="878" customFormat="1" ht="48">
      <c r="A65" s="882">
        <v>5</v>
      </c>
      <c r="B65" s="3275"/>
      <c r="C65" s="818" t="s">
        <v>623</v>
      </c>
      <c r="D65" s="818" t="s">
        <v>624</v>
      </c>
      <c r="E65" s="895">
        <v>0.2</v>
      </c>
      <c r="F65" s="882">
        <v>30</v>
      </c>
    </row>
    <row r="66" spans="1:6" s="878" customFormat="1" ht="48">
      <c r="A66" s="882">
        <v>6</v>
      </c>
      <c r="B66" s="3275"/>
      <c r="C66" s="818" t="s">
        <v>625</v>
      </c>
      <c r="D66" s="818" t="s">
        <v>626</v>
      </c>
      <c r="E66" s="895">
        <v>0.3</v>
      </c>
      <c r="F66" s="882">
        <v>50</v>
      </c>
    </row>
    <row r="67" spans="1:6" s="878" customFormat="1" ht="48">
      <c r="A67" s="882">
        <v>7</v>
      </c>
      <c r="B67" s="3275"/>
      <c r="C67" s="818" t="s">
        <v>627</v>
      </c>
      <c r="D67" s="818" t="s">
        <v>628</v>
      </c>
      <c r="E67" s="895">
        <v>0.2</v>
      </c>
      <c r="F67" s="882">
        <v>30</v>
      </c>
    </row>
    <row r="68" spans="1:6" s="878" customFormat="1" ht="48">
      <c r="A68" s="882">
        <v>8</v>
      </c>
      <c r="B68" s="3275"/>
      <c r="C68" s="818" t="s">
        <v>629</v>
      </c>
      <c r="D68" s="818" t="s">
        <v>630</v>
      </c>
      <c r="E68" s="895">
        <v>0.2</v>
      </c>
      <c r="F68" s="882">
        <v>30</v>
      </c>
    </row>
    <row r="69" spans="1:6" s="878" customFormat="1" ht="48">
      <c r="A69" s="882">
        <v>9</v>
      </c>
      <c r="B69" s="3275"/>
      <c r="C69" s="818" t="s">
        <v>631</v>
      </c>
      <c r="D69" s="818" t="s">
        <v>632</v>
      </c>
      <c r="E69" s="895">
        <v>0.2</v>
      </c>
      <c r="F69" s="882">
        <v>30</v>
      </c>
    </row>
    <row r="70" spans="1:6" s="878" customFormat="1" ht="60">
      <c r="A70" s="882">
        <v>10</v>
      </c>
      <c r="B70" s="3275"/>
      <c r="C70" s="818" t="s">
        <v>633</v>
      </c>
      <c r="D70" s="818" t="s">
        <v>634</v>
      </c>
      <c r="E70" s="895">
        <v>0.2</v>
      </c>
      <c r="F70" s="882">
        <v>30</v>
      </c>
    </row>
    <row r="71" spans="1:6" s="878" customFormat="1" ht="60">
      <c r="A71" s="882">
        <v>11</v>
      </c>
      <c r="B71" s="3275"/>
      <c r="C71" s="818" t="s">
        <v>635</v>
      </c>
      <c r="D71" s="818" t="s">
        <v>636</v>
      </c>
      <c r="E71" s="895">
        <v>0.2</v>
      </c>
      <c r="F71" s="882">
        <v>30</v>
      </c>
    </row>
    <row r="72" spans="1:6" s="878" customFormat="1" ht="36">
      <c r="A72" s="882">
        <v>12</v>
      </c>
      <c r="B72" s="3275"/>
      <c r="C72" s="818" t="s">
        <v>637</v>
      </c>
      <c r="D72" s="818" t="s">
        <v>638</v>
      </c>
      <c r="E72" s="895">
        <v>0.5</v>
      </c>
      <c r="F72" s="882">
        <v>80</v>
      </c>
    </row>
    <row r="73" spans="1:6" s="878" customFormat="1" ht="36">
      <c r="A73" s="882">
        <v>13</v>
      </c>
      <c r="B73" s="3275"/>
      <c r="C73" s="818" t="s">
        <v>639</v>
      </c>
      <c r="D73" s="818" t="s">
        <v>640</v>
      </c>
      <c r="E73" s="895">
        <v>0.4</v>
      </c>
      <c r="F73" s="882">
        <v>60</v>
      </c>
    </row>
    <row r="74" spans="1:6" s="878" customFormat="1" ht="36">
      <c r="A74" s="882">
        <v>14</v>
      </c>
      <c r="B74" s="3275"/>
      <c r="C74" s="818" t="s">
        <v>641</v>
      </c>
      <c r="D74" s="818" t="s">
        <v>642</v>
      </c>
      <c r="E74" s="895">
        <v>0.2</v>
      </c>
      <c r="F74" s="882">
        <v>30</v>
      </c>
    </row>
    <row r="75" spans="1:6" s="878" customFormat="1" ht="36">
      <c r="A75" s="882">
        <v>15</v>
      </c>
      <c r="B75" s="3275"/>
      <c r="C75" s="818" t="s">
        <v>643</v>
      </c>
      <c r="D75" s="818" t="s">
        <v>644</v>
      </c>
      <c r="E75" s="895">
        <v>0.2</v>
      </c>
      <c r="F75" s="882">
        <v>30</v>
      </c>
    </row>
    <row r="76" spans="1:6" s="878" customFormat="1" ht="36">
      <c r="A76" s="882">
        <v>16</v>
      </c>
      <c r="B76" s="3275" t="s">
        <v>645</v>
      </c>
      <c r="C76" s="818" t="s">
        <v>646</v>
      </c>
      <c r="D76" s="818" t="s">
        <v>647</v>
      </c>
      <c r="E76" s="895">
        <v>0.5</v>
      </c>
      <c r="F76" s="882">
        <v>80</v>
      </c>
    </row>
    <row r="77" spans="1:6" s="878" customFormat="1" ht="36">
      <c r="A77" s="882">
        <v>17</v>
      </c>
      <c r="B77" s="3275"/>
      <c r="C77" s="818" t="s">
        <v>648</v>
      </c>
      <c r="D77" s="818" t="s">
        <v>649</v>
      </c>
      <c r="E77" s="895">
        <v>0.5</v>
      </c>
      <c r="F77" s="882">
        <v>80</v>
      </c>
    </row>
    <row r="78" spans="1:6" s="878" customFormat="1" ht="36">
      <c r="A78" s="882">
        <v>18</v>
      </c>
      <c r="B78" s="3275"/>
      <c r="C78" s="818" t="s">
        <v>650</v>
      </c>
      <c r="D78" s="818" t="s">
        <v>651</v>
      </c>
      <c r="E78" s="895">
        <v>0.2</v>
      </c>
      <c r="F78" s="882">
        <v>30</v>
      </c>
    </row>
    <row r="79" spans="1:6" s="878" customFormat="1" ht="36">
      <c r="A79" s="882">
        <v>19</v>
      </c>
      <c r="B79" s="3275"/>
      <c r="C79" s="818" t="s">
        <v>652</v>
      </c>
      <c r="D79" s="818" t="s">
        <v>653</v>
      </c>
      <c r="E79" s="895">
        <v>0.5</v>
      </c>
      <c r="F79" s="882">
        <v>80</v>
      </c>
    </row>
    <row r="80" spans="1:6" s="878" customFormat="1" ht="36">
      <c r="A80" s="882">
        <v>20</v>
      </c>
      <c r="B80" s="3275"/>
      <c r="C80" s="818" t="s">
        <v>654</v>
      </c>
      <c r="D80" s="818" t="s">
        <v>655</v>
      </c>
      <c r="E80" s="895">
        <v>0.2</v>
      </c>
      <c r="F80" s="882">
        <v>30</v>
      </c>
    </row>
    <row r="81" spans="1:6" s="878" customFormat="1" ht="36">
      <c r="A81" s="882">
        <v>21</v>
      </c>
      <c r="B81" s="3275"/>
      <c r="C81" s="818" t="s">
        <v>656</v>
      </c>
      <c r="D81" s="818" t="s">
        <v>657</v>
      </c>
      <c r="E81" s="895">
        <v>0.2</v>
      </c>
      <c r="F81" s="882">
        <v>30</v>
      </c>
    </row>
    <row r="82" spans="1:6" s="878" customFormat="1" ht="60">
      <c r="A82" s="882">
        <v>22</v>
      </c>
      <c r="B82" s="3275"/>
      <c r="C82" s="818" t="s">
        <v>658</v>
      </c>
      <c r="D82" s="818" t="s">
        <v>659</v>
      </c>
      <c r="E82" s="895">
        <v>0.2</v>
      </c>
      <c r="F82" s="882">
        <v>30</v>
      </c>
    </row>
    <row r="83" spans="1:6" s="878" customFormat="1" ht="60">
      <c r="A83" s="882">
        <v>23</v>
      </c>
      <c r="B83" s="3275"/>
      <c r="C83" s="818" t="s">
        <v>660</v>
      </c>
      <c r="D83" s="818" t="s">
        <v>661</v>
      </c>
      <c r="E83" s="895">
        <v>0.2</v>
      </c>
      <c r="F83" s="882">
        <v>30</v>
      </c>
    </row>
    <row r="84" spans="1:6" s="878" customFormat="1" ht="48">
      <c r="A84" s="882">
        <v>24</v>
      </c>
      <c r="B84" s="3275"/>
      <c r="C84" s="818" t="s">
        <v>662</v>
      </c>
      <c r="D84" s="818" t="s">
        <v>663</v>
      </c>
      <c r="E84" s="895">
        <v>0.2</v>
      </c>
      <c r="F84" s="882">
        <v>30</v>
      </c>
    </row>
    <row r="85" spans="1:6" s="878" customFormat="1" ht="36">
      <c r="A85" s="882">
        <v>25</v>
      </c>
      <c r="B85" s="3275"/>
      <c r="C85" s="818" t="s">
        <v>664</v>
      </c>
      <c r="D85" s="818" t="s">
        <v>665</v>
      </c>
      <c r="E85" s="895">
        <v>0.5</v>
      </c>
      <c r="F85" s="882">
        <v>80</v>
      </c>
    </row>
    <row r="86" spans="1:6" s="878" customFormat="1" ht="36">
      <c r="A86" s="882">
        <v>26</v>
      </c>
      <c r="B86" s="3275"/>
      <c r="C86" s="818" t="s">
        <v>666</v>
      </c>
      <c r="D86" s="818" t="s">
        <v>667</v>
      </c>
      <c r="E86" s="895">
        <v>0.2</v>
      </c>
      <c r="F86" s="882">
        <v>30</v>
      </c>
    </row>
    <row r="87" spans="1:6" s="878" customFormat="1" ht="36">
      <c r="A87" s="882">
        <v>27</v>
      </c>
      <c r="B87" s="3275"/>
      <c r="C87" s="818" t="s">
        <v>668</v>
      </c>
      <c r="D87" s="818" t="s">
        <v>669</v>
      </c>
      <c r="E87" s="895">
        <v>0.2</v>
      </c>
      <c r="F87" s="882">
        <v>30</v>
      </c>
    </row>
    <row r="88" spans="1:6" s="878" customFormat="1" ht="36">
      <c r="A88" s="882">
        <v>28</v>
      </c>
      <c r="B88" s="3275"/>
      <c r="C88" s="818" t="s">
        <v>670</v>
      </c>
      <c r="D88" s="818" t="s">
        <v>671</v>
      </c>
      <c r="E88" s="895">
        <v>0.2</v>
      </c>
      <c r="F88" s="882">
        <v>30</v>
      </c>
    </row>
    <row r="89" spans="1:6" s="878" customFormat="1" ht="36">
      <c r="A89" s="882">
        <v>29</v>
      </c>
      <c r="B89" s="3275"/>
      <c r="C89" s="818" t="s">
        <v>672</v>
      </c>
      <c r="D89" s="818" t="s">
        <v>673</v>
      </c>
      <c r="E89" s="895">
        <v>0.2</v>
      </c>
      <c r="F89" s="882">
        <v>30</v>
      </c>
    </row>
    <row r="90" spans="1:6" s="878" customFormat="1" ht="36">
      <c r="A90" s="882">
        <v>30</v>
      </c>
      <c r="B90" s="3275"/>
      <c r="C90" s="818" t="s">
        <v>674</v>
      </c>
      <c r="D90" s="818" t="s">
        <v>675</v>
      </c>
      <c r="E90" s="895">
        <v>0.2</v>
      </c>
      <c r="F90" s="882">
        <v>30</v>
      </c>
    </row>
    <row r="91" spans="1:6" s="878" customFormat="1" ht="48">
      <c r="A91" s="882">
        <v>31</v>
      </c>
      <c r="B91" s="3275"/>
      <c r="C91" s="818" t="s">
        <v>676</v>
      </c>
      <c r="D91" s="818" t="s">
        <v>677</v>
      </c>
      <c r="E91" s="895">
        <v>0.2</v>
      </c>
      <c r="F91" s="882">
        <v>30</v>
      </c>
    </row>
    <row r="92" spans="1:6" s="878" customFormat="1" ht="36">
      <c r="A92" s="882">
        <v>32</v>
      </c>
      <c r="B92" s="3275" t="s">
        <v>678</v>
      </c>
      <c r="C92" s="882" t="s">
        <v>679</v>
      </c>
      <c r="D92" s="818" t="s">
        <v>680</v>
      </c>
      <c r="E92" s="895">
        <v>0.2</v>
      </c>
      <c r="F92" s="882">
        <v>30</v>
      </c>
    </row>
    <row r="93" spans="1:6" s="878" customFormat="1" ht="36">
      <c r="A93" s="882">
        <v>33</v>
      </c>
      <c r="B93" s="3275"/>
      <c r="C93" s="882" t="s">
        <v>681</v>
      </c>
      <c r="D93" s="818" t="s">
        <v>682</v>
      </c>
      <c r="E93" s="895">
        <v>0.2</v>
      </c>
      <c r="F93" s="882">
        <v>30</v>
      </c>
    </row>
    <row r="94" spans="1:6" s="878" customFormat="1" ht="60">
      <c r="A94" s="882">
        <v>34</v>
      </c>
      <c r="B94" s="3275"/>
      <c r="C94" s="882" t="s">
        <v>683</v>
      </c>
      <c r="D94" s="818" t="s">
        <v>684</v>
      </c>
      <c r="E94" s="895">
        <v>0.2</v>
      </c>
      <c r="F94" s="882">
        <v>30</v>
      </c>
    </row>
    <row r="95" spans="1:6" s="878" customFormat="1" ht="48">
      <c r="A95" s="882">
        <v>35</v>
      </c>
      <c r="B95" s="3275"/>
      <c r="C95" s="882" t="s">
        <v>685</v>
      </c>
      <c r="D95" s="818" t="s">
        <v>686</v>
      </c>
      <c r="E95" s="895">
        <v>0.2</v>
      </c>
      <c r="F95" s="882">
        <v>30</v>
      </c>
    </row>
    <row r="96" spans="1:6" s="878" customFormat="1" ht="72">
      <c r="A96" s="882">
        <v>36</v>
      </c>
      <c r="B96" s="3275"/>
      <c r="C96" s="818" t="s">
        <v>687</v>
      </c>
      <c r="D96" s="818" t="s">
        <v>688</v>
      </c>
      <c r="E96" s="895">
        <v>0.2</v>
      </c>
      <c r="F96" s="882">
        <v>30</v>
      </c>
    </row>
    <row r="97" spans="1:6" s="878" customFormat="1" ht="36">
      <c r="A97" s="882">
        <v>37</v>
      </c>
      <c r="B97" s="3275"/>
      <c r="C97" s="882" t="s">
        <v>689</v>
      </c>
      <c r="D97" s="818" t="s">
        <v>690</v>
      </c>
      <c r="E97" s="895">
        <v>0.2</v>
      </c>
      <c r="F97" s="882">
        <v>30</v>
      </c>
    </row>
    <row r="98" spans="1:6" s="878" customFormat="1" ht="36">
      <c r="A98" s="882">
        <v>38</v>
      </c>
      <c r="B98" s="3275"/>
      <c r="C98" s="882" t="s">
        <v>691</v>
      </c>
      <c r="D98" s="818" t="s">
        <v>692</v>
      </c>
      <c r="E98" s="895">
        <v>0.2</v>
      </c>
      <c r="F98" s="882">
        <v>30</v>
      </c>
    </row>
    <row r="99" spans="1:6" s="878" customFormat="1" ht="36">
      <c r="A99" s="882">
        <v>39</v>
      </c>
      <c r="B99" s="3275" t="s">
        <v>693</v>
      </c>
      <c r="C99" s="882" t="s">
        <v>694</v>
      </c>
      <c r="D99" s="818" t="s">
        <v>695</v>
      </c>
      <c r="E99" s="895">
        <v>0.3</v>
      </c>
      <c r="F99" s="882">
        <v>50</v>
      </c>
    </row>
    <row r="100" spans="1:6" s="878" customFormat="1" ht="36">
      <c r="A100" s="882">
        <v>40</v>
      </c>
      <c r="B100" s="3275"/>
      <c r="C100" s="882" t="s">
        <v>696</v>
      </c>
      <c r="D100" s="818" t="s">
        <v>697</v>
      </c>
      <c r="E100" s="895">
        <v>0.2</v>
      </c>
      <c r="F100" s="882">
        <v>30</v>
      </c>
    </row>
    <row r="101" spans="1:6" s="878" customFormat="1" ht="36">
      <c r="A101" s="882">
        <v>41</v>
      </c>
      <c r="B101" s="327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5" t="s">
        <v>708</v>
      </c>
      <c r="C105" s="882" t="s">
        <v>709</v>
      </c>
      <c r="D105" s="818" t="s">
        <v>710</v>
      </c>
      <c r="E105" s="895">
        <v>0.2</v>
      </c>
      <c r="F105" s="882">
        <v>30</v>
      </c>
    </row>
    <row r="106" spans="1:6" s="878" customFormat="1" ht="48">
      <c r="A106" s="882">
        <v>46</v>
      </c>
      <c r="B106" s="3275"/>
      <c r="C106" s="882" t="s">
        <v>711</v>
      </c>
      <c r="D106" s="818" t="s">
        <v>712</v>
      </c>
      <c r="E106" s="895">
        <v>0.2</v>
      </c>
      <c r="F106" s="882">
        <v>30</v>
      </c>
    </row>
    <row r="107" spans="1:6" s="878" customFormat="1" ht="36">
      <c r="A107" s="882">
        <v>47</v>
      </c>
      <c r="B107" s="3275" t="s">
        <v>713</v>
      </c>
      <c r="C107" s="882" t="s">
        <v>714</v>
      </c>
      <c r="D107" s="818" t="s">
        <v>715</v>
      </c>
      <c r="E107" s="895">
        <v>0.3</v>
      </c>
      <c r="F107" s="882">
        <v>50</v>
      </c>
    </row>
    <row r="108" spans="1:6" s="878" customFormat="1" ht="48">
      <c r="A108" s="882">
        <v>48</v>
      </c>
      <c r="B108" s="327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5" t="s">
        <v>724</v>
      </c>
      <c r="C111" s="882" t="s">
        <v>725</v>
      </c>
      <c r="D111" s="818" t="s">
        <v>726</v>
      </c>
      <c r="E111" s="895">
        <v>0.2</v>
      </c>
      <c r="F111" s="882">
        <v>30</v>
      </c>
    </row>
    <row r="112" spans="1:6" s="878" customFormat="1" ht="36">
      <c r="A112" s="882">
        <v>52</v>
      </c>
      <c r="B112" s="3275"/>
      <c r="C112" s="882" t="s">
        <v>727</v>
      </c>
      <c r="D112" s="818" t="s">
        <v>728</v>
      </c>
      <c r="E112" s="895">
        <v>0.2</v>
      </c>
      <c r="F112" s="882">
        <v>30</v>
      </c>
    </row>
    <row r="113" spans="1:6" s="878" customFormat="1" ht="36">
      <c r="A113" s="882">
        <v>53</v>
      </c>
      <c r="B113" s="327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5" t="s">
        <v>737</v>
      </c>
      <c r="C116" s="882" t="s">
        <v>738</v>
      </c>
      <c r="D116" s="818" t="s">
        <v>739</v>
      </c>
      <c r="E116" s="895">
        <v>0.2</v>
      </c>
      <c r="F116" s="882">
        <v>30</v>
      </c>
    </row>
    <row r="117" spans="1:6" ht="36">
      <c r="A117" s="882">
        <v>57</v>
      </c>
      <c r="B117" s="327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1.0354000000000001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3" customWidth="1"/>
    <col min="2" max="2" width="12.44140625" style="1943" customWidth="1"/>
    <col min="3" max="3" width="12.109375" style="1943" customWidth="1"/>
    <col min="4" max="4" width="14.109375" style="1943" customWidth="1"/>
    <col min="5" max="5" width="12.44140625" style="1943" customWidth="1"/>
    <col min="6" max="16384" width="9" style="1943"/>
  </cols>
  <sheetData>
    <row r="1" spans="1:5" ht="21.6">
      <c r="A1" s="2562" t="s">
        <v>3002</v>
      </c>
    </row>
    <row r="2" spans="1:5" ht="15.6">
      <c r="A2" s="2903" t="s">
        <v>2994</v>
      </c>
      <c r="B2" s="2904">
        <f ca="1">SUMIF(B6:B13,"&lt;&gt;#ref!",B6:B13)</f>
        <v>80020</v>
      </c>
      <c r="C2" s="2903" t="s">
        <v>2995</v>
      </c>
      <c r="D2" s="2903" t="s">
        <v>2996</v>
      </c>
      <c r="E2" s="2904">
        <f ca="1">SUMIF(E6:E13,"&lt;&gt;#ref!",E6:E13)</f>
        <v>58621.919999999998</v>
      </c>
    </row>
    <row r="3" spans="1:5" ht="15.6">
      <c r="A3" s="2903" t="s">
        <v>2997</v>
      </c>
      <c r="B3" s="2904">
        <f ca="1">ROUND(B2*10000/E2,0)</f>
        <v>13650</v>
      </c>
      <c r="C3" s="2903" t="s">
        <v>3003</v>
      </c>
      <c r="D3" s="2905"/>
      <c r="E3" s="2905"/>
    </row>
    <row r="4" spans="1:5" ht="15.6">
      <c r="A4" s="2906"/>
      <c r="B4" s="2905"/>
      <c r="C4" s="2905"/>
      <c r="D4" s="2905"/>
      <c r="E4" s="2905"/>
    </row>
    <row r="5" spans="1:5" ht="31.2">
      <c r="A5" s="2907" t="s">
        <v>2998</v>
      </c>
      <c r="B5" s="2903" t="s">
        <v>2999</v>
      </c>
      <c r="C5" s="2904"/>
      <c r="D5" s="2905"/>
      <c r="E5" s="2903" t="s">
        <v>3000</v>
      </c>
    </row>
    <row r="6" spans="1:5" ht="15.6">
      <c r="A6" s="2908" t="s">
        <v>3001</v>
      </c>
      <c r="B6" s="2904">
        <f ca="1">SUMIF(INDIRECT("'"&amp;A6&amp;"'"&amp;"!A:A"),"总价",INDIRECT("'"&amp;A6&amp;"'"&amp;"!B:B"))</f>
        <v>80020</v>
      </c>
      <c r="C6" s="2903" t="s">
        <v>2995</v>
      </c>
      <c r="D6" s="2905"/>
      <c r="E6" s="2576">
        <f ca="1">SUMIF(INDIRECT("'"&amp;A6&amp;"'"&amp;"!C:C"),"建筑面积",INDIRECT("'"&amp;A6&amp;"'"&amp;"!D:D"))</f>
        <v>58621.919999999998</v>
      </c>
    </row>
    <row r="7" spans="1:5" ht="15.6">
      <c r="A7" s="2908"/>
      <c r="B7" s="2904" t="e">
        <f ca="1">SUMIF(INDIRECT("'"&amp;A7&amp;"'"&amp;"!A:A"),"总价",INDIRECT("'"&amp;A7&amp;"'"&amp;"!B:B"))</f>
        <v>#REF!</v>
      </c>
      <c r="C7" s="2903" t="s">
        <v>2995</v>
      </c>
      <c r="D7" s="2905"/>
      <c r="E7" s="2576" t="e">
        <f t="shared" ref="E7:E13" ca="1" si="0">SUMIF(INDIRECT("'"&amp;A7&amp;"'"&amp;"!C:C"),"建筑面积",INDIRECT("'"&amp;A7&amp;"'"&amp;"!D:D"))</f>
        <v>#REF!</v>
      </c>
    </row>
    <row r="8" spans="1:5" ht="15.6">
      <c r="A8" s="2908"/>
      <c r="B8" s="2904" t="e">
        <f t="shared" ref="B8:B13" ca="1" si="1">SUMIF(INDIRECT("'"&amp;A8&amp;"'"&amp;"!A:A"),"总价",INDIRECT("'"&amp;A8&amp;"'"&amp;"!B:B"))</f>
        <v>#REF!</v>
      </c>
      <c r="C8" s="2903" t="s">
        <v>2995</v>
      </c>
      <c r="D8" s="2905"/>
      <c r="E8" s="2576" t="e">
        <f t="shared" ca="1" si="0"/>
        <v>#REF!</v>
      </c>
    </row>
    <row r="9" spans="1:5" ht="15.6">
      <c r="A9" s="2908"/>
      <c r="B9" s="2904" t="e">
        <f t="shared" ca="1" si="1"/>
        <v>#REF!</v>
      </c>
      <c r="C9" s="2903" t="s">
        <v>2995</v>
      </c>
      <c r="D9" s="2905"/>
      <c r="E9" s="2576" t="e">
        <f t="shared" ca="1" si="0"/>
        <v>#REF!</v>
      </c>
    </row>
    <row r="10" spans="1:5" ht="15.6">
      <c r="A10" s="2908"/>
      <c r="B10" s="2904" t="e">
        <f t="shared" ca="1" si="1"/>
        <v>#REF!</v>
      </c>
      <c r="C10" s="2903" t="s">
        <v>2995</v>
      </c>
      <c r="D10" s="2905"/>
      <c r="E10" s="2576" t="e">
        <f t="shared" ca="1" si="0"/>
        <v>#REF!</v>
      </c>
    </row>
    <row r="11" spans="1:5" ht="15.6">
      <c r="A11" s="2908"/>
      <c r="B11" s="2904" t="e">
        <f t="shared" ca="1" si="1"/>
        <v>#REF!</v>
      </c>
      <c r="C11" s="2903" t="s">
        <v>2995</v>
      </c>
      <c r="D11" s="2905"/>
      <c r="E11" s="2576" t="e">
        <f t="shared" ca="1" si="0"/>
        <v>#REF!</v>
      </c>
    </row>
    <row r="12" spans="1:5" ht="15.6">
      <c r="A12" s="2908"/>
      <c r="B12" s="2904" t="e">
        <f t="shared" ca="1" si="1"/>
        <v>#REF!</v>
      </c>
      <c r="C12" s="2903" t="s">
        <v>2995</v>
      </c>
      <c r="D12" s="2905"/>
      <c r="E12" s="2576" t="e">
        <f t="shared" ca="1" si="0"/>
        <v>#REF!</v>
      </c>
    </row>
    <row r="13" spans="1:5" ht="15.6">
      <c r="A13" s="2908"/>
      <c r="B13" s="2904" t="e">
        <f t="shared" ca="1" si="1"/>
        <v>#REF!</v>
      </c>
      <c r="C13" s="2903" t="s">
        <v>2995</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281" t="s">
        <v>1146</v>
      </c>
      <c r="C1" s="3281"/>
      <c r="D1" s="3281"/>
      <c r="E1" s="3281"/>
      <c r="F1" s="3281"/>
      <c r="G1" s="3277" t="s">
        <v>1147</v>
      </c>
      <c r="H1" s="3277"/>
      <c r="I1" s="3277"/>
      <c r="J1" s="3277"/>
      <c r="K1" s="3277"/>
      <c r="L1" s="3277"/>
      <c r="N1" s="3277" t="s">
        <v>1148</v>
      </c>
      <c r="O1" s="3277"/>
      <c r="P1" s="3277"/>
      <c r="Q1" s="3277"/>
      <c r="R1" s="1445"/>
      <c r="S1" s="3277" t="s">
        <v>1149</v>
      </c>
      <c r="T1" s="3277"/>
      <c r="U1" s="3277"/>
      <c r="V1" s="3277"/>
      <c r="X1" s="3276" t="s">
        <v>1150</v>
      </c>
      <c r="Y1" s="3277"/>
      <c r="Z1" s="3277"/>
      <c r="AA1" s="3277"/>
      <c r="AB1" s="3277"/>
      <c r="AD1" s="3276" t="s">
        <v>1151</v>
      </c>
      <c r="AE1" s="3277"/>
      <c r="AF1" s="3277"/>
      <c r="AG1" s="3277"/>
      <c r="AH1" s="3277"/>
    </row>
    <row r="2" spans="1:34" s="1446" customFormat="1" ht="1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9" customFormat="1" ht="14.4">
      <c r="A3" s="2928" t="s">
        <v>3037</v>
      </c>
      <c r="B3" s="2920"/>
      <c r="C3" s="2920"/>
      <c r="D3" s="2921"/>
      <c r="E3" s="2921"/>
      <c r="F3" s="2920"/>
      <c r="G3" s="2922"/>
      <c r="H3" s="2923"/>
      <c r="I3" s="2924">
        <f>ROUND(AVERAGE($I4:$I28),2)</f>
        <v>1.98</v>
      </c>
      <c r="J3" s="2924">
        <f>ROUND(AVERAGE($J4:$J28),2)</f>
        <v>1.41</v>
      </c>
      <c r="K3" s="2924">
        <f>ROUND(AVERAGE($K4:$K28),2)</f>
        <v>2.16</v>
      </c>
      <c r="L3" s="2924">
        <f>ROUND(AVERAGE($L4:$L28),2)</f>
        <v>1.38</v>
      </c>
      <c r="N3" s="2922"/>
      <c r="O3" s="2925"/>
      <c r="P3" s="2925"/>
      <c r="Q3" s="2925"/>
      <c r="R3" s="2925"/>
      <c r="S3" s="2922"/>
      <c r="T3" s="2925"/>
      <c r="U3" s="2925"/>
      <c r="V3" s="2925"/>
      <c r="W3" s="2917"/>
      <c r="X3" s="2926">
        <f>ROUND(SUMPRODUCT(PRODUCT(1+N3:N$27)),4)</f>
        <v>1.5516000000000001</v>
      </c>
      <c r="Y3" s="2926">
        <f>ROUND(SUMPRODUCT(PRODUCT(1+O3:O$27)),4)</f>
        <v>1.3649</v>
      </c>
      <c r="Z3" s="2926">
        <f t="shared" ref="Z3:Z25" si="0">Y3</f>
        <v>1.3649</v>
      </c>
      <c r="AA3" s="2926">
        <f>ROUND(SUMPRODUCT(PRODUCT(1+P3:P$27)),4)</f>
        <v>1.6133999999999999</v>
      </c>
      <c r="AB3" s="2926">
        <f>ROUND(SUMPRODUCT(PRODUCT(1+Q3:Q$27)),4)</f>
        <v>1.3713</v>
      </c>
      <c r="AD3" s="2927">
        <f>ROUND(AVERAGE(I3:I$28)/100,4)</f>
        <v>1.9800000000000002E-2</v>
      </c>
      <c r="AE3" s="2927">
        <f>ROUND(AVERAGE(J3:J$28)/100,4)</f>
        <v>1.41E-2</v>
      </c>
      <c r="AF3" s="2927">
        <f t="shared" ref="AF3:AF26" si="1">AE3</f>
        <v>1.41E-2</v>
      </c>
      <c r="AG3" s="2927">
        <f>ROUND(AVERAGE(K3:K$28)/100,4)</f>
        <v>2.1600000000000001E-2</v>
      </c>
      <c r="AH3" s="2927">
        <f>ROUND(AVERAGE(L3:L$28)/100,4)</f>
        <v>1.38E-2</v>
      </c>
    </row>
    <row r="4" spans="1:34" s="1452" customFormat="1" ht="14.4">
      <c r="B4" s="1453"/>
      <c r="C4" s="1453"/>
      <c r="D4" s="1454"/>
      <c r="E4" s="1454"/>
      <c r="F4" s="1453"/>
      <c r="G4" s="1455"/>
      <c r="H4" s="1456"/>
      <c r="I4" s="2914"/>
      <c r="J4" s="2914"/>
      <c r="K4" s="2914"/>
      <c r="L4" s="291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3055</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2019</v>
      </c>
      <c r="H5" s="1729">
        <v>4</v>
      </c>
      <c r="I5" s="2915">
        <v>0</v>
      </c>
      <c r="J5" s="2915">
        <v>0</v>
      </c>
      <c r="K5" s="2915">
        <v>0</v>
      </c>
      <c r="L5" s="2915">
        <v>0</v>
      </c>
      <c r="N5" s="1466">
        <f t="shared" ref="N5:N10" si="7">I5/100</f>
        <v>0</v>
      </c>
      <c r="O5" s="1466">
        <f t="shared" ref="O5" si="8">J5/100</f>
        <v>0</v>
      </c>
      <c r="P5" s="1466">
        <f t="shared" ref="P5" si="9">K5/100</f>
        <v>0</v>
      </c>
      <c r="Q5" s="1466">
        <f t="shared" ref="Q5" si="10">L5/100</f>
        <v>0</v>
      </c>
      <c r="R5" s="1731"/>
      <c r="S5" s="1732"/>
      <c r="T5" s="1731"/>
      <c r="U5" s="1731"/>
      <c r="V5" s="1731"/>
      <c r="W5" s="2918" t="s">
        <v>3038</v>
      </c>
      <c r="X5" s="1725">
        <f>ROUND(IF(项目基本情况!B7="出让",SUMPRODUCT(PRODUCT(1+N5:N$28)),SUMPRODUCT(PRODUCT(1+N5:N$27))),4)</f>
        <v>1.5516000000000001</v>
      </c>
      <c r="Y5" s="1725">
        <f>ROUND(IF(项目基本情况!B7="出让",SUMPRODUCT(PRODUCT(1+O5:O$28)),SUMPRODUCT(PRODUCT(1+O5:O$27))),4)</f>
        <v>1.3649</v>
      </c>
      <c r="Z5" s="1725">
        <f t="shared" ref="Z5" si="11">Y5</f>
        <v>1.3649</v>
      </c>
      <c r="AA5" s="1725">
        <f>ROUND(IF(项目基本情况!B7="出让",SUMPRODUCT(PRODUCT(1+P5:P$28)),SUMPRODUCT(PRODUCT(1+P5:P$27))),4)</f>
        <v>1.6133999999999999</v>
      </c>
      <c r="AB5" s="1725">
        <f>ROUND(IF(项目基本情况!B7="出让",SUMPRODUCT(PRODUCT(1+Q5:Q$28)),SUMPRODUCT(PRODUCT(1+Q5:Q$27))),4)</f>
        <v>1.3713</v>
      </c>
      <c r="AD5" s="1467">
        <f>ROUND(AVERAGE(I5:I$28)/100,4)</f>
        <v>1.9800000000000002E-2</v>
      </c>
      <c r="AE5" s="1467">
        <f>ROUND(AVERAGE(J5:J$28)/100,4)</f>
        <v>1.41E-2</v>
      </c>
      <c r="AF5" s="1467">
        <f t="shared" ref="AF5" si="12">AE5</f>
        <v>1.41E-2</v>
      </c>
      <c r="AG5" s="1467">
        <f>ROUND(AVERAGE(K5:K$28)/100,4)</f>
        <v>2.1600000000000001E-2</v>
      </c>
      <c r="AH5" s="1467">
        <f>ROUND(AVERAGE(L5:L$28)/100,4)</f>
        <v>1.38E-2</v>
      </c>
    </row>
    <row r="6" spans="1:34" s="1465" customFormat="1" ht="13.8" thickBot="1">
      <c r="A6" s="1460" t="s">
        <v>3054</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2">
        <v>2019</v>
      </c>
      <c r="H6" s="1463">
        <v>3</v>
      </c>
      <c r="I6" s="1463">
        <v>0.61</v>
      </c>
      <c r="J6" s="1463">
        <v>0.67</v>
      </c>
      <c r="K6" s="1463">
        <v>0.6</v>
      </c>
      <c r="L6" s="1477">
        <v>1.03</v>
      </c>
      <c r="M6" s="1470"/>
      <c r="N6" s="1471">
        <f t="shared" si="7"/>
        <v>6.0999999999999995E-3</v>
      </c>
      <c r="O6" s="1472">
        <f t="shared" ref="O6" si="18">J6/100</f>
        <v>6.7000000000000002E-3</v>
      </c>
      <c r="P6" s="1472">
        <f t="shared" ref="P6" si="19">K6/100</f>
        <v>6.0000000000000001E-3</v>
      </c>
      <c r="Q6" s="1472">
        <f t="shared" ref="Q6" si="20">L6/100</f>
        <v>1.03E-2</v>
      </c>
      <c r="R6" s="1473"/>
      <c r="S6" s="1471"/>
      <c r="T6" s="1472"/>
      <c r="U6" s="1472"/>
      <c r="V6" s="1472"/>
      <c r="W6" s="1789"/>
      <c r="X6" s="1787">
        <f>ROUND(IF(项目基本情况!B8="出让",SUMPRODUCT(PRODUCT(1+N6:N$28)),SUMPRODUCT(PRODUCT(1+N6:N$27))),4)</f>
        <v>1.5516000000000001</v>
      </c>
      <c r="Y6" s="1787">
        <f>ROUND(IF(项目基本情况!B8="出让",SUMPRODUCT(PRODUCT(1+O6:O$28)),SUMPRODUCT(PRODUCT(1+O6:O$27))),4)</f>
        <v>1.3649</v>
      </c>
      <c r="Z6" s="1787">
        <f t="shared" ref="Z6" si="21">Y6</f>
        <v>1.3649</v>
      </c>
      <c r="AA6" s="1787">
        <f>ROUND(IF(项目基本情况!B8="出让",SUMPRODUCT(PRODUCT(1+P6:P$28)),SUMPRODUCT(PRODUCT(1+P6:P$27))),4)</f>
        <v>1.6133999999999999</v>
      </c>
      <c r="AB6" s="1787">
        <f>ROUND(IF(项目基本情况!B8="出让",SUMPRODUCT(PRODUCT(1+Q6:Q$28)),SUMPRODUCT(PRODUCT(1+Q6:Q$27))),4)</f>
        <v>1.3713</v>
      </c>
      <c r="AC6" s="1789"/>
      <c r="AD6" s="1788">
        <f>ROUND(AVERAGE(I6:I$28)/100,4)</f>
        <v>2.07E-2</v>
      </c>
      <c r="AE6" s="1788">
        <f>ROUND(AVERAGE(J6:J$28)/100,4)</f>
        <v>1.47E-2</v>
      </c>
      <c r="AF6" s="1788">
        <f t="shared" ref="AF6" si="22">AE6</f>
        <v>1.47E-2</v>
      </c>
      <c r="AG6" s="1788">
        <f>ROUND(AVERAGE(K6:K$28)/100,4)</f>
        <v>2.2599999999999999E-2</v>
      </c>
      <c r="AH6" s="1788">
        <f>ROUND(AVERAGE(L6:L$28)/100,4)</f>
        <v>1.44E-2</v>
      </c>
    </row>
    <row r="7" spans="1:34" s="1465" customFormat="1">
      <c r="A7" s="1460" t="s">
        <v>3052</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8">
        <v>2019</v>
      </c>
      <c r="H7" s="1461">
        <v>2</v>
      </c>
      <c r="I7" s="1461">
        <v>1.53</v>
      </c>
      <c r="J7" s="1461">
        <v>1.01</v>
      </c>
      <c r="K7" s="1461">
        <v>1.62</v>
      </c>
      <c r="L7" s="1462">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8" thickBot="1">
      <c r="A8" s="1460" t="s">
        <v>3050</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32">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3053</v>
      </c>
      <c r="B9" s="2949">
        <f t="shared" ref="B9" si="46">B10*(1+N9)</f>
        <v>464.37293017158942</v>
      </c>
      <c r="C9" s="2949">
        <f t="shared" ref="C9" si="47">C10*(1+O9)</f>
        <v>344.73679941385956</v>
      </c>
      <c r="D9" s="2949">
        <f t="shared" ref="D9" si="48">C9</f>
        <v>344.73679941385956</v>
      </c>
      <c r="E9" s="2949">
        <f t="shared" ref="E9" si="49">E10*(1+P9)</f>
        <v>663.2377795103107</v>
      </c>
      <c r="F9" s="2950">
        <f t="shared" ref="F9" si="50">F10*(1+Q9)</f>
        <v>304.75936311478398</v>
      </c>
      <c r="G9" s="3279">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 customHeight="1">
      <c r="A10" s="1460" t="s">
        <v>3044</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279"/>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 customHeight="1">
      <c r="A11" s="1460" t="s">
        <v>3043</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279"/>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3036</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286"/>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3033</v>
      </c>
      <c r="B13" s="1468">
        <v>439</v>
      </c>
      <c r="C13" s="1468">
        <v>327</v>
      </c>
      <c r="D13" s="1468">
        <f>C13</f>
        <v>327</v>
      </c>
      <c r="E13" s="1468">
        <v>627</v>
      </c>
      <c r="F13" s="1469">
        <v>283</v>
      </c>
      <c r="G13" s="3282">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 customHeight="1">
      <c r="A14" s="1460" t="s">
        <v>3034</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279"/>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279"/>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286"/>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282">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279"/>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279"/>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8"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280"/>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8" thickBot="1">
      <c r="A21" s="1460" t="s">
        <v>151</v>
      </c>
      <c r="B21" s="1468">
        <v>333</v>
      </c>
      <c r="C21" s="1468">
        <v>277</v>
      </c>
      <c r="D21" s="1468">
        <f t="shared" si="108"/>
        <v>277</v>
      </c>
      <c r="E21" s="1468">
        <v>459</v>
      </c>
      <c r="F21" s="1469">
        <v>249</v>
      </c>
      <c r="G21" s="3278">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279"/>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279"/>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280"/>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8" thickBot="1">
      <c r="A25" s="1460" t="s">
        <v>147</v>
      </c>
      <c r="B25" s="1489">
        <v>318</v>
      </c>
      <c r="C25" s="1489">
        <v>268</v>
      </c>
      <c r="D25" s="1489">
        <f t="shared" si="108"/>
        <v>268</v>
      </c>
      <c r="E25" s="1489">
        <v>437</v>
      </c>
      <c r="F25" s="1490">
        <v>237</v>
      </c>
      <c r="G25" s="3278">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279"/>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8"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279"/>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8"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280"/>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8" thickBot="1">
      <c r="A29" s="1460" t="s">
        <v>1159</v>
      </c>
      <c r="B29" s="1468">
        <v>299</v>
      </c>
      <c r="C29" s="1468">
        <v>252</v>
      </c>
      <c r="D29" s="1468">
        <f t="shared" si="108"/>
        <v>252</v>
      </c>
      <c r="E29" s="1468">
        <v>409</v>
      </c>
      <c r="F29" s="1469">
        <v>227</v>
      </c>
      <c r="G29" s="3283">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284"/>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284"/>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285"/>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8" thickBot="1">
      <c r="A33" s="1460" t="s">
        <v>1163</v>
      </c>
      <c r="B33" s="1510">
        <v>278</v>
      </c>
      <c r="C33" s="1510">
        <v>234</v>
      </c>
      <c r="D33" s="1510">
        <f t="shared" si="108"/>
        <v>234</v>
      </c>
      <c r="E33" s="1510">
        <v>379</v>
      </c>
      <c r="F33" s="1511">
        <v>220</v>
      </c>
      <c r="G33" s="3278">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279"/>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279"/>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8" thickBot="1">
      <c r="A36" s="1460" t="s">
        <v>1166</v>
      </c>
      <c r="B36" s="1476">
        <f>B35/(1+N35)</f>
        <v>275.19025476197027</v>
      </c>
      <c r="C36" s="1512">
        <v>232</v>
      </c>
      <c r="D36" s="1512">
        <f t="shared" si="108"/>
        <v>232</v>
      </c>
      <c r="E36" s="1476">
        <f t="shared" si="119"/>
        <v>375.65990977608692</v>
      </c>
      <c r="F36" s="1476">
        <f t="shared" si="119"/>
        <v>214.12518283971252</v>
      </c>
      <c r="G36" s="3280"/>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8" thickBot="1">
      <c r="A37" s="1460" t="s">
        <v>1167</v>
      </c>
      <c r="B37" s="1468">
        <v>275</v>
      </c>
      <c r="C37" s="1468">
        <v>232</v>
      </c>
      <c r="D37" s="1468">
        <f t="shared" si="108"/>
        <v>232</v>
      </c>
      <c r="E37" s="1468">
        <v>376</v>
      </c>
      <c r="F37" s="1469">
        <v>213</v>
      </c>
      <c r="G37" s="3278">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279">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279">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8"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280">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8" thickBot="1">
      <c r="A41" s="1460" t="s">
        <v>1171</v>
      </c>
      <c r="B41" s="1468">
        <v>269</v>
      </c>
      <c r="C41" s="1468">
        <v>221</v>
      </c>
      <c r="D41" s="1468">
        <f t="shared" si="108"/>
        <v>221</v>
      </c>
      <c r="E41" s="1468">
        <v>373</v>
      </c>
      <c r="F41" s="1469">
        <v>196</v>
      </c>
      <c r="G41" s="3278">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279">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279">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8"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280">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8" thickBot="1">
      <c r="A45" s="1460" t="s">
        <v>1175</v>
      </c>
      <c r="B45" s="1468">
        <v>220</v>
      </c>
      <c r="C45" s="1468">
        <v>187</v>
      </c>
      <c r="D45" s="1468">
        <f t="shared" si="108"/>
        <v>187</v>
      </c>
      <c r="E45" s="1468">
        <v>301</v>
      </c>
      <c r="F45" s="1469">
        <v>168</v>
      </c>
      <c r="G45" s="3278">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279">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279">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280">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8" thickBot="1">
      <c r="A49" s="1460" t="s">
        <v>1179</v>
      </c>
      <c r="B49" s="1510">
        <v>214</v>
      </c>
      <c r="C49" s="1510">
        <v>188</v>
      </c>
      <c r="D49" s="1510">
        <f t="shared" si="108"/>
        <v>188</v>
      </c>
      <c r="E49" s="1510">
        <v>289</v>
      </c>
      <c r="F49" s="1511">
        <v>166</v>
      </c>
      <c r="G49" s="3278">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279">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279">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8"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280">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8" thickBot="1">
      <c r="A53" s="1460" t="s">
        <v>1183</v>
      </c>
      <c r="B53" s="1468">
        <v>188</v>
      </c>
      <c r="C53" s="1468">
        <v>165</v>
      </c>
      <c r="D53" s="1468">
        <f t="shared" si="108"/>
        <v>165</v>
      </c>
      <c r="E53" s="1468">
        <v>254</v>
      </c>
      <c r="F53" s="1469">
        <v>148</v>
      </c>
      <c r="G53" s="3278">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279">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279">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280">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8" thickBot="1">
      <c r="A57" s="1460" t="s">
        <v>1187</v>
      </c>
      <c r="B57" s="1489">
        <v>159</v>
      </c>
      <c r="C57" s="1489">
        <v>141</v>
      </c>
      <c r="D57" s="1489">
        <f t="shared" si="108"/>
        <v>141</v>
      </c>
      <c r="E57" s="1489">
        <v>195</v>
      </c>
      <c r="F57" s="1490">
        <v>122</v>
      </c>
      <c r="G57" s="3278">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279">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279">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280">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8" thickBot="1">
      <c r="A61" s="1460" t="s">
        <v>1191</v>
      </c>
      <c r="B61" s="1489">
        <v>138</v>
      </c>
      <c r="C61" s="1489">
        <v>131</v>
      </c>
      <c r="D61" s="1489">
        <f t="shared" si="108"/>
        <v>131</v>
      </c>
      <c r="E61" s="1489">
        <v>155</v>
      </c>
      <c r="F61" s="1490">
        <v>114</v>
      </c>
      <c r="G61" s="3278">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279">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279">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280">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8" thickBot="1">
      <c r="A65" s="1460" t="s">
        <v>1195</v>
      </c>
      <c r="B65" s="1510">
        <v>121</v>
      </c>
      <c r="C65" s="1510">
        <v>122</v>
      </c>
      <c r="D65" s="1510">
        <f t="shared" si="108"/>
        <v>122</v>
      </c>
      <c r="E65" s="1510">
        <v>124</v>
      </c>
      <c r="F65" s="1511">
        <v>107</v>
      </c>
      <c r="G65" s="3278">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279">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279">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8"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280">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8" thickBot="1">
      <c r="A69" s="1460" t="s">
        <v>1199</v>
      </c>
      <c r="B69" s="1531">
        <v>111</v>
      </c>
      <c r="C69" s="1531">
        <v>114</v>
      </c>
      <c r="D69" s="1531">
        <f t="shared" si="108"/>
        <v>114</v>
      </c>
      <c r="E69" s="1531">
        <v>108</v>
      </c>
      <c r="F69" s="1532">
        <v>104</v>
      </c>
      <c r="G69" s="3278">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279">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279">
        <v>2003</v>
      </c>
      <c r="H71" s="1464">
        <v>2</v>
      </c>
      <c r="I71" s="1533"/>
      <c r="J71" s="1533"/>
      <c r="K71" s="1533"/>
      <c r="L71" s="1533"/>
      <c r="X71" s="1525"/>
      <c r="Y71" s="1525"/>
      <c r="Z71" s="1525"/>
    </row>
    <row r="72" spans="1:26" ht="13.8" thickBot="1">
      <c r="A72" s="1460" t="s">
        <v>1202</v>
      </c>
      <c r="B72" s="1535">
        <f t="shared" si="144"/>
        <v>107.25</v>
      </c>
      <c r="C72" s="1535">
        <f t="shared" si="144"/>
        <v>108.75</v>
      </c>
      <c r="D72" s="1535">
        <f t="shared" si="108"/>
        <v>108.75</v>
      </c>
      <c r="E72" s="1535">
        <f t="shared" si="145"/>
        <v>105.75</v>
      </c>
      <c r="F72" s="1535">
        <f t="shared" si="145"/>
        <v>102.5</v>
      </c>
      <c r="G72" s="3280">
        <v>2003</v>
      </c>
      <c r="H72" s="1536">
        <v>1</v>
      </c>
      <c r="I72" s="1533"/>
      <c r="J72" s="1533"/>
      <c r="K72" s="1533"/>
      <c r="L72" s="1533"/>
      <c r="S72" s="1471"/>
      <c r="T72" s="1472"/>
      <c r="U72" s="1472"/>
      <c r="X72" s="1525"/>
      <c r="Y72" s="1525"/>
      <c r="Z72" s="1525"/>
    </row>
    <row r="73" spans="1:26" ht="13.8" thickBot="1">
      <c r="A73" s="1460" t="s">
        <v>1203</v>
      </c>
      <c r="B73" s="1537">
        <v>106</v>
      </c>
      <c r="C73" s="1537">
        <v>107</v>
      </c>
      <c r="D73" s="1537">
        <f t="shared" si="108"/>
        <v>107</v>
      </c>
      <c r="E73" s="1537">
        <v>105</v>
      </c>
      <c r="F73" s="1538">
        <v>102</v>
      </c>
      <c r="G73" s="3278">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279">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279">
        <v>2002</v>
      </c>
      <c r="H75" s="1464">
        <v>2</v>
      </c>
      <c r="I75" s="1533"/>
      <c r="J75" s="1533"/>
      <c r="K75" s="1533"/>
      <c r="L75" s="1533"/>
      <c r="X75" s="1525"/>
      <c r="Y75" s="1525"/>
      <c r="Z75" s="1525"/>
    </row>
    <row r="76" spans="1:26" s="1497" customFormat="1" ht="13.8" thickBot="1">
      <c r="A76" s="1493" t="s">
        <v>1206</v>
      </c>
      <c r="B76" s="1539">
        <f t="shared" si="146"/>
        <v>103</v>
      </c>
      <c r="C76" s="1539">
        <f t="shared" si="146"/>
        <v>104</v>
      </c>
      <c r="D76" s="1539">
        <f t="shared" si="108"/>
        <v>104</v>
      </c>
      <c r="E76" s="1539">
        <f t="shared" si="147"/>
        <v>103.5</v>
      </c>
      <c r="F76" s="1539">
        <f t="shared" si="147"/>
        <v>100.5</v>
      </c>
      <c r="G76" s="3280">
        <v>2002</v>
      </c>
      <c r="H76" s="1540">
        <v>1</v>
      </c>
      <c r="I76" s="1541"/>
      <c r="J76" s="1541"/>
      <c r="K76" s="1541"/>
      <c r="L76" s="1541"/>
      <c r="N76" s="1542"/>
      <c r="S76" s="1542"/>
      <c r="X76" s="1543"/>
      <c r="Y76" s="1543"/>
      <c r="Z76" s="1543"/>
    </row>
    <row r="77" spans="1:26" ht="13.8"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8"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8"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11" sqref="I11"/>
      <selection pane="bottomLeft" activeCell="I11" sqref="I11"/>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88" t="s">
        <v>3005</v>
      </c>
      <c r="D1" s="3289"/>
      <c r="E1" s="3289"/>
      <c r="F1" s="3289"/>
      <c r="G1" s="3289"/>
      <c r="H1" s="3289"/>
      <c r="I1" s="3289"/>
      <c r="J1" s="3289"/>
      <c r="K1" s="3289"/>
      <c r="L1" s="3289"/>
      <c r="M1" s="3289"/>
      <c r="N1" s="3289"/>
      <c r="O1" s="3289"/>
      <c r="P1" s="3289"/>
      <c r="Q1" s="3289"/>
      <c r="R1" s="3289"/>
      <c r="S1" s="3290"/>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3014</v>
      </c>
      <c r="B17" s="2910"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1" t="s">
        <v>3016</v>
      </c>
      <c r="E19" s="1791"/>
      <c r="F19" s="1791"/>
      <c r="G19" s="1791"/>
      <c r="H19" s="1279"/>
      <c r="I19" s="168"/>
      <c r="J19" s="168"/>
      <c r="K19" s="168"/>
      <c r="L19" s="168"/>
      <c r="M19" s="168"/>
      <c r="N19" s="168"/>
      <c r="O19" s="168"/>
      <c r="P19" s="168"/>
      <c r="Q19" s="168"/>
      <c r="R19" s="788"/>
      <c r="S19" s="138"/>
    </row>
    <row r="20" spans="1:45" ht="16.2" thickBot="1">
      <c r="A20" s="715" t="s">
        <v>3017</v>
      </c>
      <c r="B20" s="338" t="e">
        <f ca="1">IF(D20="——",S22,S22-F20)</f>
        <v>#REF!</v>
      </c>
      <c r="C20" s="168"/>
      <c r="D20" s="2912" t="s">
        <v>3018</v>
      </c>
      <c r="E20" s="1792"/>
      <c r="F20" s="1204" t="e">
        <f ca="1">SUMIF(INDIRECT("'"&amp;H20&amp;"'"&amp;"!A:A"),"承租人权益价值",INDIRECT("'"&amp;H20&amp;"'"&amp;"!c:c"))</f>
        <v>#REF!</v>
      </c>
      <c r="G20" s="1204" t="s">
        <v>3019</v>
      </c>
      <c r="H20" s="2913"/>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63" t="s">
        <v>33</v>
      </c>
      <c r="D22" s="3064"/>
      <c r="E22" s="3064"/>
      <c r="F22" s="3064"/>
      <c r="G22" s="3064"/>
      <c r="H22" s="3064"/>
      <c r="I22" s="3064"/>
      <c r="J22" s="3064"/>
      <c r="K22" s="3064"/>
      <c r="L22" s="3064"/>
      <c r="M22" s="3064"/>
      <c r="N22" s="3064"/>
      <c r="O22" s="3064"/>
      <c r="P22" s="3064"/>
      <c r="Q22" s="3287"/>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122078</v>
      </c>
      <c r="C2" s="2" t="s">
        <v>133</v>
      </c>
      <c r="D2" s="243"/>
      <c r="E2" s="243"/>
      <c r="F2" s="243"/>
      <c r="G2" s="243"/>
    </row>
    <row r="3" spans="1:7" s="244" customFormat="1" ht="18" customHeight="1" thickBot="1">
      <c r="A3" s="247" t="s">
        <v>85</v>
      </c>
      <c r="B3" s="248">
        <f ca="1">ROUND(B2*10000/'数据-汇总表'!E3,0)</f>
        <v>11861</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2058</v>
      </c>
      <c r="D10" s="1032">
        <f>'数据-汇总表'!E6</f>
        <v>102921.28</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2058</v>
      </c>
      <c r="D19" s="1036">
        <f>'数据-汇总表'!E3</f>
        <v>102921.28</v>
      </c>
      <c r="E19" s="255">
        <f>'数据-取费表'!B31</f>
        <v>200</v>
      </c>
      <c r="F19" s="275"/>
      <c r="G19" s="1" t="s">
        <v>1071</v>
      </c>
    </row>
    <row r="20" spans="1:7" s="258" customFormat="1" ht="13.5" customHeight="1">
      <c r="A20" s="948" t="s">
        <v>1054</v>
      </c>
      <c r="B20" s="254" t="s">
        <v>104</v>
      </c>
      <c r="C20" s="276">
        <f>ROUND((C5+C19)*F20,0)</f>
        <v>680</v>
      </c>
      <c r="D20" s="276"/>
      <c r="E20" s="276"/>
      <c r="F20" s="277">
        <f>'数据-取费表'!B37</f>
        <v>0.03</v>
      </c>
      <c r="G20" s="1288"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3">
        <f ca="1">ROUND(SUM(C23:C25),0)</f>
        <v>2829</v>
      </c>
      <c r="D22" s="279">
        <f ca="1">C26</f>
        <v>1.8E-3</v>
      </c>
      <c r="E22" s="280" t="s">
        <v>126</v>
      </c>
      <c r="F22" s="281">
        <f ca="1">'数据-取费表'!B40</f>
        <v>4.7500000000000001E-2</v>
      </c>
      <c r="G22" s="1288" t="str">
        <f>IF('数据-取费表'!B22&lt;=1,"单利计息","复利计息")</f>
        <v>复利计息</v>
      </c>
    </row>
    <row r="23" spans="1:7" s="258" customFormat="1" ht="13.5" customHeight="1">
      <c r="A23" s="951" t="s">
        <v>794</v>
      </c>
      <c r="B23" s="259" t="s">
        <v>1058</v>
      </c>
      <c r="C23" s="1354">
        <f ca="1">ROUND(IF('数据-取费表'!B22&lt;=1,C5*F22*'数据-取费表'!B23,C5*(POWER((1+F22),'数据-取费表'!B23)-1)),0)</f>
        <v>2535</v>
      </c>
      <c r="D23" s="282"/>
      <c r="E23" s="282"/>
      <c r="F23" s="283"/>
      <c r="G23" s="284" t="s">
        <v>108</v>
      </c>
    </row>
    <row r="24" spans="1:7" s="258" customFormat="1" ht="13.5" customHeight="1">
      <c r="A24" s="951" t="s">
        <v>792</v>
      </c>
      <c r="B24" s="259" t="s">
        <v>1053</v>
      </c>
      <c r="C24" s="1354">
        <f ca="1">ROUND(IF('数据-取费表'!B22&lt;=1,C19*F22*('数据-取费表'!B19/2+'数据-取费表'!B21),C19*(POWER((1+F22),('数据-取费表'!B19/2+'数据-取费表'!B21))-1)),0)</f>
        <v>253</v>
      </c>
      <c r="D24" s="282"/>
      <c r="E24" s="282"/>
      <c r="F24" s="283"/>
      <c r="G24" s="284" t="s">
        <v>109</v>
      </c>
    </row>
    <row r="25" spans="1:7" s="258" customFormat="1" ht="24">
      <c r="A25" s="951" t="s">
        <v>793</v>
      </c>
      <c r="B25" s="259" t="s">
        <v>1055</v>
      </c>
      <c r="C25" s="1354">
        <f ca="1">ROUND(IF('数据-取费表'!B22&lt;=1,C20*F22*'数据-取费表'!B23/2,C20*(POWER((1+F22),'数据-取费表'!B23/2)-1)),0)</f>
        <v>41</v>
      </c>
      <c r="D25" s="282"/>
      <c r="E25" s="285"/>
      <c r="F25" s="283"/>
      <c r="G25" s="286" t="s">
        <v>110</v>
      </c>
    </row>
    <row r="26" spans="1:7" s="258" customFormat="1">
      <c r="A26" s="951" t="s">
        <v>795</v>
      </c>
      <c r="B26" s="259" t="s">
        <v>1057</v>
      </c>
      <c r="C26" s="282">
        <f ca="1">ROUND(IF('数据-取费表'!B22&lt;=1,F21*F22*'数据-取费表'!B23/2,F21*(POWER((1+F22),'数据-取费表'!B23/2)-1)),4)</f>
        <v>1.8E-3</v>
      </c>
      <c r="D26" s="282"/>
      <c r="E26" s="285"/>
      <c r="F26" s="283"/>
      <c r="G26" s="287"/>
    </row>
    <row r="27" spans="1:7" s="258" customFormat="1" ht="26.4">
      <c r="A27" s="948" t="s">
        <v>787</v>
      </c>
      <c r="B27" s="288" t="s">
        <v>112</v>
      </c>
      <c r="C27" s="289">
        <f>C28</f>
        <v>7004</v>
      </c>
      <c r="D27" s="279">
        <f>C29</f>
        <v>8.9999999999999993E-3</v>
      </c>
      <c r="E27" s="280" t="s">
        <v>126</v>
      </c>
      <c r="F27" s="290">
        <f>'数据-取费表'!Q16</f>
        <v>0.3</v>
      </c>
      <c r="G27" s="291" t="s">
        <v>1066</v>
      </c>
    </row>
    <row r="28" spans="1:7" s="258" customFormat="1" ht="13.5" customHeight="1">
      <c r="A28" s="951" t="s">
        <v>794</v>
      </c>
      <c r="B28" s="292" t="s">
        <v>1059</v>
      </c>
      <c r="C28" s="293">
        <f>ROUND((C5+C19+C20)*F27*'数据-取费表'!B21/'数据-取费表'!B20,0)</f>
        <v>7004</v>
      </c>
      <c r="D28" s="279"/>
      <c r="E28" s="280"/>
      <c r="F28" s="290"/>
      <c r="G28" s="291"/>
    </row>
    <row r="29" spans="1:7" s="258" customFormat="1" ht="13.5" customHeight="1">
      <c r="A29" s="951" t="s">
        <v>792</v>
      </c>
      <c r="B29" s="292" t="s">
        <v>1060</v>
      </c>
      <c r="C29" s="282">
        <f>ROUND(C21*F27*'数据-取费表'!B21/'数据-取费表'!B20,4)</f>
        <v>8.9999999999999993E-3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36629</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66590</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61753</v>
      </c>
      <c r="D34" s="261"/>
      <c r="E34" s="264"/>
      <c r="F34" s="301">
        <f>IF('数据-取费表'!B24=0,1,'数据-取费表'!N16)</f>
        <v>1</v>
      </c>
      <c r="G34" s="263" t="s">
        <v>116</v>
      </c>
    </row>
    <row r="35" spans="1:7" ht="13.5" customHeight="1">
      <c r="A35" s="951" t="s">
        <v>796</v>
      </c>
      <c r="B35" s="259" t="s">
        <v>60</v>
      </c>
      <c r="C35" s="264">
        <f>ROUND(C34*F35,0)</f>
        <v>1853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2058</v>
      </c>
      <c r="D37" s="261">
        <f>'数据-汇总表'!E3</f>
        <v>102921.28</v>
      </c>
      <c r="E37" s="293">
        <f>'数据-取费表'!B35</f>
        <v>200</v>
      </c>
      <c r="F37" s="303"/>
      <c r="G37" s="305" t="s">
        <v>119</v>
      </c>
    </row>
    <row r="38" spans="1:7" ht="13.5" customHeight="1">
      <c r="A38" s="951" t="s">
        <v>799</v>
      </c>
      <c r="B38" s="259" t="s">
        <v>63</v>
      </c>
      <c r="C38" s="264">
        <f>ROUND(C34*F38,0)</f>
        <v>926</v>
      </c>
      <c r="D38" s="264"/>
      <c r="E38" s="264"/>
      <c r="F38" s="303">
        <f>'数据-取费表'!B36</f>
        <v>1.4999999999999999E-2</v>
      </c>
      <c r="G38" s="263" t="s">
        <v>117</v>
      </c>
    </row>
    <row r="39" spans="1:7" s="258" customFormat="1" ht="13.5" customHeight="1">
      <c r="A39" s="948" t="s">
        <v>783</v>
      </c>
      <c r="B39" s="254" t="s">
        <v>104</v>
      </c>
      <c r="C39" s="276">
        <f>ROUND(C33*F20,0)</f>
        <v>1998</v>
      </c>
      <c r="D39" s="276"/>
      <c r="E39" s="276"/>
      <c r="F39" s="277"/>
      <c r="G39" s="1288"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4096</v>
      </c>
      <c r="D41" s="279">
        <f ca="1">C44</f>
        <v>1.8E-3</v>
      </c>
      <c r="E41" s="280" t="s">
        <v>129</v>
      </c>
      <c r="F41" s="281"/>
      <c r="G41" s="1288" t="str">
        <f>IF('数据-取费表'!B22&lt;=1,"单利计息","复利计息")</f>
        <v>复利计息</v>
      </c>
    </row>
    <row r="42" spans="1:7" ht="13.5" customHeight="1">
      <c r="A42" s="951" t="s">
        <v>794</v>
      </c>
      <c r="B42" s="259" t="s">
        <v>1058</v>
      </c>
      <c r="C42" s="282">
        <f ca="1">ROUND(IF('数据-取费表'!B22&lt;=1,C33*F22*'数据-取费表'!B21/2,C33*(POWER((1+F22),'数据-取费表'!B21/2)-1)),0)</f>
        <v>3977</v>
      </c>
      <c r="D42" s="282"/>
      <c r="E42" s="282"/>
      <c r="F42" s="283"/>
      <c r="G42" s="3148" t="s">
        <v>121</v>
      </c>
    </row>
    <row r="43" spans="1:7" ht="13.5" customHeight="1">
      <c r="A43" s="951" t="s">
        <v>792</v>
      </c>
      <c r="B43" s="259" t="s">
        <v>1061</v>
      </c>
      <c r="C43" s="282">
        <f ca="1">ROUND(IF('数据-取费表'!B22&lt;=1,C39*F22*'数据-取费表'!B21/2,C39*(POWER((1+F22),'数据-取费表'!B21/2)-1)),0)</f>
        <v>119</v>
      </c>
      <c r="D43" s="282"/>
      <c r="E43" s="282"/>
      <c r="F43" s="283"/>
      <c r="G43" s="3149"/>
    </row>
    <row r="44" spans="1:7" ht="13.5" customHeight="1">
      <c r="A44" s="951" t="s">
        <v>793</v>
      </c>
      <c r="B44" s="259" t="s">
        <v>1063</v>
      </c>
      <c r="C44" s="282">
        <f ca="1">ROUND(IF('数据-取费表'!B22&lt;=1,C40*F22*'数据-取费表'!B21/2,C40*(POWER((1+F22),'数据-取费表'!B21/2)-1)),4)</f>
        <v>1.8E-3</v>
      </c>
      <c r="D44" s="282"/>
      <c r="E44" s="282"/>
      <c r="F44" s="283"/>
      <c r="G44" s="3150"/>
    </row>
    <row r="45" spans="1:7" s="258" customFormat="1" ht="13.5" customHeight="1">
      <c r="A45" s="948" t="s">
        <v>786</v>
      </c>
      <c r="B45" s="288" t="s">
        <v>112</v>
      </c>
      <c r="C45" s="289">
        <f>C46</f>
        <v>20576</v>
      </c>
      <c r="D45" s="279">
        <f>C47</f>
        <v>8.9999999999999993E-3</v>
      </c>
      <c r="E45" s="280" t="s">
        <v>129</v>
      </c>
      <c r="F45" s="290"/>
      <c r="G45" s="291" t="s">
        <v>1069</v>
      </c>
    </row>
    <row r="46" spans="1:7" s="258" customFormat="1" ht="13.5" customHeight="1">
      <c r="A46" s="951" t="s">
        <v>794</v>
      </c>
      <c r="B46" s="292" t="s">
        <v>1062</v>
      </c>
      <c r="C46" s="293">
        <f>ROUND((C33+C39)*F27,0)</f>
        <v>20576</v>
      </c>
      <c r="D46" s="307"/>
      <c r="E46" s="280"/>
      <c r="F46" s="290"/>
      <c r="G46" s="291"/>
    </row>
    <row r="47" spans="1:7" s="258" customFormat="1" ht="13.5" customHeight="1">
      <c r="A47" s="951" t="s">
        <v>792</v>
      </c>
      <c r="B47" s="292" t="s">
        <v>1064</v>
      </c>
      <c r="C47" s="282">
        <f>ROUND(C40*F27,4)</f>
        <v>8.9999999999999993E-3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102951</v>
      </c>
      <c r="D49" s="276"/>
      <c r="E49" s="276"/>
      <c r="F49" s="308"/>
      <c r="G49" s="278" t="s">
        <v>1070</v>
      </c>
    </row>
    <row r="50" spans="1:7" s="302" customFormat="1" ht="24">
      <c r="A50" s="948" t="s">
        <v>789</v>
      </c>
      <c r="B50" s="254" t="s">
        <v>124</v>
      </c>
      <c r="C50" s="276"/>
      <c r="D50" s="276"/>
      <c r="E50" s="276"/>
      <c r="F50" s="308">
        <f>IF('数据-取费表'!B24=0,'数据-取费表'!N16,1)</f>
        <v>0.83</v>
      </c>
      <c r="G50" s="291" t="s">
        <v>125</v>
      </c>
    </row>
    <row r="51" spans="1:7" ht="16.5" customHeight="1">
      <c r="A51" s="948" t="s">
        <v>790</v>
      </c>
      <c r="B51" s="254" t="s">
        <v>132</v>
      </c>
      <c r="C51" s="276">
        <f ca="1">ROUND(C49*F50,0)</f>
        <v>85449</v>
      </c>
      <c r="D51" s="276"/>
      <c r="E51" s="276"/>
      <c r="F51" s="308"/>
      <c r="G51" s="278" t="s">
        <v>64</v>
      </c>
    </row>
    <row r="52" spans="1:7" s="252" customFormat="1" ht="16.8" thickBot="1">
      <c r="A52" s="309" t="s">
        <v>65</v>
      </c>
      <c r="B52" s="310"/>
      <c r="C52" s="311">
        <f ca="1">C31+C51</f>
        <v>122078</v>
      </c>
      <c r="D52" s="310"/>
      <c r="E52" s="310"/>
      <c r="F52" s="310"/>
      <c r="G52" s="312"/>
    </row>
    <row r="55" spans="1:7" ht="15">
      <c r="B55" s="314" t="s">
        <v>66</v>
      </c>
      <c r="C55" s="315"/>
    </row>
    <row r="56" spans="1:7">
      <c r="B56" s="317" t="s">
        <v>67</v>
      </c>
      <c r="C56" s="318">
        <f ca="1">ROUND(C51/C52,3)</f>
        <v>0.7</v>
      </c>
    </row>
    <row r="57" spans="1:7">
      <c r="B57" s="317" t="s">
        <v>68</v>
      </c>
      <c r="C57" s="319">
        <f ca="1">1-C56</f>
        <v>0.30000000000000004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1" t="s">
        <v>156</v>
      </c>
      <c r="B1" s="3291"/>
      <c r="C1" s="3291"/>
      <c r="D1" s="3291"/>
      <c r="E1" s="3291"/>
      <c r="F1" s="329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2" t="s">
        <v>169</v>
      </c>
      <c r="B2" s="3292"/>
      <c r="C2" s="3292"/>
      <c r="D2" s="3292"/>
      <c r="E2" s="3292"/>
      <c r="F2" s="329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1" t="s">
        <v>868</v>
      </c>
      <c r="B1" s="3291"/>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43802</v>
      </c>
      <c r="D1" s="1699" t="s">
        <v>1297</v>
      </c>
      <c r="E1" s="1694">
        <f>'数据-取费表'!B22</f>
        <v>2.5</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2019-12-03T07:04:43Z</dcterms:modified>
</cp:coreProperties>
</file>