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面积表" sheetId="69" state="hidden" r:id="rId42"/>
    <sheet name="Sheet2" sheetId="70" r:id="rId43"/>
    <sheet name="Sheet3" sheetId="71"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2" i="1" l="1"/>
  <c r="I48" i="39"/>
  <c r="G48" i="39"/>
  <c r="E48" i="39"/>
  <c r="I9" i="39" l="1"/>
  <c r="G9" i="39"/>
  <c r="E9" i="39"/>
  <c r="I40" i="39"/>
  <c r="G40" i="39"/>
  <c r="E40" i="39"/>
  <c r="I7" i="39"/>
  <c r="G7" i="39"/>
  <c r="E7" i="39"/>
  <c r="C40" i="39"/>
  <c r="K13" i="3"/>
  <c r="I13" i="3"/>
  <c r="A6" i="1"/>
  <c r="A7" i="1"/>
  <c r="G1" i="15"/>
  <c r="F20" i="6"/>
  <c r="E20" i="6"/>
  <c r="K7" i="1"/>
  <c r="D3" i="4"/>
  <c r="C1" i="65"/>
  <c r="N1" i="65"/>
  <c r="B43" i="1"/>
  <c r="B41" i="1"/>
  <c r="F32" i="15"/>
  <c r="F33" i="15"/>
  <c r="BB13" i="3"/>
  <c r="BC13" i="3"/>
  <c r="BD13" i="3"/>
  <c r="BE13" i="3"/>
  <c r="BF13" i="3"/>
  <c r="BG13" i="3"/>
  <c r="BH13" i="3"/>
  <c r="BI13" i="3"/>
  <c r="BJ13" i="3"/>
  <c r="BK13" i="3"/>
  <c r="BA13" i="3"/>
  <c r="BO13" i="3"/>
  <c r="BM13" i="3"/>
  <c r="BN13" i="3"/>
  <c r="BP13" i="3"/>
  <c r="BQ13" i="3"/>
  <c r="BR13" i="3"/>
  <c r="BS13" i="3"/>
  <c r="BT13" i="3"/>
  <c r="BL13" i="3"/>
  <c r="AZ13" i="3"/>
  <c r="BB16" i="3"/>
  <c r="BC16" i="3"/>
  <c r="BD16" i="3"/>
  <c r="BE16" i="3"/>
  <c r="BF16" i="3"/>
  <c r="BG16" i="3"/>
  <c r="BH16" i="3"/>
  <c r="BI16" i="3"/>
  <c r="BJ16" i="3"/>
  <c r="BK16" i="3"/>
  <c r="BA16" i="3"/>
  <c r="BM16" i="3"/>
  <c r="BN16" i="3"/>
  <c r="BO16" i="3"/>
  <c r="BP16" i="3"/>
  <c r="BQ16" i="3"/>
  <c r="BR16" i="3"/>
  <c r="BS16" i="3"/>
  <c r="BT16" i="3"/>
  <c r="BL16" i="3"/>
  <c r="AZ16"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6" i="3"/>
  <c r="AC16" i="3"/>
  <c r="G16" i="3"/>
  <c r="H14" i="3"/>
  <c r="AC14" i="3"/>
  <c r="G14" i="3"/>
  <c r="H15" i="3"/>
  <c r="AC15" i="3"/>
  <c r="G15"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F19" i="6"/>
  <c r="E19" i="6"/>
  <c r="BA5" i="3"/>
  <c r="E21" i="6"/>
  <c r="E22" i="6"/>
  <c r="E23" i="6"/>
  <c r="E24" i="6"/>
  <c r="E25" i="6"/>
  <c r="E26" i="6"/>
  <c r="E27" i="6"/>
  <c r="BQ5" i="3"/>
  <c r="BS5" i="3"/>
  <c r="F28" i="6"/>
  <c r="BR5" i="3"/>
  <c r="BT5" i="3"/>
  <c r="G28" i="6"/>
  <c r="E28" i="6"/>
  <c r="K20" i="6"/>
  <c r="L20" i="6"/>
  <c r="M20" i="6"/>
  <c r="I20" i="6"/>
  <c r="H20" i="6"/>
  <c r="R20" i="6"/>
  <c r="R7" i="1"/>
  <c r="B52" i="1"/>
  <c r="F34" i="15"/>
  <c r="M7" i="1"/>
  <c r="K14" i="1"/>
  <c r="M14" i="1"/>
  <c r="S7" i="1"/>
  <c r="K19" i="6"/>
  <c r="S6" i="1"/>
  <c r="A8" i="1"/>
  <c r="S8" i="1"/>
  <c r="A9" i="1"/>
  <c r="S9" i="1"/>
  <c r="A10" i="1"/>
  <c r="S10" i="1"/>
  <c r="A11" i="1"/>
  <c r="S11" i="1"/>
  <c r="A12" i="1"/>
  <c r="S12" i="1"/>
  <c r="A13" i="1"/>
  <c r="S13" i="1"/>
  <c r="S16" i="1"/>
  <c r="T4" i="1"/>
  <c r="T7" i="1"/>
  <c r="F15" i="15"/>
  <c r="F17" i="15"/>
  <c r="F18" i="15"/>
  <c r="F20" i="15"/>
  <c r="H1" i="65"/>
  <c r="B22" i="1"/>
  <c r="C2" i="65" s="1"/>
  <c r="I1" i="65" s="1"/>
  <c r="F23" i="15"/>
  <c r="F21" i="15"/>
  <c r="B2" i="1"/>
  <c r="C42" i="1"/>
  <c r="F28" i="15"/>
  <c r="C28" i="15"/>
  <c r="E19" i="4"/>
  <c r="F7" i="1"/>
  <c r="J50" i="15"/>
  <c r="J51" i="15"/>
  <c r="M47" i="15"/>
  <c r="D9" i="12"/>
  <c r="R47" i="21"/>
  <c r="C7" i="21"/>
  <c r="E7" i="21"/>
  <c r="C58" i="21"/>
  <c r="D58" i="21"/>
  <c r="E58" i="21"/>
  <c r="F58" i="21"/>
  <c r="G58" i="21"/>
  <c r="H58" i="21"/>
  <c r="I58" i="21"/>
  <c r="J58" i="21"/>
  <c r="K58" i="21"/>
  <c r="L58" i="21"/>
  <c r="M58" i="21"/>
  <c r="N58" i="21"/>
  <c r="O58" i="21"/>
  <c r="F7" i="21"/>
  <c r="AA7" i="21"/>
  <c r="D77" i="21"/>
  <c r="F15" i="21"/>
  <c r="AA15" i="21"/>
  <c r="D79" i="21"/>
  <c r="F17" i="21"/>
  <c r="AA17" i="21"/>
  <c r="D81" i="21"/>
  <c r="F19" i="21"/>
  <c r="AA19" i="21"/>
  <c r="D83" i="21"/>
  <c r="F21" i="21"/>
  <c r="AA21" i="21"/>
  <c r="F33" i="21"/>
  <c r="AA33" i="21" s="1"/>
  <c r="R48" i="21" s="1"/>
  <c r="E48" i="21" s="1"/>
  <c r="D117" i="21"/>
  <c r="F39" i="21"/>
  <c r="AA39" i="21"/>
  <c r="D108" i="21"/>
  <c r="E108" i="21"/>
  <c r="F35" i="21"/>
  <c r="AA35" i="21"/>
  <c r="D110" i="21"/>
  <c r="F36" i="21"/>
  <c r="AA36" i="21"/>
  <c r="D101" i="21"/>
  <c r="E101" i="21"/>
  <c r="F32" i="21"/>
  <c r="AA32" i="21"/>
  <c r="D115" i="21"/>
  <c r="F38" i="21"/>
  <c r="AA38" i="21"/>
  <c r="D123" i="21"/>
  <c r="E123" i="21"/>
  <c r="F123" i="21"/>
  <c r="F42" i="21"/>
  <c r="AA42" i="21"/>
  <c r="D85" i="21"/>
  <c r="E85" i="21"/>
  <c r="F23" i="21"/>
  <c r="AA23" i="21"/>
  <c r="F8" i="21"/>
  <c r="AA8" i="21"/>
  <c r="C63" i="21"/>
  <c r="F9" i="21"/>
  <c r="AA9" i="21"/>
  <c r="F10" i="21"/>
  <c r="AA10" i="21"/>
  <c r="F11" i="21"/>
  <c r="AA11" i="21"/>
  <c r="B70" i="21"/>
  <c r="F12" i="21"/>
  <c r="AA12" i="21"/>
  <c r="B72" i="21"/>
  <c r="F13" i="21"/>
  <c r="AA13" i="21"/>
  <c r="B74" i="21"/>
  <c r="F14" i="21"/>
  <c r="AA14" i="21"/>
  <c r="F25" i="21"/>
  <c r="AA25" i="21"/>
  <c r="F26" i="21"/>
  <c r="AA26" i="21"/>
  <c r="B90" i="21"/>
  <c r="F27" i="21"/>
  <c r="AA27" i="21"/>
  <c r="B92" i="21"/>
  <c r="F28" i="21"/>
  <c r="AA28" i="21"/>
  <c r="B94" i="21"/>
  <c r="F29" i="21"/>
  <c r="AA29" i="21"/>
  <c r="B96" i="21"/>
  <c r="F30" i="21"/>
  <c r="AA30" i="21"/>
  <c r="B98" i="21"/>
  <c r="F31" i="21"/>
  <c r="AA31" i="21"/>
  <c r="F34" i="21"/>
  <c r="AA34" i="21"/>
  <c r="D113" i="21"/>
  <c r="E113" i="21"/>
  <c r="F113" i="21"/>
  <c r="G113" i="21"/>
  <c r="F37" i="21"/>
  <c r="AA37" i="21"/>
  <c r="F40" i="21"/>
  <c r="AA40" i="21"/>
  <c r="F41" i="21"/>
  <c r="AA41" i="21"/>
  <c r="D125" i="21"/>
  <c r="F43" i="21"/>
  <c r="AA43" i="21"/>
  <c r="B126" i="21"/>
  <c r="F44" i="21"/>
  <c r="AA44" i="21"/>
  <c r="B128" i="21"/>
  <c r="F45" i="21"/>
  <c r="AA45" i="21"/>
  <c r="B130" i="21"/>
  <c r="F46" i="21"/>
  <c r="AA46" i="21"/>
  <c r="G7" i="21"/>
  <c r="H7" i="21"/>
  <c r="AB7" i="21"/>
  <c r="T47" i="21"/>
  <c r="H17" i="21"/>
  <c r="AB17" i="21"/>
  <c r="H19" i="21"/>
  <c r="AB19" i="21"/>
  <c r="H21" i="21"/>
  <c r="AB21" i="21"/>
  <c r="H33" i="21"/>
  <c r="AB33" i="21" s="1"/>
  <c r="T48" i="21" s="1"/>
  <c r="G48" i="21" s="1"/>
  <c r="G52" i="21" s="1"/>
  <c r="H52" i="21" s="1"/>
  <c r="H32" i="21"/>
  <c r="AB32" i="21"/>
  <c r="H39" i="21"/>
  <c r="AB39" i="21"/>
  <c r="H35" i="21"/>
  <c r="AB35" i="21"/>
  <c r="H36" i="21"/>
  <c r="AB36" i="21"/>
  <c r="H15" i="21"/>
  <c r="AB15" i="21"/>
  <c r="H38" i="21"/>
  <c r="AB38" i="21"/>
  <c r="H42" i="21"/>
  <c r="AB42" i="21"/>
  <c r="H23" i="21"/>
  <c r="AB23" i="21"/>
  <c r="H8" i="21"/>
  <c r="AB8" i="21"/>
  <c r="H9" i="21"/>
  <c r="AB9" i="21"/>
  <c r="H10" i="21"/>
  <c r="AB10" i="21"/>
  <c r="H11" i="21"/>
  <c r="AB11" i="21"/>
  <c r="H12" i="21"/>
  <c r="AB12" i="21"/>
  <c r="H13" i="21"/>
  <c r="AB13" i="21"/>
  <c r="H14" i="21"/>
  <c r="AB14" i="21"/>
  <c r="H25" i="21"/>
  <c r="AB25" i="21"/>
  <c r="H26" i="21"/>
  <c r="AB26" i="21"/>
  <c r="H27" i="21"/>
  <c r="AB27" i="21"/>
  <c r="H28" i="21"/>
  <c r="AB28" i="21"/>
  <c r="H29" i="21"/>
  <c r="AB29" i="21"/>
  <c r="H30" i="21"/>
  <c r="AB30" i="21"/>
  <c r="H31" i="21"/>
  <c r="AB31" i="21"/>
  <c r="H34" i="21"/>
  <c r="AB34" i="21"/>
  <c r="H37" i="21"/>
  <c r="AB37" i="21"/>
  <c r="H40" i="21"/>
  <c r="AB40" i="21"/>
  <c r="H41" i="21"/>
  <c r="AB41" i="21"/>
  <c r="H43" i="21"/>
  <c r="AB43" i="21"/>
  <c r="H44" i="21"/>
  <c r="AB44" i="21"/>
  <c r="H45" i="21"/>
  <c r="AB45" i="21"/>
  <c r="H46" i="21"/>
  <c r="AB46" i="21"/>
  <c r="I7" i="21"/>
  <c r="J7" i="21"/>
  <c r="AC7" i="21"/>
  <c r="J15" i="21"/>
  <c r="AC15" i="21"/>
  <c r="J17" i="21"/>
  <c r="AC17" i="21"/>
  <c r="J19" i="21"/>
  <c r="AC19" i="21"/>
  <c r="J21" i="21"/>
  <c r="AC21" i="21"/>
  <c r="J33" i="21"/>
  <c r="AC33" i="21" s="1"/>
  <c r="V48" i="21" s="1"/>
  <c r="J32" i="21"/>
  <c r="AC32" i="21"/>
  <c r="J35" i="21"/>
  <c r="AC35" i="21"/>
  <c r="J39" i="21"/>
  <c r="AC39" i="21"/>
  <c r="J42" i="21"/>
  <c r="AC42" i="21"/>
  <c r="V47" i="21"/>
  <c r="J36" i="21"/>
  <c r="AC36" i="21"/>
  <c r="J38" i="21"/>
  <c r="AC38" i="21"/>
  <c r="J23" i="21"/>
  <c r="AC23" i="21"/>
  <c r="J8" i="21"/>
  <c r="AC8" i="21"/>
  <c r="J9" i="21"/>
  <c r="AC9" i="21"/>
  <c r="J10" i="21"/>
  <c r="AC10" i="21"/>
  <c r="J11" i="21"/>
  <c r="AC11" i="21"/>
  <c r="J12" i="21"/>
  <c r="AC12" i="21"/>
  <c r="J13" i="21"/>
  <c r="AC13" i="21"/>
  <c r="J14" i="21"/>
  <c r="AC14" i="21"/>
  <c r="J25" i="21"/>
  <c r="AC25" i="21"/>
  <c r="J26" i="21"/>
  <c r="AC26" i="21"/>
  <c r="J27" i="21"/>
  <c r="AC27" i="21"/>
  <c r="J28" i="21"/>
  <c r="AC28" i="21"/>
  <c r="J29" i="21"/>
  <c r="AC29" i="21"/>
  <c r="J30" i="21"/>
  <c r="AC30" i="21"/>
  <c r="J31" i="21"/>
  <c r="AC31" i="21"/>
  <c r="J34" i="21"/>
  <c r="AC34" i="21"/>
  <c r="J37" i="21"/>
  <c r="AC37" i="21"/>
  <c r="J40" i="21"/>
  <c r="AC40" i="21"/>
  <c r="J41" i="21"/>
  <c r="AC41" i="21"/>
  <c r="J43" i="21"/>
  <c r="AC43" i="21"/>
  <c r="J44" i="21"/>
  <c r="AC44" i="21"/>
  <c r="J45" i="21"/>
  <c r="AC45" i="21"/>
  <c r="J46" i="21"/>
  <c r="AC46" i="21"/>
  <c r="C9" i="12"/>
  <c r="K6" i="1"/>
  <c r="M6" i="1"/>
  <c r="O6" i="1"/>
  <c r="P6" i="1" s="1"/>
  <c r="O7" i="1"/>
  <c r="P7" i="1" s="1"/>
  <c r="K8" i="1"/>
  <c r="M8" i="1"/>
  <c r="O8" i="1"/>
  <c r="P8" i="1"/>
  <c r="K9" i="1"/>
  <c r="M9" i="1"/>
  <c r="O9" i="1"/>
  <c r="P9" i="1"/>
  <c r="K10" i="1"/>
  <c r="M10" i="1"/>
  <c r="O10" i="1"/>
  <c r="P10" i="1"/>
  <c r="K11" i="1"/>
  <c r="M11" i="1"/>
  <c r="O11" i="1"/>
  <c r="P11" i="1"/>
  <c r="K12" i="1"/>
  <c r="M12" i="1"/>
  <c r="O12" i="1"/>
  <c r="P12" i="1"/>
  <c r="K13" i="1"/>
  <c r="M13" i="1"/>
  <c r="O13" i="1"/>
  <c r="P13" i="1"/>
  <c r="O14" i="1"/>
  <c r="P14" i="1"/>
  <c r="F14" i="12"/>
  <c r="F15" i="12"/>
  <c r="D16" i="12"/>
  <c r="E16" i="12"/>
  <c r="C16" i="12"/>
  <c r="F17" i="12"/>
  <c r="D19" i="12"/>
  <c r="E19" i="12"/>
  <c r="C19" i="12"/>
  <c r="BB5" i="3"/>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C5" i="3"/>
  <c r="BD5" i="3"/>
  <c r="BE5" i="3"/>
  <c r="BF5" i="3"/>
  <c r="BG5" i="3"/>
  <c r="BH5" i="3"/>
  <c r="BI5" i="3"/>
  <c r="BJ5" i="3"/>
  <c r="BK5" i="3"/>
  <c r="BL5" i="3"/>
  <c r="BM5" i="3"/>
  <c r="BN5" i="3"/>
  <c r="BO5" i="3"/>
  <c r="BP5" i="3"/>
  <c r="E5" i="6"/>
  <c r="D21" i="12"/>
  <c r="E21" i="12"/>
  <c r="C21" i="12"/>
  <c r="E6" i="6"/>
  <c r="D22" i="12"/>
  <c r="E22" i="12"/>
  <c r="C22" i="12"/>
  <c r="F23" i="12"/>
  <c r="F24" i="12"/>
  <c r="B24" i="1"/>
  <c r="F29" i="12"/>
  <c r="Q16" i="1"/>
  <c r="F33" i="12" s="1"/>
  <c r="C34" i="12" s="1"/>
  <c r="D33" i="12" s="1"/>
  <c r="F25" i="12"/>
  <c r="C25" i="12"/>
  <c r="C30" i="31"/>
  <c r="C29" i="31"/>
  <c r="C28" i="31"/>
  <c r="C27" i="31"/>
  <c r="C26" i="31"/>
  <c r="C25" i="31"/>
  <c r="D19" i="4"/>
  <c r="F6" i="1"/>
  <c r="C15" i="31"/>
  <c r="T20" i="1"/>
  <c r="T21" i="1"/>
  <c r="E77" i="21"/>
  <c r="E79" i="21"/>
  <c r="E81" i="21"/>
  <c r="D83" i="39"/>
  <c r="E83" i="39"/>
  <c r="F83" i="39"/>
  <c r="D82" i="39"/>
  <c r="E82" i="39"/>
  <c r="F82" i="39"/>
  <c r="G82" i="39"/>
  <c r="H82" i="39"/>
  <c r="F13" i="39"/>
  <c r="AA13" i="39"/>
  <c r="D119" i="39"/>
  <c r="D120" i="39"/>
  <c r="E120" i="39"/>
  <c r="F120" i="39"/>
  <c r="F40" i="39"/>
  <c r="AA40" i="39"/>
  <c r="D122" i="39"/>
  <c r="E122" i="39"/>
  <c r="F122" i="39"/>
  <c r="F41" i="39"/>
  <c r="AA41"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R48" i="39"/>
  <c r="F10" i="39"/>
  <c r="AA10" i="39"/>
  <c r="F11" i="39"/>
  <c r="AA11" i="39"/>
  <c r="H13" i="39"/>
  <c r="AB13" i="39"/>
  <c r="H40" i="39"/>
  <c r="AB40" i="39"/>
  <c r="H41" i="39"/>
  <c r="AB41" i="39"/>
  <c r="H9" i="39"/>
  <c r="AB9" i="39"/>
  <c r="T48" i="39"/>
  <c r="H10" i="39"/>
  <c r="AB10" i="39"/>
  <c r="H11" i="39"/>
  <c r="AB11" i="39"/>
  <c r="J13" i="39"/>
  <c r="AC13" i="39"/>
  <c r="J40" i="39"/>
  <c r="AC40" i="39"/>
  <c r="J41" i="39"/>
  <c r="AC41" i="39"/>
  <c r="J9" i="39"/>
  <c r="AC9" i="39"/>
  <c r="V48" i="39"/>
  <c r="J10" i="39"/>
  <c r="AC10" i="39"/>
  <c r="J11" i="39"/>
  <c r="AC11" i="39"/>
  <c r="BB10" i="3"/>
  <c r="BC10" i="3"/>
  <c r="BD10" i="3"/>
  <c r="BE10" i="3"/>
  <c r="BF10" i="3"/>
  <c r="BG10" i="3"/>
  <c r="BH10" i="3"/>
  <c r="BI10" i="3"/>
  <c r="BJ10" i="3"/>
  <c r="BK10" i="3"/>
  <c r="E8" i="6"/>
  <c r="E58" i="39"/>
  <c r="C17" i="9"/>
  <c r="D17" i="9"/>
  <c r="C18" i="9"/>
  <c r="D18" i="9"/>
  <c r="F27" i="6"/>
  <c r="C7" i="33"/>
  <c r="I7" i="33"/>
  <c r="G7" i="33"/>
  <c r="E7" i="33"/>
  <c r="G120" i="39"/>
  <c r="H120" i="39"/>
  <c r="I120" i="39"/>
  <c r="J120" i="39"/>
  <c r="I82" i="39"/>
  <c r="J82"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M19" i="46"/>
  <c r="D8" i="59"/>
  <c r="AB6" i="59"/>
  <c r="AA6" i="59"/>
  <c r="Y6" i="59"/>
  <c r="Z6" i="59"/>
  <c r="X6" i="59"/>
  <c r="K59" i="15"/>
  <c r="P62" i="15" s="1"/>
  <c r="Q74" i="44"/>
  <c r="Q61" i="44"/>
  <c r="Q60" i="44"/>
  <c r="Q53" i="44"/>
  <c r="J51" i="44"/>
  <c r="J52" i="44"/>
  <c r="M48" i="44"/>
  <c r="A16" i="55"/>
  <c r="A15" i="55"/>
  <c r="A14" i="55"/>
  <c r="A11" i="55"/>
  <c r="A10" i="55"/>
  <c r="A9" i="55"/>
  <c r="A8" i="55"/>
  <c r="A6" i="54"/>
  <c r="A8" i="54"/>
  <c r="A7" i="54"/>
  <c r="C57" i="10"/>
  <c r="A28" i="51"/>
  <c r="A27" i="51"/>
  <c r="D5" i="46"/>
  <c r="AB7" i="59"/>
  <c r="Y7" i="59"/>
  <c r="Z7" i="59"/>
  <c r="X7" i="59"/>
  <c r="AA7" i="59"/>
  <c r="B11" i="59"/>
  <c r="C11" i="59"/>
  <c r="D11" i="59"/>
  <c r="E11" i="59"/>
  <c r="F11" i="59"/>
  <c r="K75" i="9"/>
  <c r="K6" i="4"/>
  <c r="O76" i="9"/>
  <c r="L76" i="9"/>
  <c r="K76" i="9"/>
  <c r="K77" i="9"/>
  <c r="K79" i="9"/>
  <c r="K81" i="9"/>
  <c r="B22" i="31"/>
  <c r="E21" i="66"/>
  <c r="F21" i="66"/>
  <c r="E22" i="66"/>
  <c r="F22" i="66"/>
  <c r="E23" i="66"/>
  <c r="F23" i="66"/>
  <c r="B3" i="66"/>
  <c r="V11" i="59"/>
  <c r="U11" i="59"/>
  <c r="T11" i="59"/>
  <c r="S11" i="59"/>
  <c r="B10" i="59"/>
  <c r="B9" i="59"/>
  <c r="E10" i="59"/>
  <c r="E9" i="59"/>
  <c r="C10" i="59"/>
  <c r="F10" i="59"/>
  <c r="F9" i="59"/>
  <c r="V7" i="59"/>
  <c r="U7" i="59"/>
  <c r="S7" i="59"/>
  <c r="D10" i="59"/>
  <c r="C9"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T7" i="59"/>
  <c r="D7" i="59"/>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F21"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L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M20" i="46"/>
  <c r="C19" i="46"/>
  <c r="E26" i="31"/>
  <c r="G26" i="31"/>
  <c r="I26" i="31"/>
  <c r="K26" i="31"/>
  <c r="M26" i="31"/>
  <c r="E27" i="31"/>
  <c r="G27" i="31"/>
  <c r="I27" i="31"/>
  <c r="K27" i="31"/>
  <c r="M27" i="31"/>
  <c r="E28" i="31"/>
  <c r="G28" i="31"/>
  <c r="I28" i="31"/>
  <c r="K28" i="31"/>
  <c r="M28" i="31"/>
  <c r="E29" i="31"/>
  <c r="G29" i="31"/>
  <c r="I29" i="31"/>
  <c r="K29" i="31"/>
  <c r="M29" i="31"/>
  <c r="E30" i="31"/>
  <c r="G30" i="31"/>
  <c r="I30" i="31"/>
  <c r="K30" i="31"/>
  <c r="M30" i="31"/>
  <c r="C31"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E25" i="31"/>
  <c r="G25" i="31"/>
  <c r="I25" i="31"/>
  <c r="K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I19" i="4"/>
  <c r="H19" i="4"/>
  <c r="G19" i="4"/>
  <c r="F9" i="1"/>
  <c r="F19" i="4"/>
  <c r="F8" i="1"/>
  <c r="B2" i="52"/>
  <c r="E22" i="52" s="1"/>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c r="E55" i="39"/>
  <c r="F55" i="39" s="1"/>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58" i="33"/>
  <c r="D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E117" i="21"/>
  <c r="F117" i="21"/>
  <c r="G117" i="21"/>
  <c r="E115" i="21"/>
  <c r="F115" i="21"/>
  <c r="G115" i="21"/>
  <c r="H115" i="21"/>
  <c r="I115" i="21"/>
  <c r="J115" i="21"/>
  <c r="K115" i="21"/>
  <c r="L115" i="21"/>
  <c r="M115" i="21"/>
  <c r="H113"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Q26" i="31"/>
  <c r="Q27" i="31"/>
  <c r="Q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M44" i="9"/>
  <c r="M43" i="9"/>
  <c r="M20" i="15"/>
  <c r="D96" i="9"/>
  <c r="M18" i="15"/>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23" i="52"/>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E53" i="40"/>
  <c r="AT6" i="3"/>
  <c r="G29" i="6"/>
  <c r="H16" i="1"/>
  <c r="F30" i="6"/>
  <c r="H70" i="46"/>
  <c r="H72" i="46"/>
  <c r="A9" i="64"/>
  <c r="A9" i="51"/>
  <c r="B9" i="63"/>
  <c r="A25" i="51"/>
  <c r="B18" i="63"/>
  <c r="A3" i="55"/>
  <c r="B56" i="63"/>
  <c r="E52" i="37"/>
  <c r="F52" i="37"/>
  <c r="G52" i="37"/>
  <c r="E46" i="36"/>
  <c r="F46" i="36"/>
  <c r="G46" i="36"/>
  <c r="H46" i="36"/>
  <c r="I46" i="36"/>
  <c r="J46" i="36"/>
  <c r="D67" i="40"/>
  <c r="E65" i="40"/>
  <c r="E4" i="4"/>
  <c r="C4" i="4"/>
  <c r="G66" i="36"/>
  <c r="J18" i="36"/>
  <c r="AE8" i="1"/>
  <c r="AE6" i="1"/>
  <c r="W18" i="36"/>
  <c r="AC18" i="36"/>
  <c r="AG6" i="1"/>
  <c r="D12" i="11"/>
  <c r="C12" i="11"/>
  <c r="E29" i="6"/>
  <c r="K15" i="1"/>
  <c r="L19" i="6"/>
  <c r="B21" i="55"/>
  <c r="B72" i="63"/>
  <c r="B20" i="55"/>
  <c r="B70" i="63"/>
  <c r="E67" i="40"/>
  <c r="F65" i="40"/>
  <c r="F67" i="40"/>
  <c r="W7" i="21"/>
  <c r="U7" i="21"/>
  <c r="S7" i="21"/>
  <c r="G65" i="40"/>
  <c r="G67" i="40"/>
  <c r="H65" i="40"/>
  <c r="I65" i="40"/>
  <c r="R9" i="1"/>
  <c r="H67" i="40"/>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G83" i="39"/>
  <c r="H83" i="39"/>
  <c r="I83" i="39"/>
  <c r="J83" i="39"/>
  <c r="K83" i="39"/>
  <c r="L83" i="39"/>
  <c r="M83" i="39"/>
  <c r="A30" i="51"/>
  <c r="B22" i="63"/>
  <c r="A30" i="64"/>
  <c r="B5" i="52"/>
  <c r="L27" i="6"/>
  <c r="F18" i="11"/>
  <c r="C18" i="11" s="1"/>
  <c r="F31" i="6"/>
  <c r="G30" i="6"/>
  <c r="G31" i="6"/>
  <c r="E30" i="6"/>
  <c r="E10" i="6"/>
  <c r="K24" i="6"/>
  <c r="M24" i="6"/>
  <c r="I24" i="6"/>
  <c r="S24" i="6"/>
  <c r="E297" i="3"/>
  <c r="E411" i="3"/>
  <c r="E395" i="3"/>
  <c r="E250"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H22" i="46"/>
  <c r="AB11" i="46"/>
  <c r="AB13" i="46"/>
  <c r="AE11" i="46"/>
  <c r="AE13" i="46"/>
  <c r="AJ11" i="46"/>
  <c r="AJ13" i="46"/>
  <c r="AF11" i="46"/>
  <c r="AF13" i="46"/>
  <c r="AA11" i="46"/>
  <c r="AA13" i="46"/>
  <c r="AH11" i="46"/>
  <c r="AH13" i="46"/>
  <c r="Z11" i="46"/>
  <c r="Z13" i="46"/>
  <c r="Y11" i="46"/>
  <c r="Y13" i="46"/>
  <c r="AG11" i="46"/>
  <c r="AG13" i="46"/>
  <c r="AC11" i="46"/>
  <c r="AC13" i="46"/>
  <c r="E22" i="46"/>
  <c r="N101" i="46"/>
  <c r="Z7" i="46"/>
  <c r="E101" i="46"/>
  <c r="F22" i="46"/>
  <c r="L101" i="46"/>
  <c r="N104" i="45"/>
  <c r="B113" i="46"/>
  <c r="G101" i="46"/>
  <c r="AI11" i="46"/>
  <c r="AI13" i="46"/>
  <c r="C23" i="46"/>
  <c r="C21" i="46"/>
  <c r="C29" i="46"/>
  <c r="AD11" i="46"/>
  <c r="AD13" i="46"/>
  <c r="F101" i="46"/>
  <c r="F107" i="46"/>
  <c r="K101" i="46"/>
  <c r="H101" i="46"/>
  <c r="M101" i="46"/>
  <c r="D101" i="46"/>
  <c r="I101" i="46"/>
  <c r="G22" i="46"/>
  <c r="J101" i="46"/>
  <c r="C101" i="46"/>
  <c r="C105" i="46"/>
  <c r="K105" i="46"/>
  <c r="K104" i="46"/>
  <c r="J109" i="46"/>
  <c r="J105" i="46"/>
  <c r="J103" i="46"/>
  <c r="K17" i="4"/>
  <c r="A22" i="51"/>
  <c r="B16" i="63"/>
  <c r="AP16" i="1"/>
  <c r="F22" i="11"/>
  <c r="J65" i="40"/>
  <c r="I67" i="40"/>
  <c r="K46" i="36"/>
  <c r="L46" i="36"/>
  <c r="M46" i="36"/>
  <c r="N46" i="36"/>
  <c r="O46" i="36"/>
  <c r="F7" i="36"/>
  <c r="H7" i="36"/>
  <c r="J7" i="36"/>
  <c r="H52" i="37"/>
  <c r="I52" i="37"/>
  <c r="J52" i="37"/>
  <c r="K52" i="37"/>
  <c r="L52" i="37"/>
  <c r="M52" i="37"/>
  <c r="N52" i="37"/>
  <c r="O52" i="37"/>
  <c r="J7" i="37"/>
  <c r="H7" i="37"/>
  <c r="F7" i="37"/>
  <c r="F59" i="34"/>
  <c r="E48" i="35"/>
  <c r="E58" i="33"/>
  <c r="F58" i="33"/>
  <c r="G58" i="33"/>
  <c r="H58" i="33"/>
  <c r="I58" i="33"/>
  <c r="J58" i="33"/>
  <c r="K58" i="33"/>
  <c r="L58" i="33"/>
  <c r="M58" i="33"/>
  <c r="N58" i="33"/>
  <c r="O58" i="33"/>
  <c r="H7" i="33"/>
  <c r="C39" i="46"/>
  <c r="C38" i="46"/>
  <c r="C37" i="46"/>
  <c r="C36" i="46"/>
  <c r="C35" i="46"/>
  <c r="C34" i="46"/>
  <c r="C33" i="46"/>
  <c r="T8" i="46"/>
  <c r="V8" i="46"/>
  <c r="T10" i="46"/>
  <c r="V10" i="46"/>
  <c r="T12" i="46"/>
  <c r="V12" i="46"/>
  <c r="T14" i="46"/>
  <c r="V14" i="46"/>
  <c r="T16" i="46"/>
  <c r="V16" i="46"/>
  <c r="T9" i="46"/>
  <c r="V9" i="46"/>
  <c r="T11" i="46"/>
  <c r="V11" i="46"/>
  <c r="T13" i="46"/>
  <c r="V13" i="46"/>
  <c r="T15" i="46"/>
  <c r="V15" i="46"/>
  <c r="S13" i="39"/>
  <c r="W13" i="39"/>
  <c r="U13" i="39"/>
  <c r="F24" i="43"/>
  <c r="C26" i="43" s="1"/>
  <c r="D24" i="43" s="1"/>
  <c r="E561" i="3"/>
  <c r="E23" i="3"/>
  <c r="E443" i="3"/>
  <c r="E265" i="3"/>
  <c r="E194" i="3"/>
  <c r="AM6" i="3"/>
  <c r="E78" i="3"/>
  <c r="E337" i="3"/>
  <c r="E390" i="3"/>
  <c r="E158" i="3"/>
  <c r="E296" i="3"/>
  <c r="E472" i="3"/>
  <c r="E83" i="3"/>
  <c r="E124" i="3"/>
  <c r="E222" i="3"/>
  <c r="E388" i="3"/>
  <c r="E430" i="3"/>
  <c r="E146" i="3"/>
  <c r="E77" i="3"/>
  <c r="E99" i="3"/>
  <c r="E434" i="3"/>
  <c r="E262" i="3"/>
  <c r="E552" i="3"/>
  <c r="E101" i="3"/>
  <c r="E57" i="3"/>
  <c r="E274" i="3"/>
  <c r="E463" i="3"/>
  <c r="E32" i="3"/>
  <c r="E292" i="3"/>
  <c r="E547" i="3"/>
  <c r="E426" i="3"/>
  <c r="E447" i="3"/>
  <c r="E60" i="3"/>
  <c r="E33" i="3"/>
  <c r="E75" i="3"/>
  <c r="Q6" i="3"/>
  <c r="E178" i="3"/>
  <c r="E119" i="3"/>
  <c r="J6" i="3"/>
  <c r="E500" i="3"/>
  <c r="E48" i="3"/>
  <c r="E97"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535" i="3"/>
  <c r="E381" i="3"/>
  <c r="E427" i="3"/>
  <c r="E278" i="3"/>
  <c r="E94" i="3"/>
  <c r="E311" i="3"/>
  <c r="E424" i="3"/>
  <c r="E164" i="3"/>
  <c r="E454" i="3"/>
  <c r="E520" i="3"/>
  <c r="AK6" i="3"/>
  <c r="E223" i="3"/>
  <c r="E205" i="3"/>
  <c r="E399" i="3"/>
  <c r="E478" i="3"/>
  <c r="E317" i="3"/>
  <c r="E357" i="3"/>
  <c r="E179" i="3"/>
  <c r="AS6" i="3"/>
  <c r="E444" i="3"/>
  <c r="E405" i="3"/>
  <c r="E469" i="3"/>
  <c r="W6" i="3"/>
  <c r="E293" i="3"/>
  <c r="E190" i="3"/>
  <c r="E560" i="3"/>
  <c r="E420" i="3"/>
  <c r="E111" i="3"/>
  <c r="E283" i="3"/>
  <c r="E156" i="3"/>
  <c r="E49" i="3"/>
  <c r="E193" i="3"/>
  <c r="E104" i="3"/>
  <c r="E534" i="3"/>
  <c r="E186" i="3"/>
  <c r="E263" i="3"/>
  <c r="E82" i="3"/>
  <c r="E62" i="3"/>
  <c r="E389" i="3"/>
  <c r="E230" i="3"/>
  <c r="E143" i="3"/>
  <c r="E441" i="3"/>
  <c r="E367" i="3"/>
  <c r="E415" i="3"/>
  <c r="E80" i="3"/>
  <c r="E28" i="3"/>
  <c r="E141" i="3"/>
  <c r="E168" i="3"/>
  <c r="E34" i="3"/>
  <c r="E422" i="3"/>
  <c r="N6" i="3"/>
  <c r="E398" i="3"/>
  <c r="E232" i="3"/>
  <c r="E533" i="3"/>
  <c r="E189" i="3"/>
  <c r="E37" i="3"/>
  <c r="E507" i="3"/>
  <c r="E303" i="3"/>
  <c r="E275" i="3"/>
  <c r="L6" i="3"/>
  <c r="E467" i="3"/>
  <c r="E429" i="3"/>
  <c r="E67"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233" i="3"/>
  <c r="E39" i="3"/>
  <c r="E107" i="3"/>
  <c r="E288" i="3"/>
  <c r="E393"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18" i="3"/>
  <c r="E382" i="3"/>
  <c r="E358" i="3"/>
  <c r="E484" i="3"/>
  <c r="E509" i="3"/>
  <c r="E326" i="3"/>
  <c r="E20" i="3"/>
  <c r="E356" i="3"/>
  <c r="E564" i="3"/>
  <c r="E481" i="3"/>
  <c r="E261" i="3"/>
  <c r="E203" i="3"/>
  <c r="E402" i="3"/>
  <c r="E172" i="3"/>
  <c r="E255" i="3"/>
  <c r="E417"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46" i="3"/>
  <c r="E175" i="3"/>
  <c r="E544" i="3"/>
  <c r="E318" i="3"/>
  <c r="E541" i="3"/>
  <c r="E565" i="3"/>
  <c r="E523" i="3"/>
  <c r="E380" i="3"/>
  <c r="E557" i="3"/>
  <c r="E503" i="3"/>
  <c r="E13" i="3"/>
  <c r="E31" i="6"/>
  <c r="H6" i="3"/>
  <c r="K16" i="1"/>
  <c r="K22" i="6"/>
  <c r="M22" i="6"/>
  <c r="I22" i="6"/>
  <c r="S22" i="6"/>
  <c r="K23" i="6"/>
  <c r="M23" i="6"/>
  <c r="I23" i="6"/>
  <c r="S23" i="6"/>
  <c r="K25" i="6"/>
  <c r="M25" i="6"/>
  <c r="I25" i="6"/>
  <c r="S25" i="6"/>
  <c r="K26" i="6"/>
  <c r="M26" i="6"/>
  <c r="I26" i="6"/>
  <c r="S26" i="6"/>
  <c r="K21" i="6"/>
  <c r="M21" i="6"/>
  <c r="I21" i="6"/>
  <c r="S21" i="6"/>
  <c r="AC6" i="3"/>
  <c r="C106" i="46"/>
  <c r="C104" i="46"/>
  <c r="C109" i="46"/>
  <c r="C103" i="46"/>
  <c r="C107" i="46"/>
  <c r="C102" i="46"/>
  <c r="D106" i="46"/>
  <c r="D105" i="46"/>
  <c r="D107" i="46"/>
  <c r="D104" i="46"/>
  <c r="D103" i="46"/>
  <c r="D102" i="46"/>
  <c r="D109" i="46"/>
  <c r="H102" i="46"/>
  <c r="H107" i="46"/>
  <c r="H103" i="46"/>
  <c r="H104" i="46"/>
  <c r="H106" i="46"/>
  <c r="H105" i="46"/>
  <c r="H109" i="46"/>
  <c r="F109" i="46"/>
  <c r="F106" i="46"/>
  <c r="F104" i="46"/>
  <c r="F103" i="46"/>
  <c r="F105" i="46"/>
  <c r="F102" i="46"/>
  <c r="G104" i="46"/>
  <c r="G107" i="46"/>
  <c r="G106" i="46"/>
  <c r="G103" i="46"/>
  <c r="G109" i="46"/>
  <c r="G102" i="46"/>
  <c r="G105" i="46"/>
  <c r="D22" i="46"/>
  <c r="J104" i="46"/>
  <c r="J106" i="46"/>
  <c r="J107" i="46"/>
  <c r="J102" i="46"/>
  <c r="I105" i="46"/>
  <c r="I104" i="46"/>
  <c r="I103" i="46"/>
  <c r="I106" i="46"/>
  <c r="I102" i="46"/>
  <c r="I107" i="46"/>
  <c r="I109" i="46"/>
  <c r="M107" i="46"/>
  <c r="M102" i="46"/>
  <c r="M109" i="46"/>
  <c r="M106" i="46"/>
  <c r="M103" i="46"/>
  <c r="M104" i="46"/>
  <c r="M105" i="46"/>
  <c r="K109" i="46"/>
  <c r="K107" i="46"/>
  <c r="K102" i="46"/>
  <c r="K106" i="46"/>
  <c r="K103" i="46"/>
  <c r="D118" i="46"/>
  <c r="E118" i="46"/>
  <c r="F118" i="46"/>
  <c r="I116" i="46"/>
  <c r="J116" i="46"/>
  <c r="K116" i="46"/>
  <c r="L116" i="46"/>
  <c r="M116" i="46"/>
  <c r="I115" i="46"/>
  <c r="J115" i="46"/>
  <c r="K115" i="46"/>
  <c r="L115" i="46"/>
  <c r="M115" i="46"/>
  <c r="B117" i="46"/>
  <c r="C117" i="46"/>
  <c r="I117" i="46"/>
  <c r="J117" i="46"/>
  <c r="K117" i="46"/>
  <c r="L117" i="46"/>
  <c r="M117" i="46"/>
  <c r="I118" i="46"/>
  <c r="J118" i="46"/>
  <c r="K118" i="46"/>
  <c r="L118" i="46"/>
  <c r="M118" i="46"/>
  <c r="D116" i="46"/>
  <c r="E116" i="46"/>
  <c r="F116" i="46"/>
  <c r="G116" i="46"/>
  <c r="H116" i="46"/>
  <c r="B115" i="46"/>
  <c r="B116" i="46"/>
  <c r="C116" i="46"/>
  <c r="D117" i="46"/>
  <c r="E117" i="46"/>
  <c r="F117" i="46"/>
  <c r="G117" i="46"/>
  <c r="H117" i="46"/>
  <c r="D115" i="46"/>
  <c r="E115" i="46"/>
  <c r="F115" i="46"/>
  <c r="G115" i="46"/>
  <c r="H115" i="46"/>
  <c r="G118" i="46"/>
  <c r="H118" i="46"/>
  <c r="B118" i="46"/>
  <c r="C118" i="46"/>
  <c r="L106" i="46"/>
  <c r="L107" i="46"/>
  <c r="L109" i="46"/>
  <c r="L103" i="46"/>
  <c r="L105" i="46"/>
  <c r="L102" i="46"/>
  <c r="L104" i="46"/>
  <c r="E103" i="46"/>
  <c r="E107" i="46"/>
  <c r="E102" i="46"/>
  <c r="E104" i="46"/>
  <c r="E105" i="46"/>
  <c r="E106" i="46"/>
  <c r="E109" i="46"/>
  <c r="N109" i="46"/>
  <c r="N103" i="46"/>
  <c r="N104" i="46"/>
  <c r="N106" i="46"/>
  <c r="N105" i="46"/>
  <c r="N107" i="46"/>
  <c r="N102" i="46"/>
  <c r="AB7" i="33"/>
  <c r="T48" i="33"/>
  <c r="G48" i="33"/>
  <c r="U7" i="33"/>
  <c r="E29" i="46"/>
  <c r="C30" i="46"/>
  <c r="E30" i="46"/>
  <c r="G35" i="46"/>
  <c r="I35" i="46"/>
  <c r="E35" i="46"/>
  <c r="G37" i="46"/>
  <c r="I37" i="46"/>
  <c r="E37" i="46"/>
  <c r="G39" i="46"/>
  <c r="I39" i="46"/>
  <c r="E39" i="46"/>
  <c r="J7" i="33"/>
  <c r="F7" i="33"/>
  <c r="G59" i="34"/>
  <c r="AB7" i="37"/>
  <c r="T42" i="37"/>
  <c r="G42" i="37"/>
  <c r="U7" i="37"/>
  <c r="AB7" i="36"/>
  <c r="T36" i="36"/>
  <c r="G36" i="36"/>
  <c r="U7" i="36"/>
  <c r="E33" i="46"/>
  <c r="G33" i="46"/>
  <c r="I33" i="46"/>
  <c r="G34" i="46"/>
  <c r="I34" i="46"/>
  <c r="E34" i="46"/>
  <c r="G36" i="46"/>
  <c r="I36" i="46"/>
  <c r="E36" i="46"/>
  <c r="G38" i="46"/>
  <c r="I38" i="46"/>
  <c r="E38" i="46"/>
  <c r="F48" i="35"/>
  <c r="AA7" i="37"/>
  <c r="R42" i="37"/>
  <c r="S7" i="37"/>
  <c r="W7" i="37"/>
  <c r="AC7" i="37"/>
  <c r="V42" i="37"/>
  <c r="I42" i="37"/>
  <c r="W7" i="36"/>
  <c r="AC7" i="36"/>
  <c r="V36" i="36"/>
  <c r="I36" i="36"/>
  <c r="AA7" i="36"/>
  <c r="R36" i="36"/>
  <c r="S7" i="36"/>
  <c r="J67" i="40"/>
  <c r="K65" i="40"/>
  <c r="K27" i="6"/>
  <c r="M19" i="6"/>
  <c r="M27" i="6"/>
  <c r="S20" i="6"/>
  <c r="E6" i="3"/>
  <c r="L38" i="9"/>
  <c r="B14" i="66"/>
  <c r="B1" i="66"/>
  <c r="D16" i="43"/>
  <c r="C16" i="43" s="1"/>
  <c r="D10" i="11"/>
  <c r="C21" i="4"/>
  <c r="O5" i="54"/>
  <c r="B45" i="63"/>
  <c r="D45" i="9"/>
  <c r="D44" i="9"/>
  <c r="D46" i="9"/>
  <c r="M16" i="1"/>
  <c r="AY504" i="3"/>
  <c r="AY191" i="3"/>
  <c r="AY92" i="3"/>
  <c r="AY118" i="3"/>
  <c r="AY209" i="3"/>
  <c r="AY416" i="3"/>
  <c r="AY55" i="3"/>
  <c r="AY250"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42" i="3"/>
  <c r="AY325" i="3"/>
  <c r="AY417"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83" i="3"/>
  <c r="AY31" i="3"/>
  <c r="AY317" i="3"/>
  <c r="AY181" i="3"/>
  <c r="AY329" i="3"/>
  <c r="AY131" i="3"/>
  <c r="AY206" i="3"/>
  <c r="AY520" i="3"/>
  <c r="AY249" i="3"/>
  <c r="AY453" i="3"/>
  <c r="AY225" i="3"/>
  <c r="AY184" i="3"/>
  <c r="BQ6" i="3"/>
  <c r="AY151" i="3"/>
  <c r="AY360" i="3"/>
  <c r="AY531" i="3"/>
  <c r="AY137" i="3"/>
  <c r="AY565" i="3"/>
  <c r="BP6" i="3"/>
  <c r="AY553" i="3"/>
  <c r="AY208" i="3"/>
  <c r="AY78" i="3"/>
  <c r="AY174" i="3"/>
  <c r="AY299" i="3"/>
  <c r="AY90" i="3"/>
  <c r="AY153" i="3"/>
  <c r="AY351" i="3"/>
  <c r="AY447" i="3"/>
  <c r="AY358" i="3"/>
  <c r="AY375" i="3"/>
  <c r="AY328" i="3"/>
  <c r="AY185" i="3"/>
  <c r="AY344"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04" i="3"/>
  <c r="AY234" i="3"/>
  <c r="AY402" i="3"/>
  <c r="AY365" i="3"/>
  <c r="AY471" i="3"/>
  <c r="AY138" i="3"/>
  <c r="AY316" i="3"/>
  <c r="AY29" i="3"/>
  <c r="AY367" i="3"/>
  <c r="AY166" i="3"/>
  <c r="AY413" i="3"/>
  <c r="AY319" i="3"/>
  <c r="BT6" i="3"/>
  <c r="AY323" i="3"/>
  <c r="AY370" i="3"/>
  <c r="AY388" i="3"/>
  <c r="AY485" i="3"/>
  <c r="AY244" i="3"/>
  <c r="AY399" i="3"/>
  <c r="AY199" i="3"/>
  <c r="AY480" i="3"/>
  <c r="AY186" i="3"/>
  <c r="AY287" i="3"/>
  <c r="BF6" i="3"/>
  <c r="AY163" i="3"/>
  <c r="AY222" i="3"/>
  <c r="AY385" i="3"/>
  <c r="AY390" i="3"/>
  <c r="AY492" i="3"/>
  <c r="AY540" i="3"/>
  <c r="AY15" i="3"/>
  <c r="AY484" i="3"/>
  <c r="AY355"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180" i="3"/>
  <c r="BJ6" i="3"/>
  <c r="AY477" i="3"/>
  <c r="AY517" i="3"/>
  <c r="AY292" i="3"/>
  <c r="AY535" i="3"/>
  <c r="AY452" i="3"/>
  <c r="AY523" i="3"/>
  <c r="AY521" i="3"/>
  <c r="AY474" i="3"/>
  <c r="AY354" i="3"/>
  <c r="AY482" i="3"/>
  <c r="BE6" i="3"/>
  <c r="AY441" i="3"/>
  <c r="AY121" i="3"/>
  <c r="AY491" i="3"/>
  <c r="AY508" i="3"/>
  <c r="AY47" i="3"/>
  <c r="AY515" i="3"/>
  <c r="AY175" i="3"/>
  <c r="AY264" i="3"/>
  <c r="AY467" i="3"/>
  <c r="AY479" i="3"/>
  <c r="AY139"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BL6" i="3"/>
  <c r="AY64" i="3"/>
  <c r="AY154" i="3"/>
  <c r="AY42"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5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486" i="3"/>
  <c r="AY82" i="3"/>
  <c r="AY80" i="3"/>
  <c r="AY37" i="3"/>
  <c r="AY67" i="3"/>
  <c r="AY41" i="3"/>
  <c r="AY58" i="3"/>
  <c r="AY100" i="3"/>
  <c r="AY160" i="3"/>
  <c r="AY75" i="3"/>
  <c r="AY277" i="3"/>
  <c r="AY384" i="3"/>
  <c r="AY425" i="3"/>
  <c r="AY202"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13" i="3"/>
  <c r="AY103" i="3"/>
  <c r="AY21" i="3"/>
  <c r="AY52"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537" i="3"/>
  <c r="AY73"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30" i="3"/>
  <c r="AY549" i="3"/>
  <c r="AY87" i="3"/>
  <c r="AY69" i="3"/>
  <c r="AY97" i="3"/>
  <c r="AY88" i="3"/>
  <c r="AY109" i="3"/>
  <c r="AY26" i="3"/>
  <c r="I19" i="6"/>
  <c r="S7" i="46"/>
  <c r="T7" i="46"/>
  <c r="V7" i="46"/>
  <c r="S4" i="46"/>
  <c r="T4" i="46"/>
  <c r="V4" i="46"/>
  <c r="S6" i="46"/>
  <c r="T6" i="46"/>
  <c r="V6" i="46"/>
  <c r="S2" i="46"/>
  <c r="T2" i="46"/>
  <c r="V2" i="46"/>
  <c r="S3" i="46"/>
  <c r="T3" i="46"/>
  <c r="V3" i="46"/>
  <c r="S5" i="46"/>
  <c r="T5" i="46"/>
  <c r="V5" i="46"/>
  <c r="C115" i="46"/>
  <c r="E36" i="36"/>
  <c r="R37" i="36"/>
  <c r="E42" i="37"/>
  <c r="R43" i="37"/>
  <c r="G48" i="35"/>
  <c r="H48" i="35"/>
  <c r="I48" i="35"/>
  <c r="J48" i="35"/>
  <c r="K48" i="35"/>
  <c r="L48" i="35"/>
  <c r="M48" i="35"/>
  <c r="N48" i="35"/>
  <c r="O48" i="35"/>
  <c r="K67" i="40"/>
  <c r="L65" i="40"/>
  <c r="I40" i="36"/>
  <c r="J40" i="36"/>
  <c r="I41" i="36"/>
  <c r="J41" i="36"/>
  <c r="I46" i="37"/>
  <c r="J46" i="37"/>
  <c r="I47" i="37"/>
  <c r="J47" i="37"/>
  <c r="F7" i="35"/>
  <c r="H59" i="34"/>
  <c r="AA7" i="33"/>
  <c r="R48" i="33"/>
  <c r="S7" i="33"/>
  <c r="C27" i="46"/>
  <c r="G40" i="36"/>
  <c r="H40" i="36"/>
  <c r="G41" i="36"/>
  <c r="H41" i="36"/>
  <c r="G47" i="37"/>
  <c r="H47" i="37"/>
  <c r="G46" i="37"/>
  <c r="H46" i="37"/>
  <c r="AC7" i="33"/>
  <c r="V48" i="33"/>
  <c r="I48" i="33"/>
  <c r="W7" i="33"/>
  <c r="C26" i="46"/>
  <c r="G52" i="33"/>
  <c r="H52" i="33"/>
  <c r="G53" i="33"/>
  <c r="H53" i="33"/>
  <c r="J7" i="35"/>
  <c r="T11" i="1"/>
  <c r="T12" i="1"/>
  <c r="T8" i="1"/>
  <c r="T10" i="1"/>
  <c r="T13" i="1"/>
  <c r="T6" i="1"/>
  <c r="T9" i="1"/>
  <c r="T16" i="1"/>
  <c r="N16" i="1"/>
  <c r="C29" i="43"/>
  <c r="L16" i="1"/>
  <c r="C13" i="43"/>
  <c r="C17" i="43" s="1"/>
  <c r="C7" i="66"/>
  <c r="C6" i="66"/>
  <c r="C8" i="66"/>
  <c r="D21" i="6"/>
  <c r="D24" i="6"/>
  <c r="D22" i="6"/>
  <c r="H25" i="6"/>
  <c r="D5" i="6"/>
  <c r="H22" i="6"/>
  <c r="E45" i="9"/>
  <c r="E46" i="9"/>
  <c r="D19" i="6"/>
  <c r="D25" i="6"/>
  <c r="H24" i="6"/>
  <c r="D23" i="6"/>
  <c r="D28" i="6"/>
  <c r="H26" i="6"/>
  <c r="K38" i="9"/>
  <c r="C14" i="66"/>
  <c r="B2" i="66"/>
  <c r="D26" i="6"/>
  <c r="R26" i="6"/>
  <c r="D9" i="6"/>
  <c r="D29" i="6"/>
  <c r="H23" i="6"/>
  <c r="F45" i="9"/>
  <c r="F46" i="9"/>
  <c r="F44" i="9"/>
  <c r="C22" i="4"/>
  <c r="D10" i="6"/>
  <c r="H21" i="6"/>
  <c r="D6" i="6"/>
  <c r="E63" i="40"/>
  <c r="D8" i="6"/>
  <c r="E44" i="9"/>
  <c r="O16" i="1"/>
  <c r="D13" i="11"/>
  <c r="C13" i="11"/>
  <c r="I27" i="6"/>
  <c r="S19" i="6"/>
  <c r="S27" i="6"/>
  <c r="H19" i="6"/>
  <c r="AC7" i="35"/>
  <c r="V38" i="35"/>
  <c r="I38" i="35"/>
  <c r="W7" i="35"/>
  <c r="I59" i="34"/>
  <c r="B2" i="46"/>
  <c r="E48" i="33"/>
  <c r="I53" i="33"/>
  <c r="J53" i="33"/>
  <c r="I52" i="33"/>
  <c r="J52" i="33"/>
  <c r="R49" i="33"/>
  <c r="M65" i="40"/>
  <c r="L67" i="40"/>
  <c r="H7" i="35"/>
  <c r="C43" i="37"/>
  <c r="B3" i="37"/>
  <c r="B2" i="37"/>
  <c r="C42" i="37"/>
  <c r="C37" i="36"/>
  <c r="B3" i="36"/>
  <c r="B2" i="36"/>
  <c r="C36" i="36"/>
  <c r="AA7" i="35"/>
  <c r="R38" i="35"/>
  <c r="S7" i="35"/>
  <c r="E46" i="37"/>
  <c r="F46" i="37"/>
  <c r="E47" i="37"/>
  <c r="F47" i="37"/>
  <c r="E41" i="36"/>
  <c r="F41" i="36"/>
  <c r="E40" i="36"/>
  <c r="F40" i="36"/>
  <c r="A20" i="51"/>
  <c r="B15" i="63"/>
  <c r="A6" i="51"/>
  <c r="B7" i="63"/>
  <c r="N5" i="54"/>
  <c r="B43" i="63"/>
  <c r="A20" i="64"/>
  <c r="A6" i="64"/>
  <c r="D7" i="66"/>
  <c r="D6" i="66"/>
  <c r="D8" i="66"/>
  <c r="D30" i="6"/>
  <c r="R25" i="6"/>
  <c r="R24" i="6"/>
  <c r="R21" i="6"/>
  <c r="R23" i="6"/>
  <c r="D27" i="6"/>
  <c r="R22" i="6"/>
  <c r="H27" i="6"/>
  <c r="R19" i="6"/>
  <c r="R39" i="35"/>
  <c r="E38" i="35"/>
  <c r="C49" i="33"/>
  <c r="B3" i="33"/>
  <c r="B2" i="33"/>
  <c r="C48" i="33"/>
  <c r="AB7" i="35"/>
  <c r="T38" i="35"/>
  <c r="G38" i="35"/>
  <c r="U7" i="35"/>
  <c r="N65" i="40"/>
  <c r="N67" i="40"/>
  <c r="M67" i="40"/>
  <c r="F9" i="40"/>
  <c r="E53" i="33"/>
  <c r="F53" i="33"/>
  <c r="E52" i="33"/>
  <c r="F52" i="33"/>
  <c r="B4" i="46"/>
  <c r="D4" i="46"/>
  <c r="B3" i="46"/>
  <c r="J59" i="34"/>
  <c r="I42" i="35"/>
  <c r="J42" i="35"/>
  <c r="I43" i="35"/>
  <c r="J43" i="35"/>
  <c r="R27" i="6"/>
  <c r="R6" i="1"/>
  <c r="R16" i="1"/>
  <c r="D31" i="6"/>
  <c r="AA9" i="40"/>
  <c r="R44" i="40"/>
  <c r="S9" i="40"/>
  <c r="K59" i="34"/>
  <c r="L59" i="34"/>
  <c r="M59" i="34"/>
  <c r="N59" i="34"/>
  <c r="O59" i="34"/>
  <c r="J7" i="34"/>
  <c r="J9" i="40"/>
  <c r="H9" i="40"/>
  <c r="S9" i="39"/>
  <c r="U9" i="39"/>
  <c r="E43" i="35"/>
  <c r="F43" i="35"/>
  <c r="E42" i="35"/>
  <c r="F42" i="35"/>
  <c r="H7" i="34"/>
  <c r="W9" i="39"/>
  <c r="G42" i="35"/>
  <c r="H42" i="35"/>
  <c r="G43" i="35"/>
  <c r="H43" i="35"/>
  <c r="C38" i="35"/>
  <c r="C39" i="35"/>
  <c r="B3" i="35"/>
  <c r="B2" i="35"/>
  <c r="I6" i="6"/>
  <c r="I5" i="6"/>
  <c r="AB7" i="34"/>
  <c r="T49" i="34"/>
  <c r="G49" i="34"/>
  <c r="U7" i="34"/>
  <c r="AC9" i="40"/>
  <c r="V44" i="40"/>
  <c r="I44" i="40"/>
  <c r="W9" i="40"/>
  <c r="F7" i="34"/>
  <c r="AB9" i="40"/>
  <c r="T44" i="40"/>
  <c r="G44" i="40"/>
  <c r="U9" i="40"/>
  <c r="W7" i="34"/>
  <c r="AC7" i="34"/>
  <c r="V49" i="34"/>
  <c r="I49" i="34"/>
  <c r="E44" i="40"/>
  <c r="R45" i="40"/>
  <c r="C45" i="40"/>
  <c r="C44" i="40"/>
  <c r="I53" i="34"/>
  <c r="J53" i="34"/>
  <c r="E48" i="40"/>
  <c r="F48" i="40"/>
  <c r="E49" i="40"/>
  <c r="F49" i="40"/>
  <c r="G48" i="40"/>
  <c r="H48" i="40"/>
  <c r="G49" i="40"/>
  <c r="H49" i="40"/>
  <c r="S7" i="34"/>
  <c r="AA7" i="34"/>
  <c r="R49" i="34"/>
  <c r="I48" i="40"/>
  <c r="J48" i="40"/>
  <c r="I49" i="40"/>
  <c r="J49" i="40"/>
  <c r="G53" i="34"/>
  <c r="H53" i="34"/>
  <c r="G54" i="34"/>
  <c r="H54" i="34"/>
  <c r="R50" i="34"/>
  <c r="E49" i="34"/>
  <c r="B55" i="40"/>
  <c r="F55" i="40"/>
  <c r="B61" i="40"/>
  <c r="B57" i="40"/>
  <c r="F57" i="40"/>
  <c r="B54" i="40"/>
  <c r="F54" i="40"/>
  <c r="B60" i="40"/>
  <c r="B53" i="40"/>
  <c r="F53" i="40"/>
  <c r="B59" i="40"/>
  <c r="B56" i="40"/>
  <c r="F56" i="40"/>
  <c r="B62" i="40"/>
  <c r="B58" i="40"/>
  <c r="F63" i="40"/>
  <c r="B2" i="40"/>
  <c r="C49" i="34"/>
  <c r="C50" i="34"/>
  <c r="B3" i="34"/>
  <c r="B2" i="34"/>
  <c r="B3" i="40"/>
  <c r="B5" i="40"/>
  <c r="B4" i="40"/>
  <c r="E54" i="34"/>
  <c r="F54" i="34"/>
  <c r="E53" i="34"/>
  <c r="F53" i="34"/>
  <c r="I54" i="34"/>
  <c r="J54" i="34"/>
  <c r="D113" i="46"/>
  <c r="J22" i="46"/>
  <c r="E11" i="6"/>
  <c r="E63" i="39"/>
  <c r="E12" i="6"/>
  <c r="E64" i="39"/>
  <c r="E13" i="6"/>
  <c r="E65" i="39"/>
  <c r="E14" i="6"/>
  <c r="E66" i="39"/>
  <c r="E15" i="6"/>
  <c r="E67" i="39"/>
  <c r="E58" i="40"/>
  <c r="F58" i="40"/>
  <c r="E62" i="40"/>
  <c r="F62" i="40"/>
  <c r="E59" i="40"/>
  <c r="F59" i="40"/>
  <c r="E60" i="40"/>
  <c r="F60" i="40"/>
  <c r="E61" i="40"/>
  <c r="F61" i="40"/>
  <c r="D11" i="6"/>
  <c r="D12" i="6"/>
  <c r="D13" i="6"/>
  <c r="D14" i="6"/>
  <c r="D15" i="6"/>
  <c r="D16" i="6"/>
  <c r="E68" i="39"/>
  <c r="E16" i="6"/>
  <c r="G16" i="1"/>
  <c r="F12" i="39"/>
  <c r="AA12" i="39"/>
  <c r="R49" i="39"/>
  <c r="H12" i="39"/>
  <c r="AB12" i="39"/>
  <c r="T49" i="39"/>
  <c r="J12" i="39"/>
  <c r="AC12" i="39"/>
  <c r="V49" i="39"/>
  <c r="I49" i="39" s="1"/>
  <c r="R25" i="31"/>
  <c r="S25" i="31"/>
  <c r="R26" i="31"/>
  <c r="S26" i="31"/>
  <c r="R27" i="31"/>
  <c r="S27" i="31"/>
  <c r="R28" i="31"/>
  <c r="S28" i="31"/>
  <c r="R29" i="31"/>
  <c r="S29" i="31"/>
  <c r="R30" i="31"/>
  <c r="S30" i="31"/>
  <c r="S24" i="31"/>
  <c r="G49" i="39"/>
  <c r="G53" i="39"/>
  <c r="H53" i="39" s="1"/>
  <c r="W12" i="39"/>
  <c r="H12" i="40"/>
  <c r="U12" i="40"/>
  <c r="S12" i="39"/>
  <c r="F12" i="40"/>
  <c r="S12" i="40"/>
  <c r="J12" i="40"/>
  <c r="AC12" i="40"/>
  <c r="W12" i="40"/>
  <c r="AA12" i="40"/>
  <c r="U12" i="39"/>
  <c r="AB12" i="40"/>
  <c r="S22" i="31"/>
  <c r="R22" i="31"/>
  <c r="B21" i="31"/>
  <c r="B20" i="31"/>
  <c r="F20" i="66"/>
  <c r="E20" i="66"/>
  <c r="F19" i="66"/>
  <c r="E19" i="66"/>
  <c r="F18" i="66"/>
  <c r="E18" i="66"/>
  <c r="F17" i="66"/>
  <c r="E17" i="66"/>
  <c r="F16" i="66"/>
  <c r="E16" i="66"/>
  <c r="F15" i="66"/>
  <c r="E15" i="66"/>
  <c r="F13" i="15"/>
  <c r="B10" i="67"/>
  <c r="M28" i="44"/>
  <c r="F9" i="15"/>
  <c r="C14" i="15"/>
  <c r="M26" i="15"/>
  <c r="M24" i="15"/>
  <c r="E14" i="67"/>
  <c r="M10" i="44"/>
  <c r="M9" i="15"/>
  <c r="I3" i="65"/>
  <c r="B12" i="67"/>
  <c r="F14" i="67"/>
  <c r="J15" i="15"/>
  <c r="J3" i="65"/>
  <c r="F37" i="15"/>
  <c r="B13" i="67"/>
  <c r="B14" i="67"/>
  <c r="C19" i="44"/>
  <c r="F45" i="44"/>
  <c r="J7" i="65"/>
  <c r="F16" i="15"/>
  <c r="I6" i="65"/>
  <c r="E12" i="67"/>
  <c r="L47" i="15"/>
  <c r="M21" i="15"/>
  <c r="B11" i="67"/>
  <c r="F37" i="44"/>
  <c r="F8" i="15"/>
  <c r="J6" i="65"/>
  <c r="N7" i="65"/>
  <c r="M8" i="44"/>
  <c r="E11" i="67"/>
  <c r="F46" i="44"/>
  <c r="F38" i="15"/>
  <c r="F12" i="67"/>
  <c r="F11" i="67"/>
  <c r="M24" i="44"/>
  <c r="M11" i="44"/>
  <c r="F9" i="67"/>
  <c r="F43" i="15"/>
  <c r="F8" i="67"/>
  <c r="I4" i="65"/>
  <c r="M29" i="15"/>
  <c r="J5" i="65"/>
  <c r="M30" i="44"/>
  <c r="I5" i="65"/>
  <c r="F38" i="44"/>
  <c r="I7" i="65"/>
  <c r="N5" i="65"/>
  <c r="E7" i="67"/>
  <c r="F10" i="44"/>
  <c r="F42" i="15"/>
  <c r="E9" i="67"/>
  <c r="E8" i="67"/>
  <c r="B9" i="67"/>
  <c r="M23" i="44"/>
  <c r="M25" i="44"/>
  <c r="F26" i="15"/>
  <c r="F40" i="15"/>
  <c r="F8" i="44"/>
  <c r="M26" i="44"/>
  <c r="F13" i="67"/>
  <c r="M28" i="15"/>
  <c r="N4" i="65"/>
  <c r="F28" i="44"/>
  <c r="M29" i="44"/>
  <c r="L49" i="44"/>
  <c r="N3" i="65"/>
  <c r="C16" i="44"/>
  <c r="F7" i="15"/>
  <c r="J36" i="15"/>
  <c r="F9" i="44"/>
  <c r="E13" i="67"/>
  <c r="M22" i="15"/>
  <c r="B8" i="67"/>
  <c r="F36" i="15"/>
  <c r="M6" i="15"/>
  <c r="M31" i="44"/>
  <c r="F40" i="44"/>
  <c r="L48" i="44"/>
  <c r="E10" i="67"/>
  <c r="F6" i="15"/>
  <c r="F35" i="15"/>
  <c r="J17" i="44"/>
  <c r="F11" i="44"/>
  <c r="F39" i="44"/>
  <c r="F10" i="67"/>
  <c r="F43" i="44"/>
  <c r="M8" i="15"/>
  <c r="F18" i="44"/>
  <c r="N6" i="65"/>
  <c r="M27" i="15"/>
  <c r="B7" i="67"/>
  <c r="M23" i="15"/>
  <c r="L48" i="15"/>
  <c r="J4" i="65"/>
  <c r="F15" i="44"/>
  <c r="G54" i="39" l="1"/>
  <c r="H54" i="39" s="1"/>
  <c r="I53" i="39"/>
  <c r="J53" i="39" s="1"/>
  <c r="R50" i="39"/>
  <c r="C50" i="39" s="1"/>
  <c r="C49" i="39"/>
  <c r="E49" i="39"/>
  <c r="B14" i="52"/>
  <c r="E4" i="52"/>
  <c r="B4" i="52"/>
  <c r="E7" i="52"/>
  <c r="B22" i="52"/>
  <c r="B11" i="52"/>
  <c r="B6" i="52"/>
  <c r="E9" i="52"/>
  <c r="B10" i="52"/>
  <c r="E6" i="52"/>
  <c r="E21" i="52"/>
  <c r="B13" i="52"/>
  <c r="E8" i="52"/>
  <c r="E16" i="52"/>
  <c r="E5" i="52"/>
  <c r="B16" i="52"/>
  <c r="E10" i="52"/>
  <c r="B8" i="52"/>
  <c r="B9" i="52"/>
  <c r="B7" i="52"/>
  <c r="C14" i="43"/>
  <c r="C20" i="12"/>
  <c r="P16" i="1"/>
  <c r="C13" i="12" s="1"/>
  <c r="C15" i="12"/>
  <c r="P75" i="15"/>
  <c r="E53" i="21"/>
  <c r="F53" i="21" s="1"/>
  <c r="E52" i="21"/>
  <c r="F52" i="21" s="1"/>
  <c r="R49" i="21"/>
  <c r="I48" i="21"/>
  <c r="C18" i="43"/>
  <c r="C20" i="44"/>
  <c r="C17" i="44"/>
  <c r="C36" i="44"/>
  <c r="Q73" i="44"/>
  <c r="J1" i="65"/>
  <c r="B2" i="67"/>
  <c r="E3" i="67"/>
  <c r="J22" i="44"/>
  <c r="L60" i="44"/>
  <c r="L59" i="44"/>
  <c r="J54" i="44"/>
  <c r="J60" i="44"/>
  <c r="J58" i="44"/>
  <c r="J56" i="44" s="1"/>
  <c r="J59" i="44" s="1"/>
  <c r="Q52" i="44" s="1"/>
  <c r="J61" i="44"/>
  <c r="Q50" i="44" s="1"/>
  <c r="L57" i="44"/>
  <c r="L47" i="44"/>
  <c r="I55" i="44"/>
  <c r="L58" i="15"/>
  <c r="L59" i="15"/>
  <c r="J20" i="15"/>
  <c r="M9" i="44"/>
  <c r="E20" i="46"/>
  <c r="C8" i="44"/>
  <c r="C29" i="44"/>
  <c r="Q72" i="15"/>
  <c r="F67" i="15"/>
  <c r="C18" i="15"/>
  <c r="C15" i="15"/>
  <c r="C34" i="15"/>
  <c r="F62" i="15"/>
  <c r="C61" i="15" s="1"/>
  <c r="C4" i="65"/>
  <c r="B39" i="1" s="1"/>
  <c r="M7" i="15"/>
  <c r="J6" i="15" s="1"/>
  <c r="F49" i="15"/>
  <c r="F50" i="15"/>
  <c r="J53" i="15"/>
  <c r="J60" i="15"/>
  <c r="Q49" i="15" s="1"/>
  <c r="I54" i="15"/>
  <c r="J57" i="15"/>
  <c r="J55" i="15" s="1"/>
  <c r="J58" i="15" s="1"/>
  <c r="Q51" i="15" s="1"/>
  <c r="J59" i="15"/>
  <c r="L56" i="15"/>
  <c r="L60" i="15"/>
  <c r="L57" i="15"/>
  <c r="F65" i="15"/>
  <c r="F64" i="15"/>
  <c r="F63" i="15"/>
  <c r="C27" i="15"/>
  <c r="F70" i="15"/>
  <c r="C6" i="15"/>
  <c r="C19" i="43"/>
  <c r="C25" i="43" s="1"/>
  <c r="C24" i="43" s="1"/>
  <c r="E2" i="65"/>
  <c r="C18" i="44"/>
  <c r="C16" i="15"/>
  <c r="F33" i="44"/>
  <c r="F58" i="15"/>
  <c r="F31" i="15"/>
  <c r="M17" i="15"/>
  <c r="F7" i="67"/>
  <c r="M19" i="44"/>
  <c r="C17" i="15"/>
  <c r="E3" i="65"/>
  <c r="I54" i="39" l="1"/>
  <c r="J54" i="39" s="1"/>
  <c r="E53" i="39"/>
  <c r="F53" i="39" s="1"/>
  <c r="E54" i="39"/>
  <c r="F54" i="39" s="1"/>
  <c r="B58" i="39"/>
  <c r="F58" i="39" s="1"/>
  <c r="B59" i="39"/>
  <c r="F59" i="39" s="1"/>
  <c r="B60" i="39"/>
  <c r="F60" i="39" s="1"/>
  <c r="B61" i="39"/>
  <c r="F61" i="39" s="1"/>
  <c r="B62" i="39"/>
  <c r="F62" i="39" s="1"/>
  <c r="B63" i="39"/>
  <c r="F63" i="39" s="1"/>
  <c r="B64" i="39"/>
  <c r="F64" i="39" s="1"/>
  <c r="B65" i="39"/>
  <c r="F65" i="39" s="1"/>
  <c r="B66" i="39"/>
  <c r="F66" i="39" s="1"/>
  <c r="B67" i="39"/>
  <c r="F67" i="39" s="1"/>
  <c r="B40" i="1"/>
  <c r="C17" i="12"/>
  <c r="C14" i="12"/>
  <c r="I53" i="21"/>
  <c r="J53" i="21" s="1"/>
  <c r="I52" i="21"/>
  <c r="J52" i="21" s="1"/>
  <c r="G53" i="21"/>
  <c r="H53" i="21" s="1"/>
  <c r="C49" i="21"/>
  <c r="B3" i="21" s="1"/>
  <c r="C48" i="21"/>
  <c r="E4" i="67"/>
  <c r="B4" i="67" s="1"/>
  <c r="F17" i="11"/>
  <c r="C17" i="11" s="1"/>
  <c r="C19" i="11" s="1"/>
  <c r="C19" i="15"/>
  <c r="C21" i="44"/>
  <c r="F1" i="15"/>
  <c r="Q53" i="15"/>
  <c r="F11" i="15"/>
  <c r="C52" i="15" s="1"/>
  <c r="M11" i="15"/>
  <c r="J10" i="15" s="1"/>
  <c r="J5" i="15" s="1"/>
  <c r="M13" i="44"/>
  <c r="J12" i="44" s="1"/>
  <c r="F13" i="44"/>
  <c r="C12" i="44" s="1"/>
  <c r="C7" i="44" s="1"/>
  <c r="F24" i="15"/>
  <c r="C24" i="15" s="1"/>
  <c r="F26" i="12"/>
  <c r="C27" i="12" s="1"/>
  <c r="D26" i="12" s="1"/>
  <c r="C32" i="12" s="1"/>
  <c r="D30" i="12" s="1"/>
  <c r="F21" i="43"/>
  <c r="F26" i="44"/>
  <c r="C26" i="44" s="1"/>
  <c r="J8" i="44"/>
  <c r="Q74" i="15"/>
  <c r="Q61" i="15"/>
  <c r="F1" i="44"/>
  <c r="Q54" i="44"/>
  <c r="Q76" i="44"/>
  <c r="Q63" i="44"/>
  <c r="B3" i="67"/>
  <c r="C10" i="15"/>
  <c r="C5" i="15" s="1"/>
  <c r="Q67" i="15"/>
  <c r="Q58" i="15"/>
  <c r="L46" i="15"/>
  <c r="C48" i="15"/>
  <c r="C47" i="15" s="1"/>
  <c r="P17" i="46"/>
  <c r="O17" i="46"/>
  <c r="N17" i="46"/>
  <c r="M17" i="46"/>
  <c r="Q75" i="15"/>
  <c r="Q62" i="15"/>
  <c r="Q75" i="44"/>
  <c r="Q62" i="44"/>
  <c r="AE7" i="1"/>
  <c r="F68" i="39" l="1"/>
  <c r="B2" i="39" s="1"/>
  <c r="C18" i="12"/>
  <c r="C23" i="12" s="1"/>
  <c r="J7" i="44"/>
  <c r="J20" i="44" s="1"/>
  <c r="C8" i="12"/>
  <c r="C10" i="12" s="1"/>
  <c r="B2" i="21"/>
  <c r="C32" i="15"/>
  <c r="C33" i="15"/>
  <c r="C38" i="15"/>
  <c r="C59" i="15"/>
  <c r="C65" i="15"/>
  <c r="C60" i="15"/>
  <c r="J26" i="15"/>
  <c r="J18" i="15"/>
  <c r="J24" i="15"/>
  <c r="C23" i="43"/>
  <c r="D21" i="43" s="1"/>
  <c r="C22" i="43"/>
  <c r="C21" i="43" s="1"/>
  <c r="C20" i="11"/>
  <c r="C21" i="11" s="1"/>
  <c r="C22" i="11" s="1"/>
  <c r="C23" i="11" s="1"/>
  <c r="B2" i="11" s="1"/>
  <c r="C40" i="44"/>
  <c r="C34" i="44"/>
  <c r="C22" i="44"/>
  <c r="C28" i="44" s="1"/>
  <c r="C20" i="15"/>
  <c r="C26" i="15" s="1"/>
  <c r="C19" i="9"/>
  <c r="F41" i="15"/>
  <c r="L52" i="44"/>
  <c r="L43" i="9" l="1"/>
  <c r="B3" i="39"/>
  <c r="B4" i="39"/>
  <c r="B5" i="39"/>
  <c r="J28" i="44"/>
  <c r="J31" i="44" s="1"/>
  <c r="Q49" i="44" s="1"/>
  <c r="Q55" i="44" s="1"/>
  <c r="J26" i="44"/>
  <c r="C25" i="44"/>
  <c r="C31" i="44" s="1"/>
  <c r="C31" i="15"/>
  <c r="F68" i="15"/>
  <c r="C23" i="15"/>
  <c r="C29" i="15" s="1"/>
  <c r="J29" i="15"/>
  <c r="Q69" i="44"/>
  <c r="L58" i="44"/>
  <c r="L61" i="44" s="1"/>
  <c r="B3" i="11"/>
  <c r="B4" i="11"/>
  <c r="B5" i="11"/>
  <c r="C58" i="15"/>
  <c r="C28" i="43"/>
  <c r="C30" i="43" s="1"/>
  <c r="C32" i="43" s="1"/>
  <c r="B2" i="43" s="1"/>
  <c r="Q67" i="44"/>
  <c r="Q58" i="44"/>
  <c r="C21" i="9"/>
  <c r="C20" i="9"/>
  <c r="J16" i="44" l="1"/>
  <c r="C35" i="44"/>
  <c r="C33" i="44" s="1"/>
  <c r="J21" i="44"/>
  <c r="J19" i="44" s="1"/>
  <c r="C15" i="44"/>
  <c r="Q72" i="44" s="1"/>
  <c r="Q51" i="44"/>
  <c r="C38" i="44"/>
  <c r="C13" i="15"/>
  <c r="C37" i="15" s="1"/>
  <c r="Q50" i="15"/>
  <c r="C56" i="15"/>
  <c r="C63" i="15" s="1"/>
  <c r="C36" i="15"/>
  <c r="J19" i="15"/>
  <c r="J17" i="15" s="1"/>
  <c r="J14" i="15"/>
  <c r="J13" i="15" s="1"/>
  <c r="J23" i="15" s="1"/>
  <c r="B5" i="43"/>
  <c r="B4" i="43"/>
  <c r="B3" i="43"/>
  <c r="J15" i="44"/>
  <c r="J25" i="44" s="1"/>
  <c r="J24" i="44"/>
  <c r="Q59" i="44"/>
  <c r="Q64" i="44" s="1"/>
  <c r="Q68" i="44"/>
  <c r="Q77" i="44" s="1"/>
  <c r="J22" i="15"/>
  <c r="C43" i="44" l="1"/>
  <c r="C39" i="44"/>
  <c r="C32" i="44" s="1"/>
  <c r="C42" i="44" s="1"/>
  <c r="Q71" i="44" s="1"/>
  <c r="Q70" i="44" s="1"/>
  <c r="C30" i="15"/>
  <c r="C39" i="15" s="1"/>
  <c r="Q70" i="15" s="1"/>
  <c r="J35" i="15"/>
  <c r="Q71" i="15"/>
  <c r="C55" i="15"/>
  <c r="C64" i="15" s="1"/>
  <c r="C57" i="15" s="1"/>
  <c r="C66" i="15" s="1"/>
  <c r="C67" i="15" s="1"/>
  <c r="C70" i="15" s="1"/>
  <c r="J16" i="15"/>
  <c r="J25" i="15" s="1"/>
  <c r="J18" i="44"/>
  <c r="J27" i="44" s="1"/>
  <c r="C40" i="15"/>
  <c r="L51" i="15"/>
  <c r="C44" i="44" l="1"/>
  <c r="C45" i="44" s="1"/>
  <c r="B2" i="44" s="1"/>
  <c r="B5" i="44" s="1"/>
  <c r="Q69" i="15"/>
  <c r="J39" i="15"/>
  <c r="J40" i="15" s="1"/>
  <c r="Q68" i="15"/>
  <c r="B2" i="15"/>
  <c r="B3" i="15" s="1"/>
  <c r="D8" i="12" s="1"/>
  <c r="D10" i="12" s="1"/>
  <c r="C6" i="12" s="1"/>
  <c r="Q66" i="15"/>
  <c r="Q76" i="15" s="1"/>
  <c r="Q48" i="15"/>
  <c r="Q54" i="15" s="1"/>
  <c r="C43" i="15"/>
  <c r="Q57" i="15"/>
  <c r="Q63" i="15" s="1"/>
  <c r="J42" i="15"/>
  <c r="J43" i="15" s="1"/>
  <c r="B3" i="44"/>
  <c r="C46" i="15"/>
  <c r="B4" i="44" l="1"/>
  <c r="C24" i="12"/>
  <c r="C29" i="12"/>
  <c r="C28" i="12" l="1"/>
  <c r="C26" i="12" s="1"/>
  <c r="C31" i="12" s="1"/>
  <c r="C30" i="12" s="1"/>
  <c r="C35" i="12"/>
  <c r="C33" i="12" s="1"/>
  <c r="C36" i="12" l="1"/>
  <c r="B2" i="12" s="1"/>
  <c r="D19" i="9"/>
  <c r="L44" i="9" l="1"/>
  <c r="D22" i="9"/>
  <c r="G19" i="9"/>
  <c r="B3" i="12"/>
  <c r="B5" i="12"/>
  <c r="B4" i="12"/>
  <c r="D21" i="9"/>
  <c r="D20" i="9"/>
  <c r="G21" i="9" l="1"/>
  <c r="G20" i="9"/>
  <c r="C32" i="9"/>
  <c r="N43" i="9"/>
  <c r="G22" i="9"/>
  <c r="C42" i="9" l="1"/>
  <c r="C33" i="9"/>
  <c r="C34" i="9"/>
  <c r="C35" i="9"/>
  <c r="F42" i="9" s="1"/>
  <c r="O38" i="9"/>
  <c r="O43" i="9"/>
  <c r="D42" i="9" l="1"/>
  <c r="Q5" i="54" s="1"/>
  <c r="B47" i="63" s="1"/>
  <c r="N38" i="9"/>
  <c r="K28" i="9" s="1"/>
  <c r="K26" i="9"/>
  <c r="K25" i="9"/>
  <c r="M38" i="9"/>
  <c r="K27" i="9" s="1"/>
  <c r="E42" i="9"/>
  <c r="P5" i="54" s="1"/>
  <c r="B46" i="63" s="1"/>
  <c r="D14" i="66"/>
  <c r="R5" i="54"/>
  <c r="B48" i="63" s="1"/>
  <c r="N68" i="9"/>
  <c r="D63" i="9"/>
  <c r="E14" i="66" l="1"/>
  <c r="F14" i="66"/>
  <c r="B5" i="66"/>
  <c r="D71" i="9"/>
  <c r="D66" i="9" s="1"/>
  <c r="N72" i="9" s="1"/>
  <c r="C111" i="9"/>
  <c r="C104" i="9" s="1"/>
  <c r="D77" i="9"/>
  <c r="N75" i="9" s="1"/>
  <c r="C90" i="9"/>
  <c r="D70" i="9"/>
  <c r="C82" i="9"/>
  <c r="C81" i="9" s="1"/>
  <c r="C85" i="9" s="1"/>
  <c r="C86" i="9" s="1"/>
  <c r="D72" i="9" s="1"/>
  <c r="C96" i="9"/>
  <c r="C91" i="9" s="1"/>
  <c r="C103" i="9"/>
  <c r="C113" i="9" l="1"/>
  <c r="C114" i="9" s="1"/>
  <c r="E114" i="9" s="1"/>
  <c r="E115" i="9" s="1"/>
  <c r="C97" i="9"/>
  <c r="D5" i="66"/>
  <c r="C5" i="66"/>
  <c r="C115" i="9" l="1"/>
  <c r="D76" i="9" s="1"/>
  <c r="D74" i="9" s="1"/>
  <c r="N74" i="9" s="1"/>
  <c r="O77" i="9" s="1"/>
  <c r="Q77" i="9" s="1"/>
  <c r="C98" i="9"/>
  <c r="E98" i="9" s="1"/>
  <c r="E99" i="9" s="1"/>
  <c r="O78" i="9" l="1"/>
  <c r="O79" i="9"/>
  <c r="O80" i="9" s="1"/>
  <c r="C99"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<sst xmlns="http://schemas.openxmlformats.org/spreadsheetml/2006/main" count="7369" uniqueCount="3176">
  <si>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</si>
  <si>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</si>
  <si>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</si>
  <si>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</si>
  <si>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</si>
  <si>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</si>
  <si>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</si>
  <si>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</si>
  <si>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</si>
  <si>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</si>
  <si>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</si>
  <si>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</si>
  <si>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</si>
  <si>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</si>
  <si>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</si>
  <si>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</si>
  <si>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</si>
  <si>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</si>
  <si>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</si>
  <si>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</si>
  <si>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</si>
  <si>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</si>
  <si>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</si>
  <si>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</si>
  <si>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</si>
  <si>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</si>
  <si>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</si>
  <si>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</si>
  <si>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</si>
  <si>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</si>
  <si>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</si>
  <si>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</si>
  <si>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</si>
  <si>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</si>
  <si>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</si>
  <si>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</si>
  <si>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</si>
  <si>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</si>
  <si>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</si>
  <si>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</si>
  <si>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</si>
  <si>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</si>
  <si>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</si>
  <si>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</si>
  <si>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</si>
  <si>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</si>
  <si>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</si>
  <si>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</si>
  <si>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</si>
  <si>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</si>
  <si>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</si>
  <si>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</si>
  <si>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</si>
  <si>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</si>
  <si>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</si>
  <si>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</si>
  <si>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</si>
  <si>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</si>
  <si>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</si>
  <si>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</si>
  <si>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</si>
  <si>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</si>
  <si>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</si>
  <si>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</si>
  <si>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</si>
  <si>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</si>
  <si>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</si>
  <si>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</si>
  <si>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</si>
  <si>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</si>
  <si>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</si>
  <si>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</si>
  <si>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</si>
  <si>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</si>
  <si>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</si>
  <si>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</si>
  <si>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</si>
  <si>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</si>
  <si>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</si>
  <si>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</si>
  <si>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</si>
  <si>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</si>
  <si>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</si>
  <si>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</si>
  <si>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</si>
  <si>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</si>
  <si>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</si>
  <si>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</si>
  <si>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</si>
  <si>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</si>
  <si>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</si>
  <si>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</si>
  <si>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</si>
  <si>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</si>
  <si>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</si>
  <si>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</si>
  <si>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</si>
  <si>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</si>
  <si>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</si>
  <si>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</si>
  <si>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</si>
  <si>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</si>
  <si>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</si>
  <si>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</si>
  <si>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</si>
  <si>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</si>
  <si>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</si>
  <si>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</si>
  <si>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</si>
  <si>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</si>
  <si>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</si>
  <si>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</si>
  <si>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</si>
  <si>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</si>
  <si>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</si>
  <si>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</si>
  <si>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</si>
  <si>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</si>
  <si>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</si>
  <si>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</si>
  <si>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</si>
  <si>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</si>
  <si>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</si>
  <si>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</si>
  <si>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</si>
  <si>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</si>
  <si>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</si>
  <si>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</si>
  <si>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</si>
  <si>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</si>
  <si>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</si>
  <si>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</si>
  <si>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</si>
  <si>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</si>
  <si>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</si>
  <si>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</si>
  <si>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</si>
  <si>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</si>
  <si>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</si>
  <si>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</si>
  <si>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</si>
  <si>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</si>
  <si>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</si>
  <si>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</si>
  <si>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</si>
  <si>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</si>
  <si>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</si>
  <si>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</si>
  <si>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</si>
  <si>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</si>
  <si>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</si>
  <si>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</si>
  <si>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</si>
  <si>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</si>
  <si>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</si>
  <si>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</si>
  <si>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</si>
  <si>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</si>
  <si>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</si>
  <si>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</si>
  <si>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</si>
  <si>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</si>
  <si>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</si>
  <si>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</si>
  <si>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</si>
  <si>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</si>
  <si>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</si>
  <si>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</si>
  <si>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</si>
  <si>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</si>
  <si>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</si>
  <si>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</si>
  <si>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</si>
  <si>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</si>
  <si>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</si>
  <si>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</si>
  <si>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</si>
  <si>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</si>
  <si>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</si>
  <si>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</si>
  <si>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</si>
  <si>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</si>
  <si>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</si>
  <si>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</si>
  <si>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</si>
  <si>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</si>
  <si>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</si>
  <si>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</si>
  <si>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</si>
  <si>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</si>
  <si>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</si>
  <si>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</si>
  <si>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</si>
  <si>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</si>
  <si>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</si>
  <si>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</si>
  <si>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</si>
  <si>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</si>
  <si>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</si>
  <si>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</si>
  <si>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</si>
  <si>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</si>
  <si>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</si>
  <si>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</si>
  <si>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</si>
  <si>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</si>
  <si>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</si>
  <si>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</si>
  <si>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</si>
  <si>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</si>
  <si>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</si>
  <si>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</si>
  <si>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</si>
  <si>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</si>
  <si>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</si>
  <si>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</si>
  <si>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</si>
  <si>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</si>
  <si>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</si>
  <si>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</si>
  <si>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</si>
  <si>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</si>
  <si>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</si>
  <si>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</si>
  <si>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</si>
  <si>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</si>
  <si>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</si>
  <si>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</si>
  <si>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</si>
  <si>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</si>
  <si>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</si>
  <si>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</si>
  <si>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</si>
  <si>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</si>
  <si>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</si>
  <si>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</si>
  <si>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</si>
  <si>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</si>
  <si>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</si>
  <si>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</si>
  <si>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</si>
  <si>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</si>
  <si>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</si>
  <si>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</si>
  <si>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</si>
  <si>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</si>
  <si>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</si>
  <si>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</si>
  <si>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</si>
  <si>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</si>
  <si>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</si>
  <si>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</si>
  <si>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</si>
  <si>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</si>
  <si>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</si>
  <si>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</si>
  <si>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</si>
  <si>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</si>
  <si>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</si>
  <si>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</si>
  <si>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</si>
  <si>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</si>
  <si>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</si>
  <si>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</si>
  <si>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</si>
  <si>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</si>
  <si>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</si>
  <si>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</si>
  <si>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</si>
  <si>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</si>
  <si>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</si>
  <si>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</si>
  <si>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</si>
  <si>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</si>
  <si>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</si>
  <si>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</si>
  <si>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</si>
  <si>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</si>
  <si>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</si>
  <si>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</si>
  <si>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</si>
  <si>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</si>
  <si>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</si>
  <si>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</si>
  <si>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</si>
  <si>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</si>
  <si>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</si>
  <si>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</si>
  <si>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</si>
  <si>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</si>
  <si>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</si>
  <si>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</si>
  <si>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</si>
  <si>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</si>
  <si>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</si>
  <si>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</si>
  <si>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</si>
  <si>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</si>
  <si>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</si>
  <si>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</si>
  <si>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</si>
  <si>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</si>
  <si>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</si>
  <si>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</si>
  <si>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</si>
  <si>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</si>
  <si>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</si>
  <si>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</si>
  <si>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</si>
  <si>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</si>
  <si>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</si>
  <si>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</si>
  <si>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</si>
  <si>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</si>
  <si>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</si>
  <si>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</si>
  <si>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</si>
  <si>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</si>
  <si>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</si>
  <si>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</si>
  <si>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</si>
  <si>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</si>
  <si>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</si>
  <si>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</si>
  <si>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</si>
  <si>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</si>
  <si>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</si>
  <si>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</si>
  <si>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</si>
  <si>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</si>
  <si>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</si>
  <si>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</si>
  <si>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</si>
  <si>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</si>
  <si>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</si>
  <si>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</si>
  <si>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</si>
  <si>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</si>
  <si>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</si>
  <si>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</si>
  <si>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</si>
  <si>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</si>
  <si>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</si>
  <si>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</si>
  <si>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</si>
  <si>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</si>
  <si>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</si>
  <si>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</si>
  <si>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</si>
  <si>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</si>
  <si>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</si>
  <si>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</si>
  <si>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</si>
  <si>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</si>
  <si>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</si>
  <si>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</si>
  <si>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</si>
  <si>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</si>
  <si>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</si>
  <si>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</si>
  <si>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</si>
  <si>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</si>
  <si>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</si>
  <si>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</si>
  <si>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</si>
  <si>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</si>
  <si>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</si>
  <si>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</si>
  <si>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</si>
  <si>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</si>
  <si>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</si>
  <si>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</si>
  <si>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</si>
  <si>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</si>
  <si>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</si>
  <si>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</si>
  <si>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</si>
  <si>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</si>
  <si>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</si>
  <si>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</si>
  <si>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</si>
  <si>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</si>
  <si>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</si>
  <si>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</si>
  <si>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</si>
  <si>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</si>
  <si>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</si>
  <si>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</si>
  <si>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</si>
  <si>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</si>
  <si>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</si>
  <si>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</si>
  <si>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</si>
  <si>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</si>
  <si>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</si>
  <si>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</si>
  <si>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</si>
  <si>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</si>
  <si>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</si>
  <si>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</si>
  <si>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</si>
  <si>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</si>
  <si>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</si>
  <si>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</si>
  <si>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</si>
  <si>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</si>
  <si>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</si>
  <si>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</si>
  <si>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</si>
  <si>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</si>
  <si>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</si>
  <si>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</si>
  <si>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</si>
  <si>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</si>
  <si>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</si>
  <si>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</si>
  <si>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</si>
  <si>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</si>
  <si>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</si>
  <si>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</si>
  <si>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</si>
  <si>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</si>
  <si>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</si>
  <si>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</si>
  <si>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</si>
  <si>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</si>
  <si>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</si>
  <si>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</si>
  <si>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</si>
  <si>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</si>
  <si>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</si>
  <si>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</si>
  <si>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</si>
  <si>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</si>
  <si>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</si>
  <si>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</si>
  <si>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</si>
  <si>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</si>
  <si>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</si>
  <si>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</si>
  <si>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</si>
  <si>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</si>
  <si>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</si>
  <si>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</si>
  <si>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</si>
  <si>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</si>
  <si>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</si>
  <si>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</si>
  <si>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</si>
  <si>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</si>
  <si>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</si>
  <si>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</si>
  <si>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</si>
  <si>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</si>
  <si>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</si>
  <si>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</si>
  <si>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</si>
  <si>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</si>
  <si>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</si>
  <si>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</si>
  <si>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</si>
  <si>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</si>
  <si>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</si>
  <si>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</si>
  <si>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</si>
  <si>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</si>
  <si>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</si>
  <si>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</si>
  <si>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</si>
  <si>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</si>
  <si>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</si>
  <si>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</si>
  <si>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</si>
  <si>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</si>
  <si>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</si>
  <si>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</si>
  <si>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</si>
  <si>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</si>
  <si>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</si>
  <si>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</si>
  <si>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</si>
  <si>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</si>
  <si>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</si>
  <si>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</si>
  <si>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</si>
  <si>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</si>
  <si>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</si>
  <si>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</si>
  <si>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</si>
  <si>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</si>
  <si>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</si>
  <si>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</si>
  <si>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</si>
  <si>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</si>
  <si>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</si>
  <si>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</si>
  <si>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</si>
  <si>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</si>
  <si>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</si>
  <si>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</si>
  <si>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</si>
  <si>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</si>
  <si>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</si>
  <si>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</si>
  <si>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</si>
  <si>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</si>
  <si>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</si>
  <si>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</si>
  <si>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</si>
  <si>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</si>
  <si>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</si>
  <si>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</si>
  <si>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</si>
  <si>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</si>
  <si>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</si>
  <si>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</si>
  <si>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</si>
  <si>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</si>
  <si>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</si>
  <si>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</si>
  <si>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</si>
  <si>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</si>
  <si>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</si>
  <si>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</si>
  <si>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</si>
  <si>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</si>
  <si>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</si>
  <si>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</si>
  <si>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</si>
  <si>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</si>
  <si>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</si>
  <si>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</si>
  <si>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</si>
  <si>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</si>
  <si>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</si>
  <si>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</si>
  <si>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</si>
  <si>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</si>
  <si>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</si>
  <si>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</si>
  <si>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</si>
  <si>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</si>
  <si>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</si>
  <si>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</si>
  <si>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</si>
  <si>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</si>
  <si>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</si>
  <si>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</si>
  <si>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</si>
  <si>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</si>
  <si>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</si>
  <si>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</si>
  <si>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</si>
  <si>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</si>
  <si>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</si>
  <si>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</si>
  <si>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</si>
  <si>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</si>
  <si>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</si>
  <si>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</si>
  <si>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</si>
  <si>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</si>
  <si>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</si>
  <si>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</si>
  <si>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</si>
  <si>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</si>
  <si>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</si>
  <si>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</si>
  <si>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</si>
  <si>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</si>
  <si>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</si>
  <si>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</si>
  <si>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</si>
  <si>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</si>
  <si>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</si>
  <si>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</si>
  <si>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</si>
  <si>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</si>
  <si>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</si>
  <si>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</si>
  <si>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</si>
  <si>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</si>
  <si>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</si>
  <si>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</si>
  <si>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</si>
  <si>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</si>
  <si>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</si>
  <si>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</si>
  <si>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</si>
  <si>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</si>
  <si>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</si>
  <si>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</si>
  <si>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</si>
  <si>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</si>
  <si>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</si>
  <si>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</si>
  <si>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</si>
  <si>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</si>
  <si>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</si>
  <si>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</si>
  <si>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</si>
  <si>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</si>
  <si>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</si>
  <si>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</si>
  <si>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</si>
  <si>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</si>
  <si>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</si>
  <si>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</si>
  <si>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</si>
  <si>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</si>
  <si>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</si>
  <si>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</si>
  <si>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</si>
  <si>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</si>
  <si>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</si>
  <si>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</si>
  <si>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</si>
  <si>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</si>
  <si>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</si>
  <si>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</si>
  <si>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</si>
  <si>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</si>
  <si>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</si>
  <si>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</si>
  <si>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</si>
  <si>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</si>
  <si>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</si>
  <si>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</si>
  <si>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</si>
  <si>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</si>
  <si>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</si>
  <si>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</si>
  <si>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</si>
  <si>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</si>
  <si>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</si>
  <si>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</si>
  <si>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</si>
  <si>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</si>
  <si>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</si>
  <si>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</si>
  <si>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</si>
  <si>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</si>
  <si>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</si>
  <si>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</si>
  <si>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</si>
  <si>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</si>
  <si>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</si>
  <si>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</si>
  <si>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</si>
  <si>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</si>
  <si>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</si>
  <si>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</si>
  <si>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</si>
  <si>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</si>
  <si>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</si>
  <si>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</si>
  <si>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</si>
  <si>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</si>
  <si>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</si>
  <si>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</si>
  <si>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</si>
  <si>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</si>
  <si>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</si>
  <si>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</si>
  <si>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</si>
  <si>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</si>
  <si>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</si>
  <si>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</si>
  <si>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</si>
  <si>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</si>
  <si>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</si>
  <si>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</si>
  <si>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</si>
  <si>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</si>
  <si>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</si>
  <si>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</si>
  <si>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</si>
  <si>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</si>
  <si>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</si>
  <si>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</si>
  <si>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</si>
  <si>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</si>
  <si>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</si>
  <si>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</si>
  <si>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</si>
  <si>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</si>
  <si>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</si>
  <si>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</si>
  <si>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</si>
  <si>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</si>
  <si>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</si>
  <si>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</si>
  <si>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</si>
  <si>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</si>
  <si>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</si>
  <si>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</si>
  <si>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</si>
  <si>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</si>
  <si>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</si>
  <si>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</si>
  <si>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</si>
  <si>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</si>
  <si>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</si>
  <si>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</si>
  <si>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</si>
  <si>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</si>
  <si>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</si>
  <si>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</si>
  <si>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</si>
  <si>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</si>
  <si>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</si>
  <si>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</si>
  <si>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</si>
  <si>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</si>
  <si>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</si>
  <si>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</si>
  <si>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</si>
  <si>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</si>
  <si>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</si>
  <si>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</si>
  <si>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</si>
  <si>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</si>
  <si>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</si>
  <si>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</si>
  <si>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</si>
  <si>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</si>
  <si>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</si>
  <si>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</si>
  <si>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</si>
  <si>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</si>
  <si>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</si>
  <si>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</si>
  <si>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</si>
  <si>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</si>
  <si>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</si>
  <si>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</si>
  <si>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</si>
  <si>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</si>
  <si>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</si>
  <si>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</si>
  <si>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</si>
  <si>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</si>
  <si>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</si>
  <si>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</si>
  <si>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</si>
  <si>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</si>
  <si>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</si>
  <si>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</si>
  <si>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</si>
  <si>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</si>
  <si>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</si>
  <si>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</si>
  <si>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</si>
  <si>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</si>
  <si>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</si>
  <si>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</si>
  <si>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</si>
  <si>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</si>
  <si>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</si>
  <si>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</si>
  <si>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</si>
  <si>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</si>
  <si>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</si>
  <si>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</si>
  <si>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</si>
  <si>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</si>
  <si>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</si>
  <si>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</si>
  <si>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</si>
  <si>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</si>
  <si>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</si>
  <si>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</si>
  <si>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</si>
  <si>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</si>
  <si>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</si>
  <si>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</si>
  <si>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</si>
  <si>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</si>
  <si>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</si>
  <si>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</si>
  <si>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</si>
  <si>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</si>
  <si>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</si>
  <si>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</si>
  <si>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</si>
  <si>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</si>
  <si>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</si>
  <si>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</si>
  <si>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</si>
  <si>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</si>
  <si>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</si>
  <si>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</si>
  <si>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</si>
  <si>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</si>
  <si>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</si>
  <si>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</si>
  <si>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</si>
  <si>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</si>
  <si>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</si>
  <si>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</si>
  <si>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</si>
  <si>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</si>
  <si>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</si>
  <si>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</si>
  <si>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</si>
  <si>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</si>
  <si>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</si>
  <si>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</si>
  <si>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</si>
  <si>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</si>
  <si>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</si>
  <si>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</si>
  <si>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</si>
  <si>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</si>
  <si>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</si>
  <si>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</si>
  <si>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</si>
  <si>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</si>
  <si>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</si>
  <si>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</si>
  <si>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</si>
  <si>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</si>
  <si>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</si>
  <si>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</si>
  <si>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</si>
  <si>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</si>
  <si>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</si>
  <si>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</si>
  <si>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</si>
  <si>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</si>
  <si>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</si>
  <si>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</si>
  <si>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</si>
  <si>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</si>
  <si>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</si>
  <si>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</si>
  <si>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</si>
  <si>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</si>
  <si>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</si>
  <si>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</si>
  <si>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</si>
  <si>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</si>
  <si>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</si>
  <si>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</si>
  <si>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</si>
  <si>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</si>
  <si>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</si>
  <si>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</si>
  <si>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</si>
  <si>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</si>
  <si>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</si>
  <si>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</si>
  <si>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</si>
  <si>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</si>
  <si>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</si>
  <si>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</si>
  <si>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</si>
  <si>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</si>
  <si>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</si>
  <si>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</si>
  <si>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</si>
  <si>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</si>
  <si>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</si>
  <si>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</si>
  <si>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</si>
  <si>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</si>
  <si>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</si>
  <si>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</si>
  <si>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</si>
  <si>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</si>
  <si>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</si>
  <si>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</si>
  <si>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</si>
  <si>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</si>
  <si>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</si>
  <si>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</si>
  <si>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</si>
  <si>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</si>
  <si>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</si>
  <si>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</si>
  <si>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</si>
  <si>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</si>
  <si>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</si>
  <si>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</si>
  <si>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</si>
  <si>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</si>
  <si>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</si>
  <si>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</si>
  <si>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</si>
  <si>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</si>
  <si>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</si>
  <si>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</si>
  <si>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</si>
  <si>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</si>
  <si>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</si>
  <si>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</si>
  <si>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</si>
  <si>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</si>
  <si>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</si>
  <si>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</si>
  <si>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</si>
  <si>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</si>
  <si>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</si>
  <si>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</si>
  <si>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</si>
  <si>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</si>
  <si>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</si>
  <si>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</si>
  <si>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</si>
  <si>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</si>
  <si>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</si>
  <si>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</si>
  <si>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</si>
  <si>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</si>
  <si>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</si>
  <si>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</si>
  <si>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</si>
  <si>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</si>
  <si>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</si>
  <si>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</si>
  <si>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</si>
  <si>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</si>
  <si>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</si>
  <si>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</si>
  <si>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</si>
  <si>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</si>
  <si>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</si>
  <si>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</si>
  <si>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</si>
  <si>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</si>
  <si>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</si>
  <si>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</si>
  <si>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</si>
  <si>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</si>
  <si>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</si>
  <si>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</si>
  <si>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</si>
  <si>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</si>
  <si>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</si>
  <si>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</si>
  <si>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</si>
  <si>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</si>
  <si>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</si>
  <si>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</si>
  <si>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</si>
  <si>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</si>
  <si>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</si>
  <si>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</si>
  <si>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</si>
  <si>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</si>
  <si>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</si>
  <si>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</si>
  <si>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</si>
  <si>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</si>
  <si>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</si>
  <si>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</si>
  <si>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</si>
  <si>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</si>
  <si>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</si>
  <si>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</si>
  <si>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</si>
  <si>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</si>
  <si>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</si>
  <si>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</si>
  <si>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</si>
  <si>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</si>
  <si>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</si>
  <si>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</si>
  <si>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</si>
  <si>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</si>
  <si>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</si>
  <si>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</si>
  <si>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</si>
  <si>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</si>
  <si>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</si>
  <si>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</si>
  <si>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</si>
  <si>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</si>
  <si>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</si>
  <si>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</si>
  <si>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</si>
  <si>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</si>
  <si>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</si>
  <si>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</si>
  <si>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</si>
  <si>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</si>
  <si>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</si>
  <si>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</si>
  <si>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</si>
  <si>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</si>
  <si>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</si>
  <si>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</si>
  <si>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</si>
  <si>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</si>
  <si>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</si>
  <si>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</si>
  <si>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</si>
  <si>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</si>
  <si>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</si>
  <si>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</si>
  <si>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</si>
  <si>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</si>
  <si>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</si>
  <si>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</si>
  <si>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</si>
  <si>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</si>
  <si>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</si>
  <si>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</si>
  <si>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</si>
  <si>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</si>
  <si>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</si>
  <si>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</si>
  <si>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</si>
  <si>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</si>
  <si>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</si>
  <si>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</si>
  <si>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</si>
  <si>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</si>
  <si>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</si>
  <si>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</si>
  <si>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</si>
  <si>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</si>
  <si>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</si>
  <si>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</si>
  <si>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</si>
  <si>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</si>
  <si>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</si>
  <si>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</si>
  <si>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</si>
  <si>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</si>
  <si>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</si>
  <si>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</si>
  <si>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</si>
  <si>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</si>
  <si>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</si>
  <si>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</si>
  <si>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</si>
  <si>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</si>
  <si>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</si>
  <si>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</si>
  <si>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</si>
  <si>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</si>
  <si>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</si>
  <si>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</si>
  <si>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</si>
  <si>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</si>
  <si>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</si>
  <si>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</si>
  <si>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</si>
  <si>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</si>
  <si>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</si>
  <si>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</si>
  <si>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</si>
  <si>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</si>
  <si>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</si>
  <si>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</si>
  <si>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</si>
  <si>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</si>
  <si>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</si>
  <si>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</si>
  <si>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</si>
  <si>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</si>
  <si>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</si>
  <si>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</si>
  <si>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</si>
  <si>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</si>
  <si>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</si>
  <si>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</si>
  <si>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</si>
  <si>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</si>
  <si>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</si>
  <si>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</si>
  <si>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</si>
  <si>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</si>
  <si>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</si>
  <si>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</si>
  <si>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</si>
  <si>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</si>
  <si>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</si>
  <si>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</si>
  <si>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</si>
  <si>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</si>
  <si>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</si>
  <si>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</si>
  <si>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</si>
  <si>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</si>
  <si>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</si>
  <si>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</si>
  <si>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</si>
  <si>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</si>
  <si>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</si>
  <si>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</si>
  <si>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</si>
  <si>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</si>
  <si>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</si>
  <si>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</si>
  <si>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</si>
  <si>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</si>
  <si>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</si>
  <si>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</si>
  <si>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</si>
  <si>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</si>
  <si>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</si>
  <si>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</si>
  <si>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</si>
  <si>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</si>
  <si>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</si>
  <si>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</si>
  <si>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</si>
  <si>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</si>
  <si>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</si>
  <si>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</si>
  <si>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</si>
  <si>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</si>
  <si>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</si>
  <si>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</si>
  <si>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</si>
  <si>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</si>
  <si>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</si>
  <si>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</si>
  <si>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</si>
  <si>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</si>
  <si>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</si>
  <si>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</si>
  <si>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</si>
  <si>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</si>
  <si>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</si>
  <si>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</si>
  <si>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</si>
  <si>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</si>
  <si>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</si>
  <si>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</si>
  <si>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</si>
  <si>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</si>
  <si>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</si>
  <si>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</si>
  <si>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</si>
  <si>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</si>
  <si>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</si>
  <si>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</si>
  <si>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</si>
  <si>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</si>
  <si>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</si>
  <si>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</si>
  <si>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</si>
  <si>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</si>
  <si>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</si>
  <si>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</si>
  <si>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</si>
  <si>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</si>
  <si>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</si>
  <si>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</si>
  <si>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</si>
  <si>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</si>
  <si>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</si>
  <si>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</si>
  <si>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</si>
  <si>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</si>
  <si>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</si>
  <si>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</si>
  <si>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</si>
  <si>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</si>
  <si>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</si>
  <si>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</si>
  <si>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</si>
  <si>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</si>
  <si>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</si>
  <si>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</si>
  <si>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</si>
  <si>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</si>
  <si>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</si>
  <si>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</si>
  <si>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</si>
  <si>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</si>
  <si>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</si>
  <si>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</si>
  <si>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</si>
  <si>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</si>
  <si>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</si>
  <si>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</si>
  <si>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</si>
  <si>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</si>
  <si>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</si>
  <si>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</si>
  <si>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</si>
  <si>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</si>
  <si>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</si>
  <si>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</si>
  <si>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</si>
  <si>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</si>
  <si>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</si>
  <si>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</si>
  <si>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</si>
  <si>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</si>
  <si>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</si>
  <si>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</si>
  <si>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</si>
  <si>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</si>
  <si>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</si>
  <si>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</si>
  <si>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</si>
  <si>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</si>
  <si>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</si>
  <si>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</si>
  <si>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</si>
  <si>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</si>
  <si>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</si>
  <si>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</si>
  <si>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</si>
  <si>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</si>
  <si>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</si>
  <si>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</si>
  <si>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</si>
  <si>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</si>
  <si>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</si>
  <si>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</si>
  <si>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</si>
  <si>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</si>
  <si>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</si>
  <si>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</si>
  <si>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</si>
  <si>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</si>
  <si>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</si>
  <si>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</si>
  <si>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</si>
  <si>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</si>
  <si>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</si>
  <si>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</si>
  <si>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</si>
  <si>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</si>
  <si>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</si>
  <si>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</si>
  <si>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</si>
  <si>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</si>
  <si>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</si>
  <si>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</si>
  <si>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</si>
  <si>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</si>
  <si>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</si>
  <si>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</si>
  <si>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</si>
  <si>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</si>
  <si>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</si>
  <si>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</si>
  <si>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</si>
  <si>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</si>
  <si>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</si>
  <si>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</si>
  <si>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</si>
  <si>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</si>
  <si>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</si>
  <si>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</si>
  <si>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</si>
  <si>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</si>
  <si>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</si>
  <si>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</si>
  <si>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</si>
  <si>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</si>
  <si>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</si>
  <si>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</si>
  <si>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</si>
  <si>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</si>
  <si>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</si>
  <si>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</si>
  <si>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</si>
  <si>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</si>
  <si>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</si>
  <si>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</si>
  <si>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</si>
  <si>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</si>
  <si>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</si>
  <si>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</si>
  <si>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</si>
  <si>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</si>
  <si>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</si>
  <si>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</si>
  <si>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</si>
  <si>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</si>
  <si>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</si>
  <si>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</si>
  <si>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</si>
  <si>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</si>
  <si>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</si>
  <si>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</si>
  <si>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</si>
  <si>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</si>
  <si>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</si>
  <si>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</si>
  <si>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</si>
  <si>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</si>
  <si>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</si>
  <si>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</si>
  <si>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</si>
  <si>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</si>
  <si>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</si>
  <si>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</si>
  <si>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</si>
  <si>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</si>
  <si>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</si>
  <si>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</si>
  <si>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</si>
  <si>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</si>
  <si>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</si>
  <si>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</si>
  <si>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</si>
  <si>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</si>
  <si>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</si>
  <si>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</si>
  <si>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</si>
  <si>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</si>
  <si>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</si>
  <si>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</si>
  <si>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</si>
  <si>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</si>
  <si>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</si>
  <si>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</si>
  <si>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</si>
  <si>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</si>
  <si>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</si>
  <si>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</si>
  <si>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</si>
  <si>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</si>
  <si>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</si>
  <si>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</si>
  <si>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</si>
  <si>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</si>
  <si>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</si>
  <si>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</si>
  <si>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</si>
  <si>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</si>
  <si>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</si>
  <si>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</si>
  <si>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</si>
  <si>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</si>
  <si>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</si>
  <si>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</si>
  <si>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</si>
  <si>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</si>
  <si>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</si>
  <si>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</si>
  <si>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</si>
  <si>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</si>
  <si>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</si>
  <si>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</si>
  <si>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</si>
  <si>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</si>
  <si>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</si>
  <si>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</si>
  <si>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</si>
  <si>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</si>
  <si>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</si>
  <si>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</si>
  <si>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</si>
  <si>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</si>
  <si>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</si>
  <si>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</si>
  <si>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</si>
  <si>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</si>
  <si>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</si>
  <si>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</si>
  <si>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</si>
  <si>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</si>
  <si>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</si>
  <si>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</si>
  <si>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</si>
  <si>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</si>
  <si>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</si>
  <si>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</si>
  <si>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</si>
  <si>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</si>
  <si>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</si>
  <si>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</si>
  <si>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</si>
  <si>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</si>
  <si>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</si>
  <si>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</si>
  <si>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</si>
  <si>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</si>
  <si>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</si>
  <si>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</si>
  <si>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</si>
  <si>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</si>
  <si>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</si>
  <si>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</si>
  <si>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</si>
  <si>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</si>
  <si>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</si>
  <si>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</si>
  <si>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</si>
  <si>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</si>
  <si>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</si>
  <si>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</si>
  <si>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</si>
  <si>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</si>
  <si>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</si>
  <si>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</si>
  <si>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</si>
  <si>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</si>
  <si>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</si>
  <si>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</si>
  <si>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</si>
  <si>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</si>
  <si>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</si>
  <si>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</si>
  <si>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</si>
  <si>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</si>
  <si>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</si>
  <si>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</si>
  <si>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</si>
  <si>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</si>
  <si>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</si>
  <si>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</si>
  <si>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</si>
  <si>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</si>
  <si>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</si>
  <si>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</si>
  <si>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</si>
  <si>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</si>
  <si>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</si>
  <si>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</si>
  <si>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</si>
  <si>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</si>
  <si>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</si>
  <si>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</si>
  <si>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</si>
  <si>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</si>
  <si>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</si>
  <si>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</si>
  <si>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</si>
  <si>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</si>
  <si>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</si>
  <si>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</si>
  <si>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</si>
  <si>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</si>
  <si>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</si>
  <si>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</si>
  <si>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</si>
  <si>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</si>
  <si>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</si>
  <si>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</si>
  <si>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</si>
  <si>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</si>
  <si>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</si>
  <si>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</si>
  <si>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</si>
  <si>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</si>
  <si>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</si>
  <si>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</si>
  <si>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</si>
  <si>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</si>
  <si>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</si>
  <si>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</si>
  <si>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</si>
  <si>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</si>
  <si>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</si>
  <si>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</si>
  <si>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</si>
  <si>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</si>
  <si>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</si>
  <si>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</si>
  <si>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</si>
  <si>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</si>
  <si>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</si>
  <si>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</si>
  <si>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</si>
  <si>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</si>
  <si>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</si>
  <si>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</si>
  <si>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</si>
  <si>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</si>
  <si>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</si>
  <si>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</si>
  <si>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</si>
  <si>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</si>
  <si>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</si>
  <si>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</si>
  <si>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</si>
  <si>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</si>
  <si>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</si>
  <si>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</si>
  <si>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</si>
  <si>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</si>
  <si>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</si>
  <si>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</si>
  <si>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</si>
  <si>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</si>
  <si>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</si>
  <si>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</si>
  <si>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</si>
  <si>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</si>
  <si>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</si>
  <si>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</si>
  <si>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</si>
  <si>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</si>
  <si>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</si>
  <si>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</si>
  <si>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</si>
  <si>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</si>
  <si>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</si>
  <si>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</si>
  <si>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</si>
  <si>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</si>
  <si>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</si>
  <si>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</si>
  <si>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</si>
  <si>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</si>
  <si>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</si>
  <si>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</si>
  <si>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</si>
  <si>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</si>
  <si>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</si>
  <si>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</si>
  <si>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</si>
  <si>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</si>
  <si>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</si>
  <si>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</si>
  <si>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</si>
  <si>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</si>
  <si>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</si>
  <si>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</si>
  <si>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</si>
  <si>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</si>
  <si>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</si>
  <si>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</si>
  <si>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</si>
  <si>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</si>
  <si>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</si>
  <si>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</si>
  <si>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</si>
  <si>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</si>
  <si>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</si>
  <si>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</si>
  <si>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</si>
  <si>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</si>
  <si>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</si>
  <si>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</si>
  <si>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</si>
  <si>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</si>
  <si>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</si>
  <si>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</si>
  <si>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</si>
  <si>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</si>
  <si>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</si>
  <si>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</si>
  <si>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</si>
  <si>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</si>
  <si>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</si>
  <si>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</si>
  <si>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</si>
  <si>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</si>
  <si>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</si>
  <si>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</si>
  <si>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</si>
  <si>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</si>
  <si>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</si>
  <si>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</si>
  <si>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</si>
  <si>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</si>
  <si>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</si>
  <si>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</si>
  <si>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</si>
  <si>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</si>
  <si>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</si>
  <si>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</si>
  <si>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</si>
  <si>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</si>
  <si>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</si>
  <si>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</si>
  <si>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</si>
  <si>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</si>
  <si>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</si>
  <si>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</si>
  <si>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</si>
  <si>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</si>
  <si>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</si>
  <si>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</si>
  <si>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</si>
  <si>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</si>
  <si>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</si>
  <si>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</si>
  <si>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</si>
  <si>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</si>
  <si>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</si>
  <si>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</si>
  <si>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</si>
  <si>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</si>
  <si>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</si>
  <si>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</si>
  <si>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</si>
  <si>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</si>
  <si>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</si>
  <si>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</si>
  <si>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</si>
  <si>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</si>
  <si>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</si>
  <si>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</si>
  <si>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</si>
  <si>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</si>
  <si>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</si>
  <si>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</si>
  <si>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</si>
  <si>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</si>
  <si>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</si>
  <si>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</si>
  <si>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</si>
  <si>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</si>
  <si>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</si>
  <si>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</si>
  <si>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</si>
  <si>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</si>
  <si>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</si>
  <si>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</si>
  <si>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</si>
  <si>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</si>
  <si>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</si>
  <si>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</si>
  <si>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</si>
  <si>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</si>
  <si>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</si>
  <si>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</si>
  <si>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</si>
  <si>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</si>
  <si>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</si>
  <si>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</si>
  <si>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</si>
  <si>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</si>
  <si>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</si>
  <si>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</si>
  <si>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</si>
  <si>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</si>
  <si>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</si>
  <si>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</si>
  <si>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</si>
  <si>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</si>
  <si>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</si>
  <si>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</si>
  <si>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</si>
  <si>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</si>
  <si>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</si>
  <si>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</si>
  <si>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</si>
  <si>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</si>
  <si>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</si>
  <si>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</si>
  <si>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</si>
  <si>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</si>
  <si>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</si>
  <si>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</si>
  <si>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</si>
  <si>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</si>
  <si>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</si>
  <si>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</si>
  <si>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</si>
  <si>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</si>
  <si>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</si>
  <si>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</si>
  <si>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</si>
  <si>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</si>
  <si>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</si>
  <si>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</si>
  <si>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</si>
  <si>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</si>
  <si>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</si>
  <si>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</si>
  <si>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</si>
  <si>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</si>
  <si>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</si>
  <si>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</si>
  <si>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</si>
  <si>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</si>
  <si>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</si>
  <si>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</si>
  <si>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</si>
  <si>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</si>
  <si>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</si>
  <si>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</si>
  <si>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</si>
  <si>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</si>
  <si>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</si>
  <si>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</si>
  <si>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</si>
  <si>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</si>
  <si>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</si>
  <si>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</si>
  <si>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</si>
  <si>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</si>
  <si>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</si>
  <si>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</si>
  <si>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</si>
  <si>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</si>
  <si>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</si>
  <si>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</si>
  <si>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</si>
  <si>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</si>
  <si>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</si>
  <si>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</si>
  <si>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</si>
  <si>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</si>
  <si>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</si>
  <si>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</si>
  <si>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</si>
  <si>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</si>
  <si>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</si>
  <si>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</si>
  <si>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</si>
  <si>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</si>
  <si>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</si>
  <si>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</si>
  <si>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</si>
  <si>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</si>
  <si>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</si>
  <si>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</si>
  <si>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</si>
  <si>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</si>
  <si>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</si>
  <si>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</si>
  <si>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</si>
  <si>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</si>
  <si>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</si>
  <si>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</si>
  <si>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</si>
  <si>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</si>
  <si>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</si>
  <si>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</si>
  <si>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</si>
  <si>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</si>
  <si>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</si>
  <si>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</si>
  <si>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</si>
  <si>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</si>
  <si>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</si>
  <si>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</si>
  <si>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</si>
  <si>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</si>
  <si>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</si>
  <si>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</si>
  <si>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</si>
  <si>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</si>
  <si>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</si>
  <si>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</si>
  <si>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</si>
  <si>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</si>
  <si>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</si>
  <si>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</si>
  <si>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</si>
  <si>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</si>
  <si>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</si>
  <si>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</si>
  <si>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</si>
  <si>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</si>
  <si>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</si>
  <si>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</si>
  <si>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</si>
  <si>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</si>
  <si>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</si>
  <si>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</si>
  <si>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</si>
  <si>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</si>
  <si>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</si>
  <si>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</si>
  <si>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</si>
  <si>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</si>
  <si>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</si>
  <si>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</si>
  <si>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</si>
  <si>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</si>
  <si>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</si>
  <si>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</si>
  <si>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</si>
  <si>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</si>
  <si>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</si>
  <si>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</si>
  <si>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</si>
  <si>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</si>
  <si>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</si>
  <si>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</si>
  <si>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</si>
  <si>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</si>
  <si>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</si>
  <si>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</si>
  <si>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</si>
  <si>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</si>
  <si>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</si>
  <si>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</si>
  <si>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</si>
  <si>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</si>
  <si>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</si>
  <si>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</si>
  <si>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</si>
  <si>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</si>
  <si>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</si>
  <si>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</si>
  <si>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</si>
  <si>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</si>
  <si>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</si>
  <si>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</si>
  <si>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</si>
  <si>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</si>
  <si>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</si>
  <si>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</si>
  <si>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</si>
  <si>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</si>
  <si>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</si>
  <si>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</si>
  <si>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</si>
  <si>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</si>
  <si>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</si>
  <si>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</si>
  <si>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</si>
  <si>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</si>
  <si>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</si>
  <si>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</si>
  <si>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</si>
  <si>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</si>
  <si>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</si>
  <si>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</si>
  <si>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</si>
  <si>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</si>
  <si>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</si>
  <si>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</si>
  <si>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</si>
  <si>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</si>
  <si>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</si>
  <si>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</si>
  <si>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</si>
  <si>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</si>
  <si>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</si>
  <si>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</si>
  <si>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</si>
  <si>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</si>
  <si>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</si>
  <si>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</si>
  <si>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</si>
  <si>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</si>
  <si>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</si>
  <si>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</si>
  <si>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</si>
  <si>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</si>
  <si>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</si>
  <si>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</si>
  <si>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</si>
  <si>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</si>
  <si>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</si>
  <si>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</si>
  <si>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</si>
  <si>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</si>
  <si>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</si>
  <si>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</si>
  <si>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</si>
  <si>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</si>
  <si>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</si>
  <si>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</si>
  <si>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</si>
  <si>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</si>
  <si>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</si>
  <si>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</si>
  <si>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</si>
  <si>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</si>
  <si>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</si>
  <si>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</si>
  <si>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</si>
  <si>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</si>
  <si>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</si>
  <si>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</si>
  <si>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</si>
  <si>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</si>
  <si>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</si>
  <si>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</si>
  <si>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</si>
  <si>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</si>
  <si>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</si>
  <si>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</si>
  <si>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</si>
  <si>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</si>
  <si>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</si>
  <si>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</si>
  <si>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</si>
  <si>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</si>
  <si>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</si>
  <si>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</si>
  <si>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</si>
  <si>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</si>
  <si>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</si>
  <si>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</si>
  <si>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</si>
  <si>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</si>
  <si>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</si>
  <si>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</si>
  <si>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</si>
  <si>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</si>
  <si>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</si>
  <si>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</si>
  <si>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</si>
  <si>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</si>
  <si>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</si>
  <si>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</si>
  <si>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</si>
  <si>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</si>
  <si>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</si>
  <si>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</si>
  <si>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</si>
  <si>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</si>
  <si>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</si>
  <si>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</si>
  <si>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</si>
  <si>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</si>
  <si>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</si>
  <si>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</si>
  <si>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</si>
  <si>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</si>
  <si>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</si>
  <si>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</si>
  <si>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</si>
  <si>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</si>
  <si>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</si>
  <si>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</si>
  <si>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</si>
  <si>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</si>
  <si>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</si>
  <si>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</si>
  <si>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</si>
  <si>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</si>
  <si>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</si>
  <si>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</si>
  <si>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</si>
  <si>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</si>
  <si>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</si>
  <si>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</si>
  <si>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</si>
  <si>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</si>
  <si>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</si>
  <si>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</si>
  <si>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</si>
  <si>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</si>
  <si>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</si>
  <si>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</si>
  <si>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</si>
  <si>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</si>
  <si>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</si>
  <si>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</si>
  <si>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</si>
  <si>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</si>
  <si>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</si>
  <si>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</si>
  <si>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</si>
  <si>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</si>
  <si>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</si>
  <si>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</si>
  <si>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</si>
  <si>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</si>
  <si>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</si>
  <si>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</si>
  <si>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</si>
  <si>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</si>
  <si>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</si>
  <si>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</si>
  <si>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</si>
  <si>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</si>
  <si>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</si>
  <si>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</si>
  <si>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</si>
  <si>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</si>
  <si>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</si>
  <si>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</si>
  <si>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</si>
  <si>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</si>
  <si>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</si>
  <si>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</si>
  <si>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</si>
  <si>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</si>
  <si>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</si>
  <si>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</si>
  <si>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</si>
  <si>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</si>
  <si>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</si>
  <si>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</si>
  <si>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</si>
  <si>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</si>
  <si>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</si>
  <si>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</si>
  <si>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</si>
  <si>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</si>
  <si>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</si>
  <si>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</si>
  <si>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</si>
  <si>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</si>
  <si>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</si>
  <si>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</si>
  <si>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</si>
  <si>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</si>
  <si>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</si>
  <si>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</si>
  <si>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</si>
  <si>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</si>
  <si>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</si>
  <si>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</si>
  <si>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</si>
  <si>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</si>
  <si>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</si>
  <si>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</si>
  <si>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</si>
  <si>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</si>
  <si>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</si>
  <si>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</si>
  <si>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</si>
  <si>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</si>
  <si>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</si>
  <si>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</si>
  <si>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</si>
  <si>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</si>
  <si>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</si>
  <si>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</si>
  <si>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</si>
  <si>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</si>
  <si>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</si>
  <si>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</si>
  <si>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</si>
  <si>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</si>
  <si>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</si>
  <si>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</si>
  <si>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</si>
  <si>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</si>
  <si>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</si>
  <si>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</si>
  <si>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</si>
  <si>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</si>
  <si>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</si>
  <si>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</si>
  <si>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</si>
  <si>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</si>
  <si>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</si>
  <si>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</si>
  <si>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</si>
  <si>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</si>
  <si>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</si>
  <si>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</si>
  <si>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</si>
  <si>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</si>
  <si>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</si>
  <si>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</si>
  <si>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</si>
  <si>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</si>
  <si>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</si>
  <si>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</si>
  <si>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</si>
  <si>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</si>
  <si>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</si>
  <si>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</si>
  <si>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</si>
  <si>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</si>
  <si>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</si>
  <si>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</si>
  <si>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</si>
  <si>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</si>
  <si>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</si>
  <si>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</si>
  <si>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</si>
  <si>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</si>
  <si>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</si>
  <si>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</si>
  <si>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</si>
  <si>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</si>
  <si>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</si>
  <si>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</si>
  <si>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</si>
  <si>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</si>
  <si>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</si>
  <si>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</si>
  <si>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</si>
  <si>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</si>
  <si>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</si>
  <si>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</si>
  <si>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</si>
  <si>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</si>
  <si>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</si>
  <si>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</si>
  <si>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</si>
  <si>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</si>
  <si>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</si>
  <si>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</si>
  <si>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</si>
  <si>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</si>
  <si>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</si>
  <si>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</si>
  <si>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</si>
  <si>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</si>
  <si>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</si>
  <si>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</si>
  <si>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</si>
  <si>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</si>
  <si>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</si>
  <si>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</si>
  <si>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</si>
  <si>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</si>
  <si>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</si>
  <si>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</si>
  <si>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</si>
  <si>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</si>
  <si>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</si>
  <si>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</si>
  <si>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</si>
  <si>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</si>
  <si>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</si>
  <si>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</si>
  <si>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</si>
  <si>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</si>
  <si>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</si>
  <si>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</si>
  <si>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</si>
  <si>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</si>
  <si>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</si>
  <si>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</si>
  <si>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</si>
  <si>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</si>
  <si>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</si>
  <si>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</si>
  <si>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</si>
  <si>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</si>
  <si>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</si>
  <si>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</si>
  <si>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</si>
  <si>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</si>
  <si>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</si>
  <si>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</si>
  <si>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</si>
  <si>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</si>
  <si>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</si>
  <si>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</si>
  <si>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</si>
  <si>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</si>
  <si>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</si>
  <si>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</si>
  <si>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</si>
  <si>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</si>
  <si>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</si>
  <si>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</si>
  <si>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</si>
  <si>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</si>
  <si>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</si>
  <si>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</si>
  <si>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</si>
  <si>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</si>
  <si>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</si>
  <si>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</si>
  <si>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</si>
  <si>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</si>
  <si>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</si>
  <si>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</si>
  <si>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</si>
  <si>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</si>
  <si>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</si>
  <si>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</si>
  <si>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</si>
  <si>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</si>
  <si>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</si>
  <si>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</si>
  <si>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</si>
  <si>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</si>
  <si>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</si>
  <si>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</si>
  <si>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</si>
  <si>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</si>
  <si>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</si>
  <si>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</si>
  <si>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</si>
  <si>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</si>
  <si>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</si>
  <si>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</si>
  <si>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</si>
  <si>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</si>
  <si>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</si>
  <si>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</si>
  <si>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</si>
  <si>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</si>
  <si>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</si>
  <si>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</si>
  <si>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</si>
  <si>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</si>
  <si>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</si>
  <si>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</si>
  <si>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</si>
  <si>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</si>
  <si>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</si>
  <si>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</si>
  <si>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</si>
  <si>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</si>
  <si>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</si>
  <si>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</si>
  <si>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</si>
  <si>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</si>
  <si>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</si>
  <si>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</si>
  <si>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</si>
  <si>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</si>
  <si>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</si>
  <si>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</si>
  <si>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</si>
  <si>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</si>
  <si>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</si>
  <si>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</si>
  <si>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</si>
  <si>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</si>
  <si>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</si>
  <si>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</si>
  <si>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</si>
  <si>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</si>
  <si>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</si>
  <si>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</si>
  <si>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</si>
  <si>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</si>
  <si>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</si>
  <si>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</si>
  <si>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</si>
  <si>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</si>
  <si>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</si>
  <si>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</si>
  <si>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</si>
  <si>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</si>
  <si>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</si>
  <si>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</si>
  <si>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</si>
  <si>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</si>
  <si>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</si>
  <si>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</si>
  <si>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</si>
  <si>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</si>
  <si>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</si>
  <si>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</si>
  <si>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</si>
  <si>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</si>
  <si>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</si>
  <si>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</si>
  <si>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</si>
  <si>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</si>
  <si>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</si>
  <si>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</si>
  <si>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</si>
  <si>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</si>
  <si>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</si>
  <si>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</si>
  <si>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</si>
  <si>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</si>
  <si>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</si>
  <si>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</si>
  <si>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</si>
  <si>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</si>
  <si>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</si>
  <si>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</si>
  <si>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</si>
  <si>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</si>
  <si>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</si>
  <si>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</si>
  <si>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</si>
  <si>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</si>
  <si>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</si>
  <si>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</si>
  <si>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</si>
  <si>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</si>
  <si>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</si>
  <si>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</si>
  <si>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</si>
  <si>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</si>
  <si>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</si>
  <si>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</si>
  <si>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</si>
  <si>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</si>
  <si>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</si>
  <si>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</si>
  <si>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</si>
  <si>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</si>
  <si>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</si>
  <si>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</si>
  <si>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</si>
  <si>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</si>
  <si>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</si>
  <si>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</si>
  <si>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</si>
  <si>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</si>
  <si>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</si>
  <si>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</si>
  <si>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</si>
  <si>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</si>
  <si>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</si>
  <si>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</si>
  <si>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</si>
  <si>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</si>
  <si>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</si>
  <si>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</si>
  <si>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</si>
  <si>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</si>
  <si>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</si>
  <si>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</si>
  <si>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</si>
  <si>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</si>
  <si>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</si>
  <si>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</si>
  <si>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</si>
  <si>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</si>
  <si>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</si>
  <si>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</si>
  <si>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</si>
  <si>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</si>
  <si>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</si>
  <si>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</si>
  <si>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</si>
  <si>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</si>
  <si>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</si>
  <si>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</si>
  <si>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</si>
  <si>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</si>
  <si>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</si>
  <si>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</si>
  <si>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</si>
  <si>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</si>
  <si>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</si>
  <si>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</si>
  <si>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</si>
  <si>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</si>
  <si>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</si>
  <si>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</si>
  <si>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</si>
  <si>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</si>
  <si>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</si>
  <si>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</si>
  <si>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</si>
  <si>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</si>
  <si>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</si>
  <si>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</si>
  <si>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</si>
  <si>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</si>
  <si>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</si>
  <si>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</si>
  <si>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</si>
  <si>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</si>
  <si>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</si>
  <si>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</si>
  <si>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</si>
  <si>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</si>
  <si>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</si>
  <si>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</si>
  <si>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</si>
  <si>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</si>
  <si>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</si>
  <si>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</si>
  <si>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</si>
  <si>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</si>
  <si>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</si>
  <si>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</si>
  <si>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</si>
  <si>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</si>
  <si>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</si>
  <si>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</si>
  <si>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</si>
  <si>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</si>
  <si>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</si>
  <si>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</si>
  <si>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</si>
  <si>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</si>
  <si>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</si>
  <si>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</si>
  <si>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</si>
  <si>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</si>
  <si>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</si>
  <si>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</si>
  <si>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</si>
  <si>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</si>
  <si>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</si>
  <si>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</si>
  <si>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</si>
  <si>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</si>
  <si>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</si>
  <si>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</si>
  <si>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</si>
  <si>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</si>
  <si>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</si>
  <si>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</si>
  <si>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</si>
  <si>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</si>
  <si>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</si>
  <si>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</si>
  <si>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</si>
  <si>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</si>
  <si>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</si>
  <si>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</si>
  <si>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</si>
  <si>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</si>
  <si>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</si>
  <si>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</si>
  <si>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</si>
  <si>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</si>
  <si>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</si>
  <si>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</si>
  <si>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</si>
  <si>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</si>
  <si>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</si>
  <si>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</si>
  <si>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</si>
  <si>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</si>
  <si>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</si>
  <si>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</si>
  <si>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</si>
  <si>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</si>
  <si>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</si>
  <si>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</si>
  <si>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</si>
  <si>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</si>
  <si>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</si>
  <si>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</si>
  <si>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</si>
  <si>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</si>
  <si>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</si>
  <si>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</si>
  <si>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</si>
  <si>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</si>
  <si>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</si>
  <si>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</si>
  <si>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</si>
  <si>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</si>
  <si>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</si>
  <si>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</si>
  <si>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</si>
  <si>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</si>
  <si>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</si>
  <si>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</si>
  <si>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</si>
  <si>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</si>
  <si>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</si>
  <si>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</si>
  <si>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</si>
  <si>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</si>
  <si>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</si>
  <si>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</si>
  <si>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</si>
  <si>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</si>
  <si>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</si>
  <si>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</si>
  <si>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</si>
  <si>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</si>
  <si>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</si>
  <si>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</si>
  <si>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</si>
  <si>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</si>
  <si>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</si>
  <si>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</si>
  <si>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</si>
  <si>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</si>
  <si>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</si>
  <si>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</si>
  <si>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</si>
  <si>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</si>
  <si>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</si>
  <si>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</si>
  <si>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</si>
  <si>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</si>
  <si>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</si>
  <si>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</si>
  <si>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</si>
  <si>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</si>
  <si>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</si>
  <si>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</si>
  <si>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</si>
  <si>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</si>
  <si>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</si>
  <si>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</si>
  <si>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</si>
  <si>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</si>
  <si>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</si>
  <si>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</si>
  <si>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</si>
  <si>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</si>
  <si>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</si>
  <si>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</si>
  <si>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</si>
  <si>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</si>
  <si>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</si>
  <si>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</si>
  <si>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</si>
  <si>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</si>
  <si>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</si>
  <si>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</si>
  <si>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</si>
  <si>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</si>
  <si>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</si>
  <si>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</si>
  <si>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</si>
  <si>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</si>
  <si>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</si>
  <si>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</si>
  <si>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</si>
  <si>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</si>
  <si>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</si>
  <si>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</si>
  <si>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</si>
  <si>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</si>
  <si>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</si>
  <si>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</si>
  <si>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</si>
  <si>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</si>
  <si>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</si>
  <si>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</si>
  <si>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</si>
  <si>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</si>
  <si>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</si>
  <si>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</si>
  <si>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</si>
  <si>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</si>
  <si>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</si>
  <si>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</si>
  <si>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</si>
  <si>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</si>
  <si>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</si>
  <si>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</si>
  <si>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</si>
  <si>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</si>
  <si>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</si>
  <si>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</si>
  <si>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</si>
  <si>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</si>
  <si>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</si>
  <si>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</si>
  <si>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</si>
  <si>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</si>
  <si>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</si>
  <si>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</si>
  <si>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</si>
  <si>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</si>
  <si>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</si>
  <si>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</si>
  <si>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</si>
  <si>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</si>
  <si>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</si>
  <si>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</si>
  <si>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</si>
  <si>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</si>
  <si>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</si>
  <si>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</si>
  <si>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</si>
  <si>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</si>
  <si>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</si>
  <si>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</si>
  <si>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</si>
  <si>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</si>
  <si>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</si>
  <si>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</si>
  <si>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</si>
  <si>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</si>
  <si>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</si>
  <si>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</si>
  <si>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</si>
  <si>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</si>
  <si>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</si>
  <si>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</si>
  <si>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</si>
  <si>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</si>
  <si>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</si>
  <si>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</si>
  <si>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</si>
  <si>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</si>
  <si>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</si>
  <si>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</si>
  <si>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</si>
  <si>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</si>
  <si>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</si>
  <si>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</si>
  <si>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</si>
  <si>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</si>
  <si>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</si>
  <si>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</si>
  <si>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</si>
  <si>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</si>
  <si>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</si>
  <si>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</si>
  <si>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</si>
  <si>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</si>
  <si>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</si>
  <si>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</si>
  <si>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</si>
  <si>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</si>
  <si>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</si>
  <si>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</si>
  <si>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</si>
  <si>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</si>
  <si>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</si>
  <si>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</si>
  <si>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</si>
  <si>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</si>
  <si>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</si>
  <si>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</si>
  <si>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</si>
  <si>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</si>
  <si>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</si>
  <si>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</si>
  <si>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</si>
  <si>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</si>
  <si>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</si>
  <si>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</si>
  <si>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</si>
  <si>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</si>
  <si>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</si>
  <si>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</si>
  <si>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</si>
  <si>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</si>
  <si>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</si>
  <si>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</si>
  <si>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</si>
  <si>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</si>
  <si>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</si>
  <si>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</si>
  <si>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</si>
  <si>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</si>
  <si>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</si>
  <si>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</si>
  <si>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</si>
  <si>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</si>
  <si>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</si>
  <si>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</si>
  <si>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</si>
  <si>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</si>
  <si>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</si>
  <si>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</si>
  <si>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</si>
  <si>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</si>
  <si>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</si>
  <si>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</si>
  <si>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</si>
  <si>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</si>
  <si>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</si>
  <si>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</si>
  <si>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</si>
  <si>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</si>
  <si>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</si>
  <si>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</si>
  <si>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</si>
  <si>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</si>
  <si>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</si>
  <si>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</si>
  <si>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</si>
  <si>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</si>
  <si>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</si>
  <si>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</si>
  <si>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</si>
  <si>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</si>
  <si>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</si>
  <si>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</si>
  <si>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</si>
  <si>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</si>
  <si>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</si>
  <si>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</si>
  <si>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</si>
  <si>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</si>
  <si>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</si>
  <si>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</si>
  <si>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</si>
  <si>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</si>
  <si>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</si>
  <si>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</si>
  <si>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</si>
  <si>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</si>
  <si>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</si>
  <si>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</si>
  <si>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</si>
  <si>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</si>
  <si>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</si>
  <si>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</si>
  <si>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</si>
  <si>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</si>
  <si>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</si>
  <si>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</si>
  <si>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</si>
  <si>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</si>
  <si>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</si>
  <si>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</si>
  <si>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</si>
  <si>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</si>
  <si>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</si>
  <si>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</si>
  <si>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</si>
  <si>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</si>
  <si>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</si>
  <si>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</si>
  <si>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</si>
  <si>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</si>
  <si>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</si>
  <si>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</si>
  <si>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</si>
  <si>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</si>
  <si>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</si>
  <si>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</si>
  <si>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</si>
  <si>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</si>
  <si>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</si>
  <si>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</si>
  <si>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</si>
  <si>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</si>
  <si>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</si>
  <si>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</si>
  <si>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</si>
  <si>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</si>
  <si>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</si>
  <si>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</si>
  <si>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</si>
  <si>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</si>
  <si>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</si>
  <si>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</si>
  <si>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</si>
  <si>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</si>
  <si>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</si>
  <si>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</si>
  <si>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</si>
  <si>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</si>
  <si>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</si>
  <si>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</si>
  <si>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</si>
  <si>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</si>
  <si>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</si>
  <si>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</si>
  <si>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</si>
  <si>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</si>
  <si>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</si>
  <si>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</si>
  <si>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</si>
  <si>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</si>
  <si>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</si>
  <si>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</si>
  <si>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</si>
  <si>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</si>
  <si>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</si>
  <si>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</si>
  <si>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</si>
  <si>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</si>
  <si>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</si>
  <si>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</si>
  <si>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</si>
  <si>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</si>
  <si>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</si>
  <si>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</si>
  <si>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</si>
  <si>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</si>
  <si>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</si>
  <si>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</si>
  <si>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</si>
  <si>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</si>
  <si>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</si>
  <si>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</si>
  <si>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</si>
  <si>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</si>
  <si>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</si>
  <si>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</si>
  <si>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</si>
  <si>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</si>
  <si>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</si>
  <si>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</si>
  <si>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</si>
  <si>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</si>
  <si>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</si>
  <si>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</si>
  <si>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</si>
  <si>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</si>
  <si>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</si>
  <si>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</si>
  <si>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</si>
  <si>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</si>
  <si>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</si>
  <si>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</si>
  <si>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</si>
  <si>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</si>
  <si>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</si>
  <si>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</si>
  <si>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</si>
  <si>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</si>
  <si>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</si>
  <si>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</si>
  <si>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</si>
  <si>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</si>
  <si>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</si>
  <si>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</si>
  <si>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</si>
  <si>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</si>
  <si>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</si>
  <si>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</si>
  <si>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</si>
  <si>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</si>
  <si>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</si>
  <si>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</si>
  <si>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</si>
  <si>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</si>
  <si>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</si>
  <si>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</si>
  <si>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</si>
  <si>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</si>
  <si>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</si>
  <si>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</si>
  <si>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</si>
  <si>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</si>
  <si>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</si>
  <si>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</si>
  <si>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</si>
  <si>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</si>
  <si>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</si>
  <si>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</si>
  <si>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</si>
  <si>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</si>
  <si>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</si>
  <si>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</si>
  <si>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</si>
  <si>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</si>
  <si>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</si>
  <si>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</si>
  <si>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</si>
  <si>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</si>
  <si>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</si>
  <si>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</si>
  <si>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</si>
  <si>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</si>
  <si>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</si>
  <si>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</si>
  <si>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</si>
  <si>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</si>
  <si>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</si>
  <si>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</si>
  <si>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</si>
  <si>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</si>
  <si>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</si>
  <si>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</si>
  <si>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</si>
  <si>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</si>
  <si>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</si>
  <si>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</si>
  <si>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</si>
  <si>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</si>
  <si>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</si>
  <si>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</si>
  <si>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</si>
  <si>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</si>
  <si>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</si>
  <si>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</si>
  <si>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</si>
  <si>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</si>
  <si>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</si>
  <si>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</si>
  <si>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</si>
  <si>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</si>
  <si>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</si>
  <si>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</si>
  <si>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</si>
  <si>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</si>
  <si>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</si>
  <si>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</si>
  <si>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</si>
  <si>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</si>
  <si>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</si>
  <si>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</si>
  <si>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</si>
  <si>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</si>
  <si>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</si>
  <si>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</si>
  <si>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</si>
  <si>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</si>
  <si>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</si>
  <si>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</si>
  <si>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</si>
  <si>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</si>
  <si>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</si>
  <si>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</si>
  <si>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</si>
  <si>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</si>
  <si>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</si>
  <si>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</si>
  <si>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</si>
  <si>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</si>
  <si>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</si>
  <si>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</si>
  <si>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</si>
  <si>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</si>
  <si>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</si>
  <si>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</si>
  <si>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</si>
  <si>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</si>
  <si>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</si>
  <si>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</si>
  <si>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</si>
  <si>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</si>
  <si>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</si>
  <si>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</si>
  <si>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</si>
  <si>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</si>
  <si>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</si>
  <si>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</si>
  <si>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</si>
  <si>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</si>
  <si>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</si>
  <si>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</si>
  <si>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</si>
  <si>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</si>
  <si>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</si>
  <si>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</si>
  <si>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</si>
  <si>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</si>
  <si>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</si>
  <si>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</si>
  <si>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</si>
  <si>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</si>
  <si>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</si>
  <si>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</si>
  <si>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</si>
  <si>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</si>
  <si>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</si>
  <si>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</si>
  <si>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</si>
  <si>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</si>
  <si>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</si>
  <si>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</si>
  <si>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</si>
  <si>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</si>
  <si>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</si>
  <si>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</si>
  <si>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</si>
  <si>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</si>
  <si>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</si>
  <si>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</si>
  <si>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</si>
  <si>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</si>
  <si>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</si>
  <si>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</si>
  <si>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</si>
  <si>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</si>
  <si>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</si>
  <si>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</si>
  <si>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</si>
  <si>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</si>
  <si>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</si>
  <si>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</si>
  <si>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</si>
  <si>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</si>
  <si>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</si>
  <si>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</si>
  <si>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</si>
  <si>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</si>
  <si>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</si>
  <si>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</si>
  <si>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</si>
  <si>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</si>
  <si>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</si>
  <si>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</si>
  <si>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</si>
  <si>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</si>
  <si>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</si>
  <si>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</si>
  <si>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</si>
  <si>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</si>
  <si>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</si>
  <si>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</si>
  <si>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</si>
  <si>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</si>
  <si>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</si>
  <si>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</si>
  <si>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</si>
  <si>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</si>
  <si>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</si>
  <si>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</si>
  <si>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</si>
  <si>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</si>
  <si>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</si>
  <si>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</si>
  <si>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</si>
  <si>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</si>
  <si>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</si>
  <si>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</si>
  <si>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</si>
  <si>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</si>
  <si>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</si>
  <si>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</si>
  <si>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</si>
  <si>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</si>
  <si>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</si>
  <si>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</si>
  <si>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</si>
  <si>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</si>
  <si>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</si>
  <si>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</si>
  <si>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</si>
  <si>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</si>
  <si>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</si>
  <si>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</si>
  <si>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</si>
  <si>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</si>
  <si>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</si>
  <si>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</si>
  <si>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</si>
  <si>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</si>
  <si>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</si>
  <si>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</si>
  <si>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</si>
  <si>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</si>
  <si>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</si>
  <si>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</si>
  <si>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</si>
  <si>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</si>
  <si>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</si>
  <si>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</si>
  <si>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</si>
  <si>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</si>
  <si>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</si>
  <si>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</si>
  <si>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</si>
  <si>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</si>
  <si>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</si>
  <si>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</si>
  <si>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</si>
  <si>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</si>
  <si>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</si>
  <si>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</si>
  <si>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</si>
  <si>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</si>
  <si>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</si>
  <si>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</si>
  <si>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</si>
  <si>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</si>
  <si>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</si>
  <si>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塔楼</t>
  </si>
  <si>
    <t>板楼</t>
    <phoneticPr fontId="21" type="noConversion"/>
  </si>
  <si>
    <t>洋房</t>
    <phoneticPr fontId="21" type="noConversion"/>
  </si>
  <si>
    <t>塔楼</t>
    <phoneticPr fontId="21" type="noConversion"/>
  </si>
  <si>
    <t>毛坯</t>
    <phoneticPr fontId="21" type="noConversion"/>
  </si>
  <si>
    <t>七通</t>
    <phoneticPr fontId="21" type="noConversion"/>
  </si>
  <si>
    <t>六通</t>
    <phoneticPr fontId="21" type="noConversion"/>
  </si>
  <si>
    <t>五通</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</si>
  <si>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</si>
  <si>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</si>
  <si>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</si>
  <si>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</si>
  <si>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</si>
  <si>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</si>
  <si>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</si>
  <si>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</si>
  <si>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</si>
  <si>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</si>
  <si>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</si>
  <si>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</si>
  <si>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住宅用地</t>
  </si>
  <si>
    <t>挂牌</t>
  </si>
  <si>
    <t>2018-07-20</t>
  </si>
  <si>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</si>
  <si>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</si>
  <si>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</si>
  <si>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</si>
  <si>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</si>
  <si>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</si>
  <si>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</si>
  <si>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</si>
  <si>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</si>
  <si>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</si>
  <si>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适宜</t>
    <phoneticPr fontId="26" type="noConversion"/>
  </si>
  <si>
    <t>较适宜</t>
    <phoneticPr fontId="26" type="noConversion"/>
  </si>
  <si>
    <t>较不适宜</t>
    <phoneticPr fontId="26" type="noConversion"/>
  </si>
  <si>
    <t>住宅</t>
    <phoneticPr fontId="26"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</si>
  <si>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</si>
  <si>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</si>
  <si>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</si>
  <si>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</si>
  <si>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</si>
  <si>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</si>
  <si>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</si>
  <si>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</si>
  <si>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</si>
  <si>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</si>
  <si>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</si>
  <si>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</si>
  <si>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</si>
  <si>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</si>
  <si>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t xml:space="preserve"> </t>
    <phoneticPr fontId="21"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</si>
  <si>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</si>
  <si>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</si>
  <si>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</si>
  <si>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</si>
  <si>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</si>
  <si>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</si>
  <si>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居住项目</t>
  </si>
  <si>
    <t>无</t>
  </si>
  <si>
    <t>场地未平整</t>
  </si>
  <si>
    <t>平整</t>
  </si>
  <si>
    <t>宗地内尚有需要移除的树木及部分待拆迁建筑物</t>
    <phoneticPr fontId="6" type="noConversion"/>
  </si>
  <si>
    <t>押一</t>
  </si>
  <si>
    <r>
      <t>10000-30000</t>
    </r>
    <r>
      <rPr>
        <sz val="10"/>
        <color indexed="8"/>
        <rFont val="宋体"/>
        <family val="3"/>
        <charset val="134"/>
      </rPr>
      <t>（含）</t>
    </r>
    <phoneticPr fontId="21" type="noConversion"/>
  </si>
  <si>
    <r>
      <t>100000-200000</t>
    </r>
    <r>
      <rPr>
        <sz val="10"/>
        <color indexed="8"/>
        <rFont val="宋体"/>
        <family val="3"/>
        <charset val="134"/>
      </rPr>
      <t>（含）</t>
    </r>
    <phoneticPr fontId="21" type="noConversion"/>
  </si>
  <si>
    <r>
      <t>200000-300000</t>
    </r>
    <r>
      <rPr>
        <sz val="10"/>
        <color indexed="8"/>
        <rFont val="宋体"/>
        <family val="3"/>
        <charset val="134"/>
      </rPr>
      <t>（含）</t>
    </r>
    <phoneticPr fontId="21" type="noConversion"/>
  </si>
  <si>
    <r>
      <t>30000-60000</t>
    </r>
    <r>
      <rPr>
        <sz val="10"/>
        <color indexed="8"/>
        <rFont val="宋体"/>
        <family val="3"/>
        <charset val="134"/>
      </rPr>
      <t>（含）</t>
    </r>
    <phoneticPr fontId="21" type="noConversion"/>
  </si>
  <si>
    <r>
      <t>60000-100000</t>
    </r>
    <r>
      <rPr>
        <sz val="10"/>
        <color indexed="8"/>
        <rFont val="宋体"/>
        <family val="3"/>
        <charset val="134"/>
      </rPr>
      <t>（含）</t>
    </r>
    <phoneticPr fontId="21" type="noConversion"/>
  </si>
  <si>
    <t>土地剩余年限</t>
    <phoneticPr fontId="3" type="noConversion"/>
  </si>
  <si>
    <t>丹阳住宅</t>
    <phoneticPr fontId="3" type="noConversion"/>
  </si>
  <si>
    <t>融锦广场翡翠林御庭</t>
    <phoneticPr fontId="3" type="noConversion"/>
  </si>
  <si>
    <t>六通</t>
  </si>
  <si>
    <t>板楼</t>
  </si>
  <si>
    <t>曲阿路西侧,兰陵路北侧</t>
  </si>
  <si>
    <t>镇江市</t>
  </si>
  <si>
    <t>＞1,≤2</t>
  </si>
  <si>
    <t>丹阳市融锦宏星置业发展有限公司</t>
  </si>
  <si>
    <t>创业路西侧</t>
  </si>
  <si>
    <t>＞1,≤2.2</t>
  </si>
  <si>
    <t>丹阳市天怡房屋建设开发有限责任公司</t>
  </si>
  <si>
    <t>九曲路南侧</t>
  </si>
  <si>
    <t>大亚科技集团有限公司</t>
  </si>
  <si>
    <t>水关路西侧</t>
  </si>
  <si>
    <t>＞1,≤3.5</t>
  </si>
  <si>
    <t>2018-06-28</t>
  </si>
  <si>
    <t>江苏和美置业有限公司</t>
  </si>
  <si>
    <t>丝绸路南侧</t>
  </si>
  <si>
    <t>＞1,≤2.5</t>
  </si>
  <si>
    <t>丹阳市金鼎投资有限公司</t>
  </si>
  <si>
    <t>丹句路北侧</t>
  </si>
  <si>
    <t>丹阳市白鹤高新技术产业发展有限公司</t>
  </si>
  <si>
    <t>银杏路北侧</t>
  </si>
  <si>
    <t>丝绸路北侧、运河西路西侧</t>
  </si>
  <si>
    <t>＞1,≤1.5</t>
  </si>
  <si>
    <t>丹阳市通泰房地产开发有限公司</t>
  </si>
  <si>
    <t>S241西侧,水关西路北侧</t>
  </si>
  <si>
    <t>＞1且≤2.5</t>
  </si>
  <si>
    <t>2017-10-18</t>
  </si>
  <si>
    <t>丹阳市安居工程建设投资有限公司</t>
  </si>
  <si>
    <t>胡高路北侧</t>
  </si>
  <si>
    <t>＞1且≤1.3</t>
  </si>
  <si>
    <t>丹阳金港置业有限公司</t>
  </si>
  <si>
    <t>陵口镇货场路北侧</t>
  </si>
  <si>
    <t>＞1且≤1.8</t>
  </si>
  <si>
    <t>南三环路南侧</t>
  </si>
  <si>
    <t>丹阳高新区投资发展有限公司</t>
  </si>
  <si>
    <t>北二环路北侧</t>
  </si>
  <si>
    <t>＞1且≤3</t>
  </si>
  <si>
    <t>西环路东侧</t>
  </si>
  <si>
    <t>南三环路南侧(丹凤公园西侧)</t>
  </si>
  <si>
    <t>1＜容积率≤2.20</t>
  </si>
  <si>
    <t>2017-07-31</t>
  </si>
  <si>
    <t>金陵西路南侧</t>
  </si>
  <si>
    <t>1.80＜容积率≤3.50</t>
  </si>
  <si>
    <t>丹阳市华昌房屋开发有限公司</t>
  </si>
  <si>
    <t>江苏南碧房地产开发有限公司</t>
  </si>
  <si>
    <t>振兴路南侧</t>
  </si>
  <si>
    <t>1＜容积率≤2.50</t>
  </si>
  <si>
    <t>常州弘阳广场置业有限公司</t>
  </si>
  <si>
    <t>华南路东侧</t>
  </si>
  <si>
    <t>2017-03-14</t>
  </si>
  <si>
    <t>南通中南新世界中心开发有限公司</t>
  </si>
  <si>
    <t>华南路西侧</t>
  </si>
  <si>
    <t>黄金塘路北侧</t>
  </si>
  <si>
    <t>≥1.8且≤3</t>
  </si>
  <si>
    <t>丹阳市曲阿安居工程建设开发有限公司</t>
  </si>
  <si>
    <t>葛丹公路东侧</t>
  </si>
  <si>
    <t>江苏卓越置业有限公司</t>
  </si>
  <si>
    <t>健民路南侧</t>
  </si>
  <si>
    <t>＞1且≤1.6</t>
  </si>
  <si>
    <t>2017-02-21</t>
  </si>
  <si>
    <t>丹阳市高新技术产业发展有限公司</t>
  </si>
  <si>
    <t>开发区九纬路北侧</t>
  </si>
  <si>
    <t>曲阿路东侧</t>
  </si>
  <si>
    <t>北苑路南侧</t>
  </si>
  <si>
    <t>南三环路南侧,丹金路西侧</t>
  </si>
  <si>
    <t>2016-09-20</t>
  </si>
  <si>
    <t>薛甲路南侧</t>
  </si>
  <si>
    <t>≥1.8且≤2.4</t>
  </si>
  <si>
    <t>2016-09-19</t>
  </si>
  <si>
    <t>西环路南侧</t>
  </si>
  <si>
    <t>＞1且≤2</t>
  </si>
  <si>
    <t>锦湖路北侧</t>
  </si>
  <si>
    <t>香草河北侧</t>
  </si>
  <si>
    <t>丹阳开发区北苑路</t>
    <phoneticPr fontId="3" type="noConversion"/>
  </si>
  <si>
    <t>次干道</t>
  </si>
  <si>
    <t>恒大城</t>
    <phoneticPr fontId="3" type="noConversion"/>
  </si>
  <si>
    <t>天颐城</t>
    <phoneticPr fontId="3" type="noConversion"/>
  </si>
  <si>
    <t>售价</t>
  </si>
  <si>
    <t>土地（套用方法）</t>
  </si>
  <si>
    <r>
      <t>水关路西侧</t>
    </r>
    <r>
      <rPr>
        <sz val="12"/>
        <color rgb="FF444444"/>
        <rFont val="Verdana"/>
        <family val="2"/>
      </rPr>
      <t>(江苏省镇江市丹阳市 )</t>
    </r>
  </si>
  <si>
    <t>已成交</t>
  </si>
  <si>
    <r>
      <t>丝绸路南侧</t>
    </r>
    <r>
      <rPr>
        <sz val="12"/>
        <color rgb="FF444444"/>
        <rFont val="Verdana"/>
        <family val="2"/>
      </rPr>
      <t>(江苏省镇江市丹阳市 )</t>
    </r>
  </si>
  <si>
    <r>
      <t>丝绸路北侧、运河西路西侧</t>
    </r>
    <r>
      <rPr>
        <sz val="12"/>
        <color rgb="FF444444"/>
        <rFont val="Verdana"/>
        <family val="2"/>
      </rPr>
      <t>(江苏省镇江市丹阳市 )</t>
    </r>
  </si>
  <si>
    <t>70</t>
    <phoneticPr fontId="26" type="noConversion"/>
  </si>
  <si>
    <t>70</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</si>
</sst>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
      <b/>
      <sz val="18"/>
      <color rgb="FF333333"/>
      <name val="Verdana"/>
      <family val="2"/>
    </font>
    <font>
      <sz val="12"/>
      <color rgb="FF444444"/>
      <name val="Verdana"/>
      <family val="2"/>
    </font>
    <font>
      <sz val="9"/>
      <color rgb="FFFFFFFF"/>
      <name val="Verdan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179" fontId="0" fillId="0" borderId="2" xfId="0" applyNumberFormat="1" applyBorder="1">
      <alignment vertical="center"/>
    </xf>
    <xf numFmtId="0" fontId="145" fillId="0" borderId="2" xfId="0" applyFont="1" applyFill="1" applyBorder="1">
      <alignment vertical="center"/>
    </xf>
    <xf numFmtId="179" fontId="117" fillId="0" borderId="2" xfId="0" applyNumberFormat="1" applyFont="1" applyFill="1" applyBorder="1" applyAlignment="1" applyProtection="1">
      <alignment horizontal="center" vertical="center"/>
      <protection locked="0"/>
    </xf>
    <xf numFmtId="0" fontId="86" fillId="0" borderId="0" xfId="15"/>
    <xf numFmtId="0" fontId="86" fillId="6" borderId="0" xfId="15" applyFill="1"/>
    <xf numFmtId="0" fontId="86" fillId="8" borderId="0" xfId="15" applyFill="1"/>
    <xf numFmtId="0" fontId="86" fillId="10" borderId="0" xfId="15" applyFill="1"/>
    <xf numFmtId="0" fontId="278" fillId="0" borderId="0" xfId="0" applyFont="1" applyAlignment="1">
      <alignment vertical="center" wrapText="1"/>
    </xf>
    <xf numFmtId="0" fontId="280" fillId="0" borderId="0" xfId="0" applyFont="1" applyAlignment="1">
      <alignment vertical="center" wrapText="1"/>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31</xdr:row>
      <xdr:rowOff>0</xdr:rowOff>
    </xdr:from>
    <xdr:to>
      <xdr:col>12</xdr:col>
      <xdr:colOff>541758</xdr:colOff>
      <xdr:row>72</xdr:row>
      <xdr:rowOff>75312</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5314950"/>
          <a:ext cx="9342858" cy="7104762"/>
        </a:xfrm>
        <a:prstGeom prst="rect">
          <a:avLst/>
        </a:prstGeom>
      </xdr:spPr>
    </xdr:pic>
    <xdr:clientData/>
  </xdr:twoCellAnchor>
  <xdr:twoCellAnchor editAs="oneCell">
    <xdr:from>
      <xdr:col>1</xdr:col>
      <xdr:colOff>200026</xdr:colOff>
      <xdr:row>4</xdr:row>
      <xdr:rowOff>4089</xdr:rowOff>
    </xdr:from>
    <xdr:to>
      <xdr:col>11</xdr:col>
      <xdr:colOff>438151</xdr:colOff>
      <xdr:row>39</xdr:row>
      <xdr:rowOff>18175</xdr:rowOff>
    </xdr:to>
    <xdr:pic>
      <xdr:nvPicPr>
        <xdr:cNvPr id="4" name="图片 3"/>
        <xdr:cNvPicPr>
          <a:picLocks noChangeAspect="1"/>
        </xdr:cNvPicPr>
      </xdr:nvPicPr>
      <xdr:blipFill>
        <a:blip xmlns:r="http://schemas.openxmlformats.org/officeDocument/2006/relationships" r:embed="rId2"/>
        <a:stretch>
          <a:fillRect/>
        </a:stretch>
      </xdr:blipFill>
      <xdr:spPr>
        <a:xfrm>
          <a:off x="885826" y="689889"/>
          <a:ext cx="8134350" cy="60148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389082</xdr:colOff>
      <xdr:row>26</xdr:row>
      <xdr:rowOff>170893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57200"/>
          <a:ext cx="11552382" cy="4457143"/>
        </a:xfrm>
        <a:prstGeom prst="rect">
          <a:avLst/>
        </a:prstGeom>
      </xdr:spPr>
    </xdr:pic>
    <xdr:clientData/>
  </xdr:twoCellAnchor>
  <xdr:twoCellAnchor editAs="oneCell">
    <xdr:from>
      <xdr:col>0</xdr:col>
      <xdr:colOff>0</xdr:colOff>
      <xdr:row>29</xdr:row>
      <xdr:rowOff>142875</xdr:rowOff>
    </xdr:from>
    <xdr:to>
      <xdr:col>12</xdr:col>
      <xdr:colOff>331939</xdr:colOff>
      <xdr:row>55</xdr:row>
      <xdr:rowOff>132794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514975"/>
          <a:ext cx="11495239" cy="4447619"/>
        </a:xfrm>
        <a:prstGeom prst="rect">
          <a:avLst/>
        </a:prstGeom>
      </xdr:spPr>
    </xdr:pic>
    <xdr:clientData/>
  </xdr:twoCellAnchor>
  <xdr:twoCellAnchor editAs="oneCell">
    <xdr:from>
      <xdr:col>0</xdr:col>
      <xdr:colOff>0</xdr:colOff>
      <xdr:row>61</xdr:row>
      <xdr:rowOff>0</xdr:rowOff>
    </xdr:from>
    <xdr:to>
      <xdr:col>12</xdr:col>
      <xdr:colOff>446225</xdr:colOff>
      <xdr:row>86</xdr:row>
      <xdr:rowOff>75655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63300"/>
          <a:ext cx="11609525" cy="4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贵州省普定县穿洞街道金马新村出让国有建设用地使用权预评估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受贵公司委托，我公司对贵州省普定县穿洞街道金马新村出让国有建设用地使用权进行了预评估。</v>
      </c>
      <c r="AM6" s="2902"/>
    </row>
    <row r="7" spans="1:55" s="2876" customFormat="1">
      <c r="A7" s="2877" t="s">
        <v>2659</v>
      </c>
      <c r="B7" s="2878" t="str">
        <f>'预评函-1'!A6</f>
        <v>估价对象为使用的、位于贵州省普定县穿洞街道金马新村出让国有建设用地使用权。根据《国有土地使用证》[]，估价对象（分摊）出让国有建设用地使用权面积为7460.31平方米。根据《建设工程规划许可证》[]、《出让合同》[]，估价对象规划建筑面积为22380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本次评估为委托估价方了解标的物之市场价格提供参考依据而评估出让国有建设用地使用权市场价格。</v>
      </c>
    </row>
    <row r="10" spans="1:55" s="2876" customFormat="1">
      <c r="A10" s="2877" t="s">
        <v>2661</v>
      </c>
      <c r="B10" s="2878" t="str">
        <f>'预评函-1'!A11</f>
        <v>2018年11月14日（评估专业人员勘察现场之日）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根据《国有土地使用证》[]，估价对象（分摊）出让国有建设用地使用权面积为7460.31平方米。根据《建设工程规划许可证》[]、《出让合同》[]，估价对象规划建筑面积为22380平方米。</v>
      </c>
    </row>
    <row r="16" spans="1:55" s="2876" customFormat="1">
      <c r="A16" s="2877" t="s">
        <v>2671</v>
      </c>
      <c r="B16" s="2878" t="str">
        <f>'预评函-1'!A22</f>
        <v>本次估价对象为出让国有建设用地使用权，《国有土地使用证》[]证载土地终止日期为住宅2087年6月14日、商业2057年6月14日。截至估价期日，出让国有建设用地使用权剩余土地使用年限为。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11月14日，在规划利用条件下、设定土地开发程度为红线外“七通”、宗地内场地平整，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估价期日：2018年11月14日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红线外七通、宗地红线内场地未平整</v>
      </c>
    </row>
    <row r="39" spans="1:2">
      <c r="A39" s="2877" t="s">
        <v>2721</v>
      </c>
      <c r="B39" s="2878" t="str">
        <f>'预评函-2'!L5</f>
        <v>红线外七通、宗地红线内场地平整</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7460.31</v>
      </c>
    </row>
    <row r="44" spans="1:2">
      <c r="A44" s="2877" t="s">
        <v>2742</v>
      </c>
      <c r="B44" s="2878" t="str">
        <f>'预评函-2'!O3</f>
        <v>规划建筑面积/㎡</v>
      </c>
    </row>
    <row r="45" spans="1:2">
      <c r="A45" s="2877" t="s">
        <v>2724</v>
      </c>
      <c r="B45" s="2878">
        <f>'预评函-2'!O5</f>
        <v>22380</v>
      </c>
    </row>
    <row r="46" spans="1:2">
      <c r="A46" s="2877" t="s">
        <v>2725</v>
      </c>
      <c r="B46" s="2878">
        <f ca="1">'预评函-2'!P5</f>
        <v>8047</v>
      </c>
    </row>
    <row r="47" spans="1:2">
      <c r="A47" s="2877" t="s">
        <v>2726</v>
      </c>
      <c r="B47" s="2878">
        <f ca="1">'预评函-2'!Q5</f>
        <v>2682</v>
      </c>
    </row>
    <row r="48" spans="1:2">
      <c r="A48" s="2877" t="s">
        <v>2727</v>
      </c>
      <c r="B48" s="2878">
        <f ca="1">'预评函-2'!R5</f>
        <v>6003</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2.基础设施条件：估价对象实际开发程度为红线外七通、宗地红线内场地未平整；本次评估设定开发程度为红线外七通、宗地红线内场地平整。</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2.本次评估设定估价对象宗地权属无争议，未被查封或者以其他形式限制其房地产权利，未设定抵押权等他项权利，不涉及第三方权利义务。</v>
      </c>
    </row>
    <row r="60" spans="1:2">
      <c r="A60" s="2877" t="s">
        <v>2684</v>
      </c>
      <c r="B60" s="2878" t="str">
        <f>'预评函-3'!A9</f>
        <v>——</v>
      </c>
    </row>
    <row r="61" spans="1:2">
      <c r="A61" s="2877" t="s">
        <v>2686</v>
      </c>
      <c r="B61" s="2878" t="str">
        <f>'预评函-3'!A10</f>
        <v>——</v>
      </c>
    </row>
    <row r="62" spans="1:2">
      <c r="A62" s="2877" t="s">
        <v>2685</v>
      </c>
      <c r="B62" s="2878" t="str">
        <f>'预评函-3'!A11</f>
        <v>——</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v>
      </c>
    </row>
    <row r="66" spans="1:2">
      <c r="A66" s="2877" t="s">
        <v>2690</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SheetLayoutView="90" workbookViewId="0">
      <selection activeCell="I25" sqref="I25"/>
    </sheetView>
  </sheetViews>
  <sheetFormatPr defaultColWidth="10" defaultRowHeight="14.25"/>
  <cols>
    <col min="1" max="1" width="15.375" style="1691" customWidth="1"/>
    <col min="2" max="2" width="11.375" style="1691" customWidth="1"/>
    <col min="3" max="3" width="12.625" style="1691" customWidth="1"/>
    <col min="4" max="4" width="14.1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50" t="str">
        <f>IF(B10="北京市","北京市",C10)&amp;F10&amp;B16&amp;"国有建设用地使用权"&amp;B9&amp;"预评估"</f>
        <v>贵州省普定县穿洞街道金马新村出让国有建设用地使用权预评估</v>
      </c>
      <c r="C1" s="3251"/>
      <c r="D1" s="3251"/>
      <c r="E1" s="3251"/>
      <c r="F1" s="3251"/>
      <c r="G1" s="3251"/>
      <c r="H1" s="3251"/>
      <c r="I1" s="3252"/>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1940</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1941</v>
      </c>
      <c r="B3" s="1662">
        <v>43418</v>
      </c>
      <c r="C3" s="1663" t="s">
        <v>1997</v>
      </c>
      <c r="D3" s="1662">
        <f>B3</f>
        <v>43418</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2891</v>
      </c>
      <c r="C4" s="1846">
        <f>SUMIF(土地估价师,B4,估价师及机构信息!E3:E24)</f>
        <v>0</v>
      </c>
      <c r="D4" s="1843" t="s">
        <v>2891</v>
      </c>
      <c r="E4" s="1846">
        <f>SUMIF(土地估价师,D4,估价师及机构信息!E3:E24)</f>
        <v>0</v>
      </c>
      <c r="F4" s="1843" t="s">
        <v>951</v>
      </c>
      <c r="G4" s="1846">
        <f>SUMIF(土地估价师,F4,估价师及机构信息!E3:E24)</f>
        <v>0</v>
      </c>
      <c r="H4" s="1843" t="s">
        <v>951</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1943</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c r="C8" s="1671"/>
      <c r="D8" s="3256" t="s">
        <v>1946</v>
      </c>
      <c r="E8" s="1844"/>
      <c r="F8" s="1672"/>
      <c r="G8" s="1660"/>
      <c r="H8" s="1660"/>
      <c r="I8" s="1707"/>
      <c r="J8" s="1694"/>
      <c r="K8" s="1774"/>
      <c r="L8" s="1723"/>
      <c r="M8" s="1723"/>
      <c r="N8" s="1694"/>
      <c r="O8" s="1695"/>
      <c r="P8" s="1694"/>
      <c r="Q8" s="1694"/>
      <c r="R8" s="1694"/>
      <c r="S8" s="1694"/>
      <c r="T8" s="1694"/>
      <c r="U8" s="1694"/>
    </row>
    <row r="9" spans="1:21" ht="15" thickBot="1">
      <c r="A9" s="1673" t="s">
        <v>1945</v>
      </c>
      <c r="B9" s="1674"/>
      <c r="C9" s="1675"/>
      <c r="D9" s="3257"/>
      <c r="E9" s="1674"/>
      <c r="F9" s="1747"/>
      <c r="G9" s="1742"/>
      <c r="H9" s="1742"/>
      <c r="I9" s="1743"/>
      <c r="J9" s="1694"/>
      <c r="K9" s="1774"/>
      <c r="L9" s="1723"/>
      <c r="M9" s="1723"/>
      <c r="N9" s="1694"/>
      <c r="O9" s="1695"/>
      <c r="P9" s="1694"/>
      <c r="Q9" s="1694"/>
      <c r="R9" s="1694"/>
      <c r="S9" s="1694"/>
      <c r="T9" s="1694"/>
      <c r="U9" s="1694"/>
    </row>
    <row r="10" spans="1:21" ht="15" thickTop="1">
      <c r="A10" s="1744" t="s">
        <v>2001</v>
      </c>
      <c r="B10" s="1719"/>
      <c r="C10" s="1676"/>
      <c r="D10" s="1667"/>
      <c r="E10" s="1677" t="s">
        <v>1948</v>
      </c>
      <c r="F10" s="1678" t="s">
        <v>2994</v>
      </c>
      <c r="G10" s="1745"/>
      <c r="H10" s="1746"/>
      <c r="I10" s="1667"/>
      <c r="J10" s="1694"/>
      <c r="K10" s="1774"/>
      <c r="L10" s="1723"/>
      <c r="M10" s="1723"/>
      <c r="N10" s="1694"/>
      <c r="O10" s="1695"/>
      <c r="P10" s="1694"/>
      <c r="Q10" s="1694"/>
      <c r="R10" s="1694"/>
      <c r="S10" s="1694"/>
      <c r="T10" s="1694"/>
      <c r="U10" s="1694"/>
    </row>
    <row r="11" spans="1:21">
      <c r="A11" s="1697" t="s">
        <v>2002</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53"/>
      <c r="C12" s="3254"/>
      <c r="D12" s="3255"/>
      <c r="E12" s="1699" t="s">
        <v>2063</v>
      </c>
      <c r="F12" s="3271" t="s">
        <v>2892</v>
      </c>
      <c r="G12" s="3272"/>
      <c r="H12" s="3272"/>
      <c r="I12" s="3273"/>
      <c r="J12" s="1694"/>
      <c r="K12" s="1774"/>
      <c r="L12" s="1723"/>
      <c r="M12" s="1723"/>
      <c r="N12" s="1694"/>
      <c r="O12" s="1695"/>
      <c r="P12" s="1694"/>
      <c r="Q12" s="1694"/>
      <c r="R12" s="1694"/>
      <c r="S12" s="1694"/>
      <c r="T12" s="1694"/>
      <c r="U12" s="1694"/>
    </row>
    <row r="13" spans="1:21">
      <c r="A13" s="1687" t="s">
        <v>2061</v>
      </c>
      <c r="B13" s="3253"/>
      <c r="C13" s="3254"/>
      <c r="D13" s="3255"/>
      <c r="E13" s="1699" t="s">
        <v>2063</v>
      </c>
      <c r="F13" s="3271" t="s">
        <v>2893</v>
      </c>
      <c r="G13" s="3272"/>
      <c r="H13" s="3272"/>
      <c r="I13" s="3273"/>
      <c r="J13" s="1694"/>
      <c r="K13" s="1774"/>
      <c r="L13" s="1723"/>
      <c r="M13" s="1723"/>
      <c r="N13" s="1694"/>
      <c r="O13" s="1695"/>
      <c r="P13" s="1694"/>
      <c r="Q13" s="1694"/>
      <c r="R13" s="1694"/>
      <c r="S13" s="1694"/>
      <c r="T13" s="1694"/>
      <c r="U13" s="1694"/>
    </row>
    <row r="14" spans="1:21">
      <c r="A14" s="1661" t="s">
        <v>2064</v>
      </c>
      <c r="B14" s="1699"/>
      <c r="C14" s="1845" t="s">
        <v>2995</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28.5">
      <c r="A16" s="1680" t="s">
        <v>1949</v>
      </c>
      <c r="B16" s="1681" t="s">
        <v>2982</v>
      </c>
      <c r="C16" s="1699" t="s">
        <v>1950</v>
      </c>
      <c r="D16" s="2645" t="s">
        <v>1951</v>
      </c>
      <c r="E16" s="1722" t="s">
        <v>2983</v>
      </c>
      <c r="F16" s="1722"/>
      <c r="G16" s="1722"/>
      <c r="H16" s="1722"/>
      <c r="I16" s="1686" t="s">
        <v>1956</v>
      </c>
      <c r="J16" s="1694"/>
      <c r="K16" s="2455" t="str">
        <f>IF(D17="","",D16&amp;TEXT(D17,"yyyy年m月d日;;"))</f>
        <v>住宅2087年6月14日</v>
      </c>
      <c r="L16" s="1699" t="str">
        <f>IF(OR(K16="",M16=""),"","、")</f>
        <v>、</v>
      </c>
      <c r="M16" s="2455" t="str">
        <f>IF(E17="","",E16&amp;TEXT(E17,"yyyy年m月d日;;"))</f>
        <v>商业2057年6月14日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1957</v>
      </c>
      <c r="D17" s="1700">
        <v>68467</v>
      </c>
      <c r="E17" s="1700">
        <v>57510</v>
      </c>
      <c r="F17" s="1700"/>
      <c r="G17" s="1700"/>
      <c r="H17" s="1700"/>
      <c r="I17" s="1700"/>
      <c r="J17" s="1694"/>
      <c r="K17" s="2454" t="str">
        <f>CONCATENATE(K16,L16,M16,N16,O16,P16,Q16,R16,S16,T16,,U16)</f>
        <v>住宅2087年6月14日、商业2057年6月14日</v>
      </c>
      <c r="L17" s="1723"/>
      <c r="M17" s="1723"/>
      <c r="N17" s="1694"/>
      <c r="O17" s="1695"/>
      <c r="P17" s="1694"/>
      <c r="Q17" s="1694"/>
      <c r="R17" s="1694"/>
      <c r="S17" s="1694"/>
      <c r="T17" s="1694"/>
      <c r="U17" s="1694"/>
    </row>
    <row r="18" spans="1:21">
      <c r="A18" s="1763"/>
      <c r="B18" s="1682"/>
      <c r="C18" s="1683" t="s">
        <v>1958</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68.62</v>
      </c>
      <c r="E19" s="1685">
        <f>IF(B16="出让",IF(E17="","",ROUNDDOWN(MIN((E17-$D$3)/365,E18),2)),E18)</f>
        <v>38.6</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8"/>
      <c r="E20" s="3269"/>
      <c r="F20" s="3269"/>
      <c r="G20" s="3269"/>
      <c r="H20" s="3269"/>
      <c r="I20" s="3270"/>
      <c r="J20" s="1694"/>
      <c r="K20" s="1774"/>
      <c r="L20" s="1723"/>
      <c r="M20" s="1723"/>
      <c r="N20" s="1694"/>
      <c r="O20" s="1695"/>
      <c r="P20" s="1694"/>
      <c r="Q20" s="1694"/>
      <c r="R20" s="1694"/>
      <c r="S20" s="1694"/>
      <c r="T20" s="1694"/>
      <c r="U20" s="1694"/>
    </row>
    <row r="21" spans="1:21">
      <c r="A21" s="1763" t="s">
        <v>1960</v>
      </c>
      <c r="B21" s="1764" t="s">
        <v>1961</v>
      </c>
      <c r="C21" s="1759">
        <f>'数据-汇总表'!E3</f>
        <v>22380</v>
      </c>
      <c r="D21" s="1760" t="s">
        <v>1962</v>
      </c>
      <c r="E21" s="3258" t="s">
        <v>2000</v>
      </c>
      <c r="F21" s="3259"/>
      <c r="G21" s="3259"/>
      <c r="H21" s="3259"/>
      <c r="I21" s="3260"/>
      <c r="J21" s="1694"/>
      <c r="K21" s="1774"/>
      <c r="L21" s="1723"/>
      <c r="M21" s="1723"/>
      <c r="N21" s="1694"/>
      <c r="O21" s="1695"/>
      <c r="P21" s="1694"/>
      <c r="Q21" s="1694"/>
      <c r="R21" s="1694"/>
      <c r="S21" s="1694"/>
      <c r="T21" s="1694"/>
      <c r="U21" s="1694"/>
    </row>
    <row r="22" spans="1:21">
      <c r="A22" s="3145" t="s">
        <v>951</v>
      </c>
      <c r="B22" s="1661" t="s">
        <v>1963</v>
      </c>
      <c r="C22" s="1686">
        <f>'数据-汇总表'!D3</f>
        <v>7460.31</v>
      </c>
      <c r="D22" s="1687" t="s">
        <v>1962</v>
      </c>
      <c r="E22" s="3258" t="s">
        <v>2894</v>
      </c>
      <c r="F22" s="3259"/>
      <c r="G22" s="3259"/>
      <c r="H22" s="3259"/>
      <c r="I22" s="3260"/>
      <c r="J22" s="1694"/>
      <c r="K22" s="1774"/>
      <c r="L22" s="1723"/>
      <c r="M22" s="1723"/>
      <c r="N22" s="1694"/>
      <c r="O22" s="1695"/>
      <c r="P22" s="1694"/>
      <c r="Q22" s="1694"/>
      <c r="R22" s="1694"/>
      <c r="S22" s="1694"/>
      <c r="T22" s="1694"/>
      <c r="U22" s="1694"/>
    </row>
    <row r="23" spans="1:21" ht="29.25" thickBot="1">
      <c r="A23" s="1765" t="s">
        <v>1964</v>
      </c>
      <c r="B23" s="1701" t="s">
        <v>1965</v>
      </c>
      <c r="C23" s="1702" t="s">
        <v>2984</v>
      </c>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61" t="s">
        <v>1968</v>
      </c>
      <c r="C24" s="3262"/>
      <c r="D24" s="3263" t="s">
        <v>1969</v>
      </c>
      <c r="E24" s="3264"/>
      <c r="F24" s="1708" t="s">
        <v>1970</v>
      </c>
      <c r="G24" s="1694"/>
      <c r="H24" s="1694"/>
      <c r="I24" s="1707"/>
      <c r="J24" s="1694"/>
      <c r="K24" s="3249"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49"/>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9"/>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0"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1"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1"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2"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35" t="s">
        <v>2003</v>
      </c>
      <c r="B31" s="1764" t="s">
        <v>2004</v>
      </c>
      <c r="C31" s="3274" t="s">
        <v>3077</v>
      </c>
      <c r="D31" s="3275"/>
      <c r="E31" s="1694"/>
      <c r="F31" s="1694"/>
      <c r="G31" s="1694"/>
      <c r="H31" s="1694"/>
      <c r="I31" s="1707"/>
      <c r="J31" s="1694"/>
      <c r="K31" s="2457"/>
      <c r="L31" s="1694"/>
      <c r="M31" s="1694"/>
      <c r="N31" s="1694"/>
      <c r="O31" s="1694"/>
      <c r="P31" s="1694"/>
      <c r="Q31" s="1694"/>
      <c r="R31" s="1694"/>
      <c r="S31" s="1694"/>
      <c r="T31" s="1694"/>
      <c r="U31" s="1694"/>
    </row>
    <row r="32" spans="1:21">
      <c r="A32" s="3235"/>
      <c r="B32" s="1661" t="s">
        <v>2005</v>
      </c>
      <c r="C32" s="1719" t="s">
        <v>3078</v>
      </c>
      <c r="D32" s="1720"/>
      <c r="E32" s="1694"/>
      <c r="F32" s="1694"/>
      <c r="G32" s="1694"/>
      <c r="H32" s="1694"/>
      <c r="I32" s="1707"/>
      <c r="J32" s="1694"/>
      <c r="K32" s="2457"/>
      <c r="L32" s="1694"/>
      <c r="M32" s="1694"/>
      <c r="N32" s="1694"/>
      <c r="O32" s="1694"/>
      <c r="P32" s="1694"/>
      <c r="Q32" s="1694"/>
      <c r="R32" s="1694"/>
      <c r="S32" s="1694"/>
      <c r="T32" s="1694"/>
      <c r="U32" s="1694"/>
    </row>
    <row r="33" spans="1:21">
      <c r="A33" s="3235"/>
      <c r="B33" s="1661" t="s">
        <v>2006</v>
      </c>
      <c r="C33" s="1721" t="s">
        <v>2984</v>
      </c>
      <c r="D33" s="1838"/>
      <c r="E33" s="1694"/>
      <c r="F33" s="1694"/>
      <c r="G33" s="1694"/>
      <c r="H33" s="1694"/>
      <c r="I33" s="1707"/>
      <c r="J33" s="1694"/>
      <c r="K33" s="2457"/>
      <c r="L33" s="1694"/>
      <c r="M33" s="1694"/>
      <c r="N33" s="1694"/>
      <c r="O33" s="1694"/>
      <c r="P33" s="1694"/>
      <c r="Q33" s="1694"/>
      <c r="R33" s="1694"/>
      <c r="S33" s="1694"/>
      <c r="T33" s="1694"/>
      <c r="U33" s="1694"/>
    </row>
    <row r="34" spans="1:21">
      <c r="A34" s="3236"/>
      <c r="B34" s="1661" t="s">
        <v>2007</v>
      </c>
      <c r="C34" s="3237"/>
      <c r="D34" s="3238"/>
      <c r="E34" s="1694"/>
      <c r="F34" s="1694"/>
      <c r="G34" s="1694"/>
      <c r="H34" s="1694"/>
      <c r="I34" s="1707"/>
      <c r="J34" s="1694"/>
      <c r="K34" s="2457"/>
      <c r="L34" s="1694"/>
      <c r="M34" s="1694"/>
      <c r="N34" s="1694"/>
      <c r="O34" s="1694"/>
      <c r="P34" s="1694"/>
      <c r="Q34" s="1694"/>
      <c r="R34" s="1694"/>
      <c r="S34" s="1694"/>
      <c r="T34" s="1694"/>
      <c r="U34" s="1694"/>
    </row>
    <row r="35" spans="1:21">
      <c r="A35" s="3239" t="s">
        <v>846</v>
      </c>
      <c r="B35" s="1722" t="s">
        <v>3079</v>
      </c>
      <c r="C35" s="1776" t="str">
        <f>IF(B35="场地平整","——","具体情况：")</f>
        <v>具体情况：</v>
      </c>
      <c r="D35" s="3241" t="s">
        <v>3081</v>
      </c>
      <c r="E35" s="3242"/>
      <c r="F35" s="3242"/>
      <c r="G35" s="3242"/>
      <c r="H35" s="3242"/>
      <c r="I35" s="3243"/>
      <c r="J35" s="1694"/>
      <c r="K35" s="1775"/>
      <c r="L35" s="1723"/>
      <c r="M35" s="1723"/>
      <c r="N35" s="1694"/>
      <c r="O35" s="1695"/>
      <c r="P35" s="1694"/>
      <c r="Q35" s="1694"/>
      <c r="R35" s="1694"/>
      <c r="S35" s="1694"/>
      <c r="T35" s="1694"/>
      <c r="U35" s="1694"/>
    </row>
    <row r="36" spans="1:21" ht="28.5">
      <c r="A36" s="3235"/>
      <c r="B36" s="3244" t="s">
        <v>2056</v>
      </c>
      <c r="C36" s="3245"/>
      <c r="D36" s="1792" t="s">
        <v>3080</v>
      </c>
      <c r="E36" s="3246"/>
      <c r="F36" s="3246"/>
      <c r="G36" s="1687" t="str">
        <f>IF(B35="场地未平整","估价结果处理","")</f>
        <v>估价结果处理</v>
      </c>
      <c r="H36" s="3247"/>
      <c r="I36" s="3247"/>
      <c r="J36" s="1694"/>
      <c r="K36" s="1775"/>
      <c r="L36" s="1723"/>
      <c r="M36" s="1723"/>
      <c r="N36" s="1694"/>
      <c r="O36" s="1695"/>
      <c r="P36" s="1694"/>
      <c r="Q36" s="1694"/>
      <c r="R36" s="1694"/>
      <c r="S36" s="1694"/>
      <c r="T36" s="1694"/>
      <c r="U36" s="1694"/>
    </row>
    <row r="37" spans="1:21" ht="28.5">
      <c r="A37" s="3235"/>
      <c r="B37" s="3265"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35"/>
      <c r="B38" s="3266"/>
      <c r="C38" s="1669" t="s">
        <v>849</v>
      </c>
      <c r="D38" s="1791">
        <f>ROUNDDOWN(MIN(('数据-取费表'!$B$2-D37)/365,D34),1)</f>
        <v>118.9</v>
      </c>
      <c r="E38" s="1727" t="s">
        <v>850</v>
      </c>
      <c r="F38" s="1694"/>
      <c r="G38" s="1694"/>
      <c r="H38" s="1694"/>
      <c r="I38" s="1707"/>
      <c r="J38" s="1694"/>
      <c r="K38" s="1775"/>
      <c r="L38" s="1694"/>
      <c r="M38" s="1694"/>
      <c r="N38" s="1694"/>
      <c r="O38" s="1694"/>
      <c r="P38" s="1694"/>
      <c r="Q38" s="1694"/>
      <c r="R38" s="1694"/>
      <c r="S38" s="1694"/>
      <c r="T38" s="1694"/>
      <c r="U38" s="1694"/>
    </row>
    <row r="39" spans="1:21">
      <c r="A39" s="3236"/>
      <c r="B39" s="326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8" t="s">
        <v>1987</v>
      </c>
      <c r="T40" s="1731" t="str">
        <f>NUMBERSTRING(7-K40,1)&amp;"通"</f>
        <v>七通</v>
      </c>
      <c r="U40" s="1694"/>
    </row>
    <row r="41" spans="1:21">
      <c r="A41" s="1663"/>
      <c r="B41" s="3240" t="s">
        <v>1721</v>
      </c>
      <c r="C41" s="3240"/>
      <c r="D41" s="3240"/>
      <c r="E41" s="3240"/>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8"/>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2895</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2335</v>
      </c>
      <c r="BA2" s="2360"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7460.31</v>
      </c>
      <c r="B3" s="22">
        <f>IF(C3="否",G5-AT5,G5)</f>
        <v>22380</v>
      </c>
      <c r="C3" s="23" t="s">
        <v>2984</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22380</v>
      </c>
      <c r="H5" s="27">
        <f t="shared" ref="H5:AT5" si="0">SUM(H13:H641)</f>
        <v>22380</v>
      </c>
      <c r="I5" s="27">
        <f t="shared" si="0"/>
        <v>20142</v>
      </c>
      <c r="J5" s="27">
        <f t="shared" si="0"/>
        <v>0</v>
      </c>
      <c r="K5" s="27">
        <f t="shared" si="0"/>
        <v>2238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22380</v>
      </c>
      <c r="BA5" s="29">
        <f t="shared" si="1"/>
        <v>22380</v>
      </c>
      <c r="BB5" s="29">
        <f t="shared" si="1"/>
        <v>20142</v>
      </c>
      <c r="BC5" s="29">
        <f t="shared" si="1"/>
        <v>2238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7460.3099999999995</v>
      </c>
      <c r="F6" s="27" t="s">
        <v>1</v>
      </c>
      <c r="G6" s="27" t="s">
        <v>2</v>
      </c>
      <c r="H6" s="33">
        <f>SUMIF(I$12:AB$12,"总值",I6:AB6)</f>
        <v>7460.3099999999995</v>
      </c>
      <c r="I6" s="27">
        <f t="shared" ref="I6:AB6" si="2">ROUND($A$3*I5/$B$3,2)</f>
        <v>6714.28</v>
      </c>
      <c r="J6" s="27">
        <f t="shared" si="2"/>
        <v>0</v>
      </c>
      <c r="K6" s="27">
        <f t="shared" si="2"/>
        <v>746.03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7460.31</v>
      </c>
      <c r="AZ6" s="27" t="s">
        <v>3</v>
      </c>
      <c r="BA6" s="27">
        <f>ROUND($AY$6*BA5/$AZ$5,2)</f>
        <v>7460.31</v>
      </c>
      <c r="BB6" s="27">
        <f>ROUND($AY$6*BB5/$AZ$5,2)</f>
        <v>6714.28</v>
      </c>
      <c r="BC6" s="27">
        <f t="shared" ref="BC6:BH6" si="4">ROUND($AY$6*BC5/$AZ$5,2)</f>
        <v>746.03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2985</v>
      </c>
      <c r="J9" s="51"/>
      <c r="K9" s="3017" t="s">
        <v>2985</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922</v>
      </c>
      <c r="J10" s="51"/>
      <c r="K10" s="3019" t="s">
        <v>2983</v>
      </c>
      <c r="L10" s="51"/>
      <c r="M10" s="3019"/>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2332</v>
      </c>
      <c r="AE11" s="1002"/>
      <c r="AF11" s="2333" t="s">
        <v>2332</v>
      </c>
      <c r="AG11" s="1002"/>
      <c r="AH11" s="2333" t="s">
        <v>2331</v>
      </c>
      <c r="AI11" s="2334"/>
      <c r="AJ11" s="2333" t="s">
        <v>2331</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1678</v>
      </c>
      <c r="E13" s="27">
        <f t="shared" ref="E13:E20" si="6">IF($C$3="是",ROUND($A$3*G13/$B$3,2),ROUND($A$3*(G13-AT13)/$B$3,2))</f>
        <v>7460.31</v>
      </c>
      <c r="F13" s="81"/>
      <c r="G13" s="82">
        <f t="shared" ref="G13:G20" si="7">H13+AC13+AT13</f>
        <v>22380</v>
      </c>
      <c r="H13" s="33">
        <f t="shared" ref="H13:H20" si="8">SUMIF(I$12:AB$12,"总值",I13:AB13)</f>
        <v>22380</v>
      </c>
      <c r="I13" s="3016">
        <f>22380*0.9</f>
        <v>20142</v>
      </c>
      <c r="J13" s="3016"/>
      <c r="K13" s="3016">
        <f>22380*0.1</f>
        <v>2238</v>
      </c>
      <c r="L13" s="3016"/>
      <c r="M13" s="3016"/>
      <c r="N13" s="83"/>
      <c r="O13" s="83"/>
      <c r="P13" s="83"/>
      <c r="Q13" s="83"/>
      <c r="R13" s="83"/>
      <c r="S13" s="83"/>
      <c r="T13" s="83"/>
      <c r="U13" s="83"/>
      <c r="V13" s="83"/>
      <c r="W13" s="83"/>
      <c r="X13" s="83"/>
      <c r="Y13" s="83"/>
      <c r="Z13" s="83"/>
      <c r="AA13" s="83"/>
      <c r="AB13" s="83"/>
      <c r="AC13" s="27">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7460.31</v>
      </c>
      <c r="AZ13" s="27">
        <f t="shared" ref="AZ13:AZ20" si="12">BA13+BL13</f>
        <v>22380</v>
      </c>
      <c r="BA13" s="27">
        <f t="shared" ref="BA13:BA20" si="13">SUM(BB13:BK13)</f>
        <v>22380</v>
      </c>
      <c r="BB13" s="27">
        <f t="shared" ref="BB13:BB20" si="14">IF($D13="是",I13-J13,0)</f>
        <v>20142</v>
      </c>
      <c r="BC13" s="27">
        <f t="shared" ref="BC13:BC20" si="15">IF($D13="是",K13-L13,0)</f>
        <v>2238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7" t="s">
        <v>203</v>
      </c>
      <c r="B2" s="3287"/>
      <c r="C2" s="3287"/>
      <c r="D2" s="1974" t="s">
        <v>204</v>
      </c>
      <c r="E2" s="106" t="s">
        <v>205</v>
      </c>
      <c r="F2" s="1983"/>
      <c r="G2" s="1198"/>
      <c r="H2" s="1199"/>
      <c r="I2" s="1200" t="s">
        <v>856</v>
      </c>
      <c r="J2" s="1983"/>
      <c r="K2" s="1983"/>
      <c r="L2" s="1983"/>
    </row>
    <row r="3" spans="1:16" ht="15.75" thickBot="1">
      <c r="A3" s="3288" t="s">
        <v>206</v>
      </c>
      <c r="B3" s="3288"/>
      <c r="C3" s="3288"/>
      <c r="D3" s="107">
        <f>'数据-基础表'!AY6</f>
        <v>7460.31</v>
      </c>
      <c r="E3" s="107">
        <f>'数据-基础表'!AZ5</f>
        <v>22380</v>
      </c>
      <c r="F3" s="1983"/>
      <c r="G3" s="280" t="s">
        <v>857</v>
      </c>
      <c r="H3" s="275" t="s">
        <v>858</v>
      </c>
      <c r="I3" s="1975">
        <f>ROUND('数据-基础表'!B3/'数据-基础表'!A3,2)</f>
        <v>3</v>
      </c>
      <c r="J3" s="1983"/>
      <c r="K3" s="1983"/>
      <c r="L3" s="1983"/>
    </row>
    <row r="4" spans="1:16" ht="15">
      <c r="A4" s="3289"/>
      <c r="B4" s="3290"/>
      <c r="C4" s="3291"/>
      <c r="D4" s="108" t="s">
        <v>204</v>
      </c>
      <c r="E4" s="109" t="s">
        <v>205</v>
      </c>
      <c r="F4" s="1983"/>
      <c r="G4" s="1201"/>
      <c r="H4" s="275" t="s">
        <v>859</v>
      </c>
      <c r="I4" s="1975">
        <f>ROUND(SUMIF('数据-基础表'!I9:AS9,"地上",'数据-基础表'!I5:AS5)/'数据-基础表'!A3,2)</f>
        <v>3</v>
      </c>
      <c r="J4" s="1983"/>
      <c r="K4" s="1983"/>
      <c r="L4" s="1983"/>
    </row>
    <row r="5" spans="1:16">
      <c r="A5" s="110" t="s">
        <v>207</v>
      </c>
      <c r="B5" s="3292" t="s">
        <v>230</v>
      </c>
      <c r="C5" s="3292"/>
      <c r="D5" s="111">
        <f>ROUND($D$3*E5/$E$3,2)</f>
        <v>6714.28</v>
      </c>
      <c r="E5" s="112">
        <f>SUMIF('数据-基础表'!$11:$11,"住宅",'数据-基础表'!$5:$5)</f>
        <v>20142</v>
      </c>
      <c r="F5" s="1983"/>
      <c r="G5" s="280" t="s">
        <v>860</v>
      </c>
      <c r="H5" s="275" t="s">
        <v>858</v>
      </c>
      <c r="I5" s="1975">
        <f>ROUND(E31/D31,2)</f>
        <v>3</v>
      </c>
      <c r="J5" s="1983"/>
      <c r="K5" s="1983"/>
      <c r="L5" s="1983"/>
    </row>
    <row r="6" spans="1:16" ht="15" thickBot="1">
      <c r="A6" s="113"/>
      <c r="B6" s="3292" t="s">
        <v>208</v>
      </c>
      <c r="C6" s="3292"/>
      <c r="D6" s="111">
        <f>ROUND($D$3*E6/$E$3,2)</f>
        <v>746.03</v>
      </c>
      <c r="E6" s="112">
        <f>E3-E5</f>
        <v>2238</v>
      </c>
      <c r="F6" s="1983"/>
      <c r="G6" s="1201"/>
      <c r="H6" s="275" t="s">
        <v>859</v>
      </c>
      <c r="I6" s="1975">
        <f>ROUND(F31/D31,2)</f>
        <v>3</v>
      </c>
      <c r="J6" s="1983"/>
      <c r="K6" s="1983"/>
      <c r="L6" s="1983"/>
    </row>
    <row r="7" spans="1:16" ht="15">
      <c r="A7" s="3284"/>
      <c r="B7" s="3285"/>
      <c r="C7" s="3286"/>
      <c r="D7" s="108" t="s">
        <v>204</v>
      </c>
      <c r="E7" s="114" t="s">
        <v>231</v>
      </c>
      <c r="F7" s="1983"/>
      <c r="G7" s="1156" t="s">
        <v>1645</v>
      </c>
      <c r="H7" s="1157"/>
      <c r="I7" s="1847"/>
      <c r="J7" s="1983"/>
      <c r="K7" s="1983"/>
      <c r="L7" s="1983"/>
    </row>
    <row r="8" spans="1:16">
      <c r="A8" s="110" t="s">
        <v>209</v>
      </c>
      <c r="B8" s="115" t="s">
        <v>210</v>
      </c>
      <c r="C8" s="111" t="s">
        <v>211</v>
      </c>
      <c r="D8" s="111">
        <f t="shared" ref="D8:D15" si="0">ROUND($D$3*E8/$E$3,2)</f>
        <v>7460.31</v>
      </c>
      <c r="E8" s="116">
        <f>SUMIF('数据-基础表'!BB10:BK10,"地上",'数据-基础表'!BB5:BK5)</f>
        <v>22380</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7460.31</v>
      </c>
      <c r="E16" s="120">
        <f>SUM(E8:E15)</f>
        <v>22380</v>
      </c>
      <c r="F16" s="1983"/>
      <c r="G16" s="1985"/>
      <c r="H16" s="968" t="s">
        <v>219</v>
      </c>
      <c r="I16" s="969"/>
      <c r="J16" s="1983"/>
      <c r="K16" s="3278" t="s">
        <v>2568</v>
      </c>
      <c r="L16" s="3279"/>
      <c r="M16" s="3279"/>
      <c r="N16" s="3279"/>
      <c r="O16" s="3279"/>
      <c r="P16" s="3280"/>
    </row>
    <row r="17" spans="1:19" ht="15">
      <c r="A17" s="121" t="s">
        <v>216</v>
      </c>
      <c r="B17" s="122" t="s">
        <v>217</v>
      </c>
      <c r="C17" s="2297" t="s">
        <v>2315</v>
      </c>
      <c r="D17" s="108" t="s">
        <v>204</v>
      </c>
      <c r="E17" s="124" t="s">
        <v>205</v>
      </c>
      <c r="F17" s="125"/>
      <c r="G17" s="1366"/>
      <c r="H17" s="970" t="s">
        <v>218</v>
      </c>
      <c r="I17" s="971" t="s">
        <v>2314</v>
      </c>
      <c r="J17" s="1983"/>
      <c r="K17" s="3281" t="s">
        <v>2569</v>
      </c>
      <c r="L17" s="3282"/>
      <c r="M17" s="3283"/>
      <c r="N17" s="3281" t="s">
        <v>2570</v>
      </c>
      <c r="O17" s="3282"/>
      <c r="P17" s="3283"/>
      <c r="R17" s="2298" t="s">
        <v>2313</v>
      </c>
      <c r="S17" s="144"/>
    </row>
    <row r="18" spans="1:19" ht="15">
      <c r="A18" s="117"/>
      <c r="B18" s="128"/>
      <c r="C18" s="129"/>
      <c r="D18" s="2641"/>
      <c r="E18" s="130" t="s">
        <v>220</v>
      </c>
      <c r="F18" s="131" t="s">
        <v>221</v>
      </c>
      <c r="G18" s="1367"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3" t="s">
        <v>2986</v>
      </c>
      <c r="D19" s="111">
        <f t="shared" ref="D19:D26" si="1">ROUND($D$3*E19/$E$3,2)</f>
        <v>6714.28</v>
      </c>
      <c r="E19" s="134">
        <f t="shared" ref="E19:E26" si="2">SUM(F19:G19)</f>
        <v>20142</v>
      </c>
      <c r="F19" s="135">
        <f>'数据-基础表'!I13</f>
        <v>20142</v>
      </c>
      <c r="G19" s="1368"/>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6714.28</v>
      </c>
      <c r="S19" s="2300">
        <f t="shared" si="5"/>
        <v>20142</v>
      </c>
    </row>
    <row r="20" spans="1:19">
      <c r="A20" s="138"/>
      <c r="B20" s="115" t="s">
        <v>226</v>
      </c>
      <c r="C20" s="3023" t="s">
        <v>2987</v>
      </c>
      <c r="D20" s="111">
        <f t="shared" si="1"/>
        <v>746.03</v>
      </c>
      <c r="E20" s="134">
        <f t="shared" si="2"/>
        <v>2238</v>
      </c>
      <c r="F20" s="135">
        <f>'数据-基础表'!K13</f>
        <v>2238</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746.03</v>
      </c>
      <c r="S20" s="2300">
        <f t="shared" si="5"/>
        <v>2238</v>
      </c>
    </row>
    <row r="21" spans="1:19">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7460.3099999999995</v>
      </c>
      <c r="E27" s="143">
        <f>IF(SUM(E19:E26)='数据-基础表'!BA5,SUM(E19:E26),IF(F27="地上面积有误","面积有误","地下面积有误"))</f>
        <v>22380</v>
      </c>
      <c r="F27" s="134">
        <f>IF(SUM(F19:F26)=E8,SUM(F19:F26),"地上面积有误")</f>
        <v>22380</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7460.3099999999995</v>
      </c>
      <c r="S27" s="275">
        <f>IF(SUM(S19:S26)=$E$3,SUM(S19:S26),SUM(S19:S26)&amp;"误差"&amp;ROUND(SUM(S19:S26)-E3,2))</f>
        <v>22380</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70"/>
      <c r="B31" s="1371" t="s">
        <v>229</v>
      </c>
      <c r="C31" s="2329" t="s">
        <v>2324</v>
      </c>
      <c r="D31" s="1372">
        <f>D27+D30</f>
        <v>7460.3099999999995</v>
      </c>
      <c r="E31" s="1372">
        <f>E27+E30</f>
        <v>22380</v>
      </c>
      <c r="F31" s="1373">
        <f>F27+F30</f>
        <v>22380</v>
      </c>
      <c r="G31" s="1374">
        <f>G27+G30</f>
        <v>0</v>
      </c>
      <c r="H31" s="1983"/>
      <c r="I31" s="1983"/>
      <c r="J31" s="1983"/>
      <c r="K31" s="1983"/>
      <c r="L31" s="1983"/>
    </row>
    <row r="32" spans="1:19">
      <c r="A32" s="1983"/>
      <c r="B32" s="2362" t="s">
        <v>2323</v>
      </c>
      <c r="C32" s="2646"/>
      <c r="D32" s="1201"/>
      <c r="E32" s="1201">
        <f>SUMIF(C19:C26,"*住宅*",E19:E26)</f>
        <v>20142</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E21" sqref="E2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43418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9" t="s">
        <v>2830</v>
      </c>
      <c r="O5" s="163" t="s">
        <v>246</v>
      </c>
      <c r="P5" s="165" t="s">
        <v>247</v>
      </c>
      <c r="Q5" s="166" t="s">
        <v>248</v>
      </c>
      <c r="R5" s="167" t="s">
        <v>249</v>
      </c>
      <c r="S5" s="2620" t="s">
        <v>2574</v>
      </c>
      <c r="T5" s="168" t="s">
        <v>250</v>
      </c>
      <c r="U5" s="169" t="s">
        <v>251</v>
      </c>
      <c r="V5" s="159" t="s">
        <v>252</v>
      </c>
      <c r="W5" s="159" t="s">
        <v>253</v>
      </c>
      <c r="X5" s="1819"/>
      <c r="Y5" s="170" t="s">
        <v>254</v>
      </c>
      <c r="Z5" s="171" t="s">
        <v>255</v>
      </c>
      <c r="AA5" s="159" t="s">
        <v>252</v>
      </c>
      <c r="AB5" s="159" t="s">
        <v>253</v>
      </c>
      <c r="AC5" s="1820"/>
      <c r="AD5" s="172" t="s">
        <v>254</v>
      </c>
      <c r="AE5" s="1" t="s">
        <v>869</v>
      </c>
      <c r="AF5" s="159" t="s">
        <v>256</v>
      </c>
      <c r="AG5" s="170" t="s">
        <v>257</v>
      </c>
      <c r="AH5" s="1820"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68467</v>
      </c>
      <c r="F6" s="174">
        <f>SUMIF(项目基本情况!D$15:I$15,C6,项目基本情况!D$19:I$19)</f>
        <v>68.62</v>
      </c>
      <c r="G6" s="175">
        <f>IF(ISERROR(ROUND(POWER(1+H6,D6-F6)*(POWER(1+H6,F6)-1)/(POWER(1+H6,D6)-1),3)),0,ROUND(POWER(1+H6,D6-F6)*(POWER(1+H6,F6)-1)/(POWER(1+H6,D6)-1),3))</f>
        <v>0.997</v>
      </c>
      <c r="H6" s="3024">
        <v>4.4999999999999998E-2</v>
      </c>
      <c r="I6" s="3024">
        <v>0.05</v>
      </c>
      <c r="J6" s="176">
        <v>8.5000000000000006E-2</v>
      </c>
      <c r="K6" s="179">
        <f>SUMIF('数据-汇总表'!C$19:C$33,'数据-取费表'!A6,'数据-汇总表'!E$19:E$33)</f>
        <v>20142</v>
      </c>
      <c r="L6" s="3025">
        <v>2000</v>
      </c>
      <c r="M6" s="177">
        <f t="shared" ref="M6:M14" si="0">ROUND(K6*L6/10000,0)</f>
        <v>4028</v>
      </c>
      <c r="N6" s="3026">
        <v>0</v>
      </c>
      <c r="O6" s="177">
        <f>IF($N$5="成新度","——",ROUND(M6*N6,0))</f>
        <v>0</v>
      </c>
      <c r="P6" s="178">
        <f>IF($N$5="成新度","——",M6-O6)</f>
        <v>4028</v>
      </c>
      <c r="Q6" s="3027">
        <v>0.2</v>
      </c>
      <c r="R6" s="179">
        <f>SUMIF('数据-汇总表'!C$19:C$33,A6,'数据-汇总表'!R$19:R$33)</f>
        <v>6714.28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0.95099999999999996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2983</v>
      </c>
      <c r="D7" s="2307">
        <f>SUMIF(项目基本情况!D$15:I$15,C7,项目基本情况!D$18:I$18)</f>
        <v>40</v>
      </c>
      <c r="E7" s="2308">
        <f>IF(B7="","",SUMIF(项目基本情况!D$15:I$15,C7,项目基本情况!D$17:I$17))</f>
        <v>57510</v>
      </c>
      <c r="F7" s="174">
        <f>SUMIF(项目基本情况!D$15:I$15,C7,项目基本情况!D$19:I$19)</f>
        <v>38.6</v>
      </c>
      <c r="G7" s="175">
        <f t="shared" ref="G7:G11" si="2">IF(ISERROR(ROUND(POWER(1+H7,D7-F7)*(POWER(1+H7,F7)-1)/(POWER(1+H7,D7)-1),3)),0,ROUND(POWER(1+H7,D7-F7)*(POWER(1+H7,F7)-1)/(POWER(1+H7,D7)-1),3))</f>
        <v>0.98799999999999999</v>
      </c>
      <c r="H7" s="3024">
        <v>0.05</v>
      </c>
      <c r="I7" s="3024">
        <v>0.06</v>
      </c>
      <c r="J7" s="176">
        <v>8.5000000000000006E-2</v>
      </c>
      <c r="K7" s="179">
        <f>SUMIF('数据-汇总表'!C$19:C$33,'数据-取费表'!A7,'数据-汇总表'!E$19:E$33)</f>
        <v>2238</v>
      </c>
      <c r="L7" s="3025">
        <v>2200</v>
      </c>
      <c r="M7" s="177">
        <f t="shared" si="0"/>
        <v>492</v>
      </c>
      <c r="N7" s="3026">
        <v>0</v>
      </c>
      <c r="O7" s="177">
        <f t="shared" ref="O7:O14" si="3">IF($N$5="成新度","——",ROUND(M7*N7,0))</f>
        <v>0</v>
      </c>
      <c r="P7" s="178">
        <f t="shared" ref="P7:P14" si="4">IF($N$5="成新度","——",M7-O7)</f>
        <v>492</v>
      </c>
      <c r="Q7" s="3027">
        <v>0.25</v>
      </c>
      <c r="R7" s="179">
        <f>SUMIF('数据-汇总表'!C$19:C$33,A7,'数据-汇总表'!R$19:R$33)</f>
        <v>746.03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1.95</v>
      </c>
      <c r="V7" s="181">
        <v>2.5000000000000001E-2</v>
      </c>
      <c r="W7" s="181">
        <v>0.1</v>
      </c>
      <c r="X7" s="2320"/>
      <c r="Y7" s="182">
        <v>1</v>
      </c>
      <c r="Z7" s="183"/>
      <c r="AA7" s="176"/>
      <c r="AB7" s="176"/>
      <c r="AC7" s="2323"/>
      <c r="AD7" s="184"/>
      <c r="AE7" s="972">
        <f t="shared" ref="AE7:AE13" ca="1" si="6">IF(AN7="",0,SUMIF(INDIRECT("'"&amp;AN7&amp;"'"&amp;"!E:E"),$AE$5,INDIRECT("'"&amp;AN7&amp;"'"&amp;"!F:F")))</f>
        <v>37.1</v>
      </c>
      <c r="AF7" s="141"/>
      <c r="AG7" s="1213">
        <f t="shared" ref="AG7:AG13" si="7">IF(AF7="",0,AE7-AF7)</f>
        <v>0</v>
      </c>
      <c r="AH7" s="141"/>
      <c r="AI7" s="187">
        <v>365</v>
      </c>
      <c r="AJ7" s="188"/>
      <c r="AK7" s="189">
        <v>1.4999999999999999E-2</v>
      </c>
      <c r="AL7" s="190">
        <v>1.5E-3</v>
      </c>
      <c r="AM7" s="2389">
        <v>0.02</v>
      </c>
      <c r="AN7" s="2391" t="s">
        <v>2988</v>
      </c>
      <c r="AO7" s="1999"/>
      <c r="AP7" s="1204">
        <f t="shared" ref="AP7:AP13" si="8">ROUND(1-1/(1+H7)^F7,3)</f>
        <v>0.84799999999999998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0.996</v>
      </c>
      <c r="H16" s="203">
        <f>ROUND(SUMPRODUCT(H6:H13,K6:K13)/SUMPRODUCT((H6:H13&gt;0)*(K6:K13)),3)</f>
        <v>4.5999999999999999E-2</v>
      </c>
      <c r="I16" s="204"/>
      <c r="J16" s="204"/>
      <c r="K16" s="205">
        <f>SUM(K6:K15)</f>
        <v>22380</v>
      </c>
      <c r="L16" s="206">
        <f>ROUND(M16*10000/SUM(K6:K14),0)</f>
        <v>2020</v>
      </c>
      <c r="M16" s="206">
        <f>SUM(M6:M14)</f>
        <v>4520</v>
      </c>
      <c r="N16" s="207">
        <f>ROUND(SUMPRODUCT(M6:M14,N6:N14)/M16,3)</f>
        <v>0</v>
      </c>
      <c r="O16" s="206">
        <f>SUM(O6:O14)</f>
        <v>0</v>
      </c>
      <c r="P16" s="206">
        <f>SUM(P6:P14)</f>
        <v>4520</v>
      </c>
      <c r="Q16" s="208">
        <f>ROUND(SUMPRODUCT(Q6:Q13,K6:K13)/SUMPRODUCT((Q6:Q13&gt;0)*(K6:K13)),2)</f>
        <v>0.21</v>
      </c>
      <c r="R16" s="2310">
        <f>SUM(R6:R13)</f>
        <v>7460.3099999999995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0.94099999999999995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89" t="s">
        <v>3074</v>
      </c>
      <c r="T18" s="3189" t="s">
        <v>3075</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t="s">
        <v>3071</v>
      </c>
      <c r="T19" s="1988">
        <v>2</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2337</v>
      </c>
      <c r="D20" s="1992"/>
      <c r="E20" s="1991"/>
      <c r="F20" s="1991"/>
      <c r="G20" s="1991"/>
      <c r="H20" s="1991"/>
      <c r="I20" s="1991"/>
      <c r="J20" s="1991"/>
      <c r="K20" s="1990"/>
      <c r="L20" s="1990"/>
      <c r="M20" s="1988"/>
      <c r="N20" s="1988"/>
      <c r="O20" s="1988"/>
      <c r="P20" s="1988"/>
      <c r="Q20" s="1988"/>
      <c r="R20" s="1988"/>
      <c r="S20" s="1988" t="s">
        <v>3072</v>
      </c>
      <c r="T20" s="1988">
        <f>1.8*0.7</f>
        <v>1.26</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t="s">
        <v>3073</v>
      </c>
      <c r="T21" s="1988">
        <f>(T19+T20)/2</f>
        <v>1.63</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f>(G6*K6+G7*K7)/22380</f>
        <v>0.99609999999999999</v>
      </c>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2340</v>
      </c>
      <c r="B27" s="227">
        <v>75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2341</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2339</v>
      </c>
      <c r="B29" s="232"/>
      <c r="C29" s="1553"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170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1407</v>
      </c>
      <c r="C53" s="3075" t="s">
        <v>2907</v>
      </c>
      <c r="D53" s="3076"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2909</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2910</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2911</v>
      </c>
      <c r="B56" s="3194"/>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2912</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2913</v>
      </c>
      <c r="B58" s="186">
        <v>5</v>
      </c>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2914</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3"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93" t="s">
        <v>1663</v>
      </c>
      <c r="B1" s="3294"/>
      <c r="C1" s="3294"/>
      <c r="D1" s="3294"/>
      <c r="E1" s="3294"/>
      <c r="F1" s="3294"/>
      <c r="G1" s="3294"/>
      <c r="H1" s="2001"/>
      <c r="I1" s="2002"/>
      <c r="J1" s="2003"/>
      <c r="K1" s="2001"/>
      <c r="L1" s="2002"/>
      <c r="M1" s="2003"/>
      <c r="N1" s="2001"/>
      <c r="O1" s="2002"/>
      <c r="P1" s="2003"/>
      <c r="Q1" s="2004"/>
      <c r="R1" s="2005"/>
    </row>
    <row r="2" spans="1:18" ht="14.25" thickBot="1">
      <c r="A2" s="1221"/>
      <c r="B2" s="1222"/>
      <c r="C2" s="1223" t="s">
        <v>1664</v>
      </c>
      <c r="D2" s="1224"/>
      <c r="E2" s="1225"/>
      <c r="F2" s="1226"/>
      <c r="G2" s="1223" t="s">
        <v>1665</v>
      </c>
      <c r="H2" s="2007"/>
      <c r="I2" s="2007"/>
      <c r="J2" s="2007"/>
      <c r="K2" s="2007"/>
      <c r="L2" s="2007"/>
      <c r="M2" s="2007"/>
      <c r="N2" s="2007"/>
      <c r="O2" s="2007"/>
      <c r="P2" s="2007"/>
      <c r="Q2" s="2007"/>
      <c r="R2" s="2007"/>
    </row>
    <row r="3" spans="1:18" ht="54">
      <c r="A3" s="1227" t="s">
        <v>1666</v>
      </c>
      <c r="B3" s="1228" t="s">
        <v>1653</v>
      </c>
      <c r="C3" s="3080" t="s">
        <v>2925</v>
      </c>
      <c r="D3" s="2008"/>
      <c r="E3" s="1229" t="s">
        <v>1666</v>
      </c>
      <c r="F3" s="1230" t="s">
        <v>1654</v>
      </c>
      <c r="G3" s="3084" t="s">
        <v>2924</v>
      </c>
      <c r="H3" s="2007"/>
      <c r="I3" s="2007"/>
      <c r="J3" s="2007"/>
      <c r="K3" s="2007"/>
      <c r="L3" s="2007"/>
      <c r="M3" s="2007"/>
      <c r="N3" s="2007"/>
      <c r="O3" s="2007"/>
      <c r="P3" s="2007"/>
      <c r="Q3" s="2007"/>
      <c r="R3" s="2007"/>
    </row>
    <row r="4" spans="1:18" ht="41.25">
      <c r="A4" s="1229"/>
      <c r="B4" s="1231" t="s">
        <v>1667</v>
      </c>
      <c r="C4" s="3081" t="s">
        <v>2926</v>
      </c>
      <c r="D4" s="2008"/>
      <c r="E4" s="1232"/>
      <c r="F4" s="1233" t="s">
        <v>1668</v>
      </c>
      <c r="G4" s="3082" t="s">
        <v>2921</v>
      </c>
      <c r="H4" s="2007"/>
      <c r="I4" s="2007"/>
      <c r="J4" s="2007"/>
      <c r="K4" s="2007"/>
      <c r="L4" s="2007"/>
      <c r="M4" s="2007"/>
      <c r="N4" s="2007"/>
      <c r="O4" s="2007"/>
      <c r="P4" s="2007"/>
      <c r="Q4" s="2007"/>
      <c r="R4" s="2007"/>
    </row>
    <row r="5" spans="1:18" ht="41.25">
      <c r="A5" s="1229"/>
      <c r="B5" s="1231" t="s">
        <v>1669</v>
      </c>
      <c r="C5" s="3081" t="s">
        <v>2927</v>
      </c>
      <c r="D5" s="2008"/>
      <c r="E5" s="1232"/>
      <c r="F5" s="1231" t="s">
        <v>2548</v>
      </c>
      <c r="G5" s="3082" t="s">
        <v>2922</v>
      </c>
      <c r="H5" s="2007"/>
      <c r="I5" s="2007"/>
      <c r="J5" s="2007"/>
      <c r="K5" s="2007"/>
      <c r="L5" s="2007"/>
      <c r="M5" s="2007"/>
      <c r="N5" s="2007"/>
      <c r="O5" s="2007"/>
      <c r="P5" s="2007"/>
      <c r="Q5" s="2007"/>
      <c r="R5" s="2007"/>
    </row>
    <row r="6" spans="1:18" ht="54">
      <c r="A6" s="1229"/>
      <c r="B6" s="1231" t="s">
        <v>1655</v>
      </c>
      <c r="C6" s="3082" t="s">
        <v>2921</v>
      </c>
      <c r="D6" s="2008"/>
      <c r="E6" s="1232"/>
      <c r="F6" s="1231" t="s">
        <v>2549</v>
      </c>
      <c r="G6" s="3082" t="s">
        <v>2919</v>
      </c>
      <c r="H6" s="2007"/>
      <c r="I6" s="2007"/>
      <c r="J6" s="2007"/>
      <c r="K6" s="2007"/>
      <c r="L6" s="2007"/>
      <c r="M6" s="2007"/>
      <c r="N6" s="2007"/>
      <c r="O6" s="2007"/>
      <c r="P6" s="2007"/>
      <c r="Q6" s="2007"/>
      <c r="R6" s="2007"/>
    </row>
    <row r="7" spans="1:18" ht="41.25" thickBot="1">
      <c r="A7" s="1229"/>
      <c r="B7" s="1231" t="s">
        <v>2548</v>
      </c>
      <c r="C7" s="3082" t="s">
        <v>2922</v>
      </c>
      <c r="D7" s="2009"/>
      <c r="E7" s="1234"/>
      <c r="F7" s="1235" t="s">
        <v>1670</v>
      </c>
      <c r="G7" s="3085" t="s">
        <v>2923</v>
      </c>
      <c r="H7" s="2007"/>
      <c r="I7" s="2007"/>
      <c r="J7" s="2007"/>
      <c r="K7" s="2007"/>
      <c r="L7" s="2007"/>
      <c r="M7" s="2007"/>
      <c r="N7" s="2007"/>
      <c r="O7" s="2007"/>
      <c r="P7" s="2007"/>
      <c r="Q7" s="2007"/>
      <c r="R7" s="2007"/>
    </row>
    <row r="8" spans="1:18" ht="27">
      <c r="A8" s="1229"/>
      <c r="B8" s="1231" t="s">
        <v>2549</v>
      </c>
      <c r="C8" s="3082" t="s">
        <v>2919</v>
      </c>
      <c r="D8" s="2009"/>
      <c r="E8" s="2009"/>
      <c r="F8" s="1554"/>
      <c r="G8" s="1554"/>
      <c r="H8" s="2007"/>
      <c r="I8" s="2007"/>
      <c r="J8" s="2007"/>
      <c r="K8" s="2007"/>
      <c r="L8" s="2007"/>
      <c r="M8" s="2007"/>
      <c r="N8" s="2007"/>
      <c r="O8" s="2007"/>
      <c r="P8" s="2007"/>
      <c r="Q8" s="2007"/>
      <c r="R8" s="2007"/>
    </row>
    <row r="9" spans="1:18" ht="40.5">
      <c r="A9" s="1229"/>
      <c r="B9" s="1231" t="s">
        <v>1656</v>
      </c>
      <c r="C9" s="3081" t="s">
        <v>2920</v>
      </c>
      <c r="D9" s="2008"/>
      <c r="E9" s="2009"/>
      <c r="F9" s="1554"/>
      <c r="G9" s="1554"/>
      <c r="H9" s="2007"/>
      <c r="I9" s="2007"/>
      <c r="J9" s="2007"/>
      <c r="K9" s="2007"/>
      <c r="L9" s="2007"/>
      <c r="M9" s="2007"/>
      <c r="N9" s="2007"/>
      <c r="O9" s="2007"/>
      <c r="P9" s="2007"/>
      <c r="Q9" s="2007"/>
      <c r="R9" s="2007"/>
    </row>
    <row r="10" spans="1:18" s="2015" customFormat="1" ht="15" thickBot="1">
      <c r="A10" s="1236"/>
      <c r="B10" s="1237" t="s">
        <v>1671</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4"/>
      <c r="E13" s="2577"/>
      <c r="F13" s="2577"/>
      <c r="G13" s="2577"/>
    </row>
    <row r="14" spans="1:18" ht="14.25" thickBot="1">
      <c r="A14" s="1238"/>
      <c r="B14" s="1239"/>
      <c r="C14" s="1240" t="s">
        <v>1664</v>
      </c>
      <c r="D14" s="2008"/>
      <c r="E14" s="1241"/>
      <c r="F14" s="1241"/>
      <c r="G14" s="1223" t="s">
        <v>1665</v>
      </c>
    </row>
    <row r="15" spans="1:18" ht="54">
      <c r="A15" s="2587" t="s">
        <v>1657</v>
      </c>
      <c r="B15" s="1242" t="s">
        <v>1653</v>
      </c>
      <c r="C15" s="1243" t="str">
        <f>C3</f>
        <v>估价对象周边居住用地比例、居住小区规模和社区发展完善程度，综合评价居住社区成熟度一般</v>
      </c>
      <c r="D15" s="2008"/>
      <c r="E15" s="2584" t="s">
        <v>1658</v>
      </c>
      <c r="F15" s="1242" t="s">
        <v>1673</v>
      </c>
      <c r="G15" s="1244" t="str">
        <f>G3</f>
        <v>估价对象位于XX开发区，园区建设成熟度XX，产业集聚程度XX</v>
      </c>
    </row>
    <row r="16" spans="1:18" ht="40.5">
      <c r="A16" s="2588"/>
      <c r="B16" s="1245" t="s">
        <v>1667</v>
      </c>
      <c r="C16" s="1246" t="str">
        <f>C4</f>
        <v>估价对象位于XX商圈，周边商业氛围成熟，人流量大，商业繁华度好</v>
      </c>
      <c r="D16" s="2008"/>
      <c r="E16" s="2585"/>
      <c r="F16" s="1247" t="s">
        <v>1668</v>
      </c>
      <c r="G16" s="1005" t="str">
        <f>G4</f>
        <v>估价对象周边道路状况、公共交通通达情况、停车便捷程度，综合评价交通便捷度较好</v>
      </c>
    </row>
    <row r="17" spans="1:7" ht="40.5">
      <c r="A17" s="2588"/>
      <c r="B17" s="1245" t="s">
        <v>1669</v>
      </c>
      <c r="C17" s="1246" t="str">
        <f>C5</f>
        <v>估价对象位于XX商圈，周边办公楼项目较多，入驻率高，办公集聚程度较好</v>
      </c>
      <c r="D17" s="2009"/>
      <c r="E17" s="2585"/>
      <c r="F17" s="1247" t="s">
        <v>1674</v>
      </c>
      <c r="G17" s="2793"/>
    </row>
    <row r="18" spans="1:7" ht="54">
      <c r="A18" s="2588"/>
      <c r="B18" s="1247" t="s">
        <v>1655</v>
      </c>
      <c r="C18" s="1005" t="str">
        <f>C6</f>
        <v>估价对象周边道路状况、公共交通通达情况、停车便捷程度，综合评价交通便捷度较好</v>
      </c>
      <c r="D18" s="2009"/>
      <c r="E18" s="2585"/>
      <c r="F18" s="1247" t="s">
        <v>1670</v>
      </c>
      <c r="G18" s="1005" t="str">
        <f>G7</f>
        <v>该园区内是否有污染型企业，绿化情况，卫生条件，整体环境状况判断</v>
      </c>
    </row>
    <row r="19" spans="1:7" ht="27">
      <c r="A19" s="2588"/>
      <c r="B19" s="1247" t="s">
        <v>1659</v>
      </c>
      <c r="C19" s="2793"/>
      <c r="D19" s="2008"/>
      <c r="E19" s="2585"/>
      <c r="F19" s="1231" t="s">
        <v>2548</v>
      </c>
      <c r="G19" s="1005" t="str">
        <f>G5</f>
        <v>估价对象所在区域公共配套设施齐备情况</v>
      </c>
    </row>
    <row r="20" spans="1:7" ht="40.5">
      <c r="A20" s="2588"/>
      <c r="B20" s="1247" t="s">
        <v>1660</v>
      </c>
      <c r="C20" s="1246" t="str">
        <f>C9</f>
        <v>区域自然环境：；人文环境；综合评价环境状况一般</v>
      </c>
      <c r="D20" s="2009"/>
      <c r="E20" s="2585"/>
      <c r="F20" s="1231" t="s">
        <v>2549</v>
      </c>
      <c r="G20" s="1005" t="str">
        <f>G6</f>
        <v>估价对象所在区域基础设施水平</v>
      </c>
    </row>
    <row r="21" spans="1:7" ht="27">
      <c r="A21" s="2588"/>
      <c r="B21" s="1231" t="s">
        <v>2548</v>
      </c>
      <c r="C21" s="1005" t="str">
        <f>C7</f>
        <v>估价对象所在区域公共配套设施齐备情况</v>
      </c>
      <c r="D21" s="2008"/>
      <c r="E21" s="2585"/>
      <c r="F21" s="1247" t="s">
        <v>1661</v>
      </c>
      <c r="G21" s="3086"/>
    </row>
    <row r="22" spans="1:7" ht="27">
      <c r="A22" s="2588"/>
      <c r="B22" s="1231" t="s">
        <v>2549</v>
      </c>
      <c r="C22" s="1005" t="str">
        <f>C8</f>
        <v>估价对象所在区域基础设施水平</v>
      </c>
      <c r="D22" s="2008"/>
      <c r="E22" s="2585"/>
      <c r="F22" s="1247" t="s">
        <v>1671</v>
      </c>
      <c r="G22" s="2793"/>
    </row>
    <row r="23" spans="1:7" ht="15" thickBot="1">
      <c r="A23" s="2588"/>
      <c r="B23" s="1247" t="s">
        <v>1661</v>
      </c>
      <c r="C23" s="3086"/>
      <c r="E23" s="2586"/>
      <c r="F23" s="1248" t="s">
        <v>1675</v>
      </c>
      <c r="G23" s="3087"/>
    </row>
    <row r="24" spans="1:7" ht="14.25" thickBot="1">
      <c r="A24" s="2589"/>
      <c r="B24" s="1248" t="s">
        <v>1662</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28" sqref="F28"/>
    </sheetView>
  </sheetViews>
  <sheetFormatPr defaultColWidth="14.625" defaultRowHeight="13.5"/>
  <cols>
    <col min="1" max="1" width="24.375" customWidth="1"/>
  </cols>
  <sheetData>
    <row r="1" spans="1:9" ht="16.5">
      <c r="A1" s="3044" t="s">
        <v>2846</v>
      </c>
      <c r="B1" s="3044">
        <f>SUM(B14:B23)</f>
        <v>22380</v>
      </c>
      <c r="C1" s="3045"/>
      <c r="D1" s="3045"/>
      <c r="E1" s="3045"/>
      <c r="F1" s="3045"/>
    </row>
    <row r="2" spans="1:9" ht="16.5">
      <c r="A2" s="3044" t="s">
        <v>2847</v>
      </c>
      <c r="B2" s="3044">
        <f>SUM(C14:C23)</f>
        <v>7460.31</v>
      </c>
      <c r="C2" s="3045"/>
      <c r="D2" s="3045"/>
      <c r="E2" s="3045"/>
      <c r="F2" s="3045"/>
    </row>
    <row r="3" spans="1:9" ht="16.5">
      <c r="A3" s="3044" t="s">
        <v>2848</v>
      </c>
      <c r="B3" s="3046">
        <f>项目基本情况!D3</f>
        <v>43418</v>
      </c>
      <c r="C3" s="3045"/>
      <c r="D3" s="3045"/>
      <c r="E3" s="3045"/>
      <c r="F3" s="3045"/>
    </row>
    <row r="4" spans="1:9" ht="33">
      <c r="A4" s="3044" t="s">
        <v>2849</v>
      </c>
      <c r="B4" s="3044" t="s">
        <v>2850</v>
      </c>
      <c r="C4" s="3044" t="s">
        <v>2851</v>
      </c>
      <c r="D4" s="3044" t="s">
        <v>2852</v>
      </c>
      <c r="E4" s="3045"/>
      <c r="F4" s="3045"/>
    </row>
    <row r="5" spans="1:9" ht="16.5">
      <c r="A5" s="3044" t="s">
        <v>2853</v>
      </c>
      <c r="B5" s="3044">
        <f ca="1">SUM(D14:D23)</f>
        <v>6003</v>
      </c>
      <c r="C5" s="3044">
        <f ca="1">ROUND(B5*10000/$B$1,0)</f>
        <v>2682</v>
      </c>
      <c r="D5" s="3044">
        <f ca="1">ROUND(B5*10000/$B$2,0)</f>
        <v>8047</v>
      </c>
      <c r="E5" s="3045"/>
      <c r="F5" s="3045"/>
    </row>
    <row r="6" spans="1:9" ht="16.5">
      <c r="A6" s="3044" t="s">
        <v>2854</v>
      </c>
      <c r="B6" s="3044">
        <f>SUM(G14:G23)</f>
        <v>0</v>
      </c>
      <c r="C6" s="3044">
        <f t="shared" ref="C6:C8" si="0">ROUND(B6*10000/$B$1,0)</f>
        <v>0</v>
      </c>
      <c r="D6" s="3044">
        <f t="shared" ref="D6:D8" si="1">ROUND(B6*10000/$B$2,0)</f>
        <v>0</v>
      </c>
      <c r="E6" s="3045"/>
      <c r="F6" s="3045"/>
    </row>
    <row r="7" spans="1:9" ht="16.5">
      <c r="A7" s="3044" t="s">
        <v>2855</v>
      </c>
      <c r="B7" s="3044">
        <f>SUM(H14:H23)</f>
        <v>0</v>
      </c>
      <c r="C7" s="3044">
        <f t="shared" si="0"/>
        <v>0</v>
      </c>
      <c r="D7" s="3044">
        <f t="shared" si="1"/>
        <v>0</v>
      </c>
      <c r="E7" s="3045"/>
      <c r="F7" s="3045"/>
    </row>
    <row r="8" spans="1:9" ht="16.5">
      <c r="A8" s="3044" t="s">
        <v>2856</v>
      </c>
      <c r="B8" s="3044">
        <f>SUM(I14:I23)</f>
        <v>0</v>
      </c>
      <c r="C8" s="3044">
        <f t="shared" si="0"/>
        <v>0</v>
      </c>
      <c r="D8" s="3044">
        <f t="shared" si="1"/>
        <v>0</v>
      </c>
      <c r="E8" s="3045"/>
      <c r="F8" s="3045"/>
    </row>
    <row r="9" spans="1:9" ht="16.5">
      <c r="A9" s="3044" t="s">
        <v>2857</v>
      </c>
      <c r="B9" s="3047"/>
      <c r="C9" s="3045"/>
      <c r="D9" s="3045"/>
      <c r="E9" s="3045"/>
      <c r="F9" s="3045"/>
    </row>
    <row r="10" spans="1:9" ht="16.5">
      <c r="A10" s="3044" t="s">
        <v>2858</v>
      </c>
      <c r="B10" s="3047"/>
      <c r="C10" s="3045"/>
      <c r="D10" s="3045"/>
      <c r="E10" s="3045"/>
      <c r="F10" s="3045"/>
    </row>
    <row r="11" spans="1:9" ht="16.5">
      <c r="A11" s="3044" t="s">
        <v>2875</v>
      </c>
      <c r="B11" s="3047"/>
      <c r="C11" s="3045"/>
      <c r="D11" s="3045"/>
      <c r="E11" s="3045"/>
      <c r="F11" s="3045"/>
    </row>
    <row r="12" spans="1:9" ht="16.5">
      <c r="A12" s="3045"/>
      <c r="B12" s="3045"/>
      <c r="C12" s="3045"/>
      <c r="D12" s="3045"/>
      <c r="E12" s="3045"/>
      <c r="F12" s="3045"/>
    </row>
    <row r="13" spans="1:9" ht="33">
      <c r="A13" s="3050" t="s">
        <v>2874</v>
      </c>
      <c r="B13" s="3048" t="s">
        <v>2846</v>
      </c>
      <c r="C13" s="3048" t="s">
        <v>2847</v>
      </c>
      <c r="D13" s="3048" t="s">
        <v>2859</v>
      </c>
      <c r="E13" s="3044" t="s">
        <v>2873</v>
      </c>
      <c r="F13" s="3044" t="s">
        <v>2852</v>
      </c>
      <c r="G13" s="3048" t="s">
        <v>2860</v>
      </c>
      <c r="H13" s="3048" t="s">
        <v>2861</v>
      </c>
      <c r="I13" s="3048" t="s">
        <v>2862</v>
      </c>
    </row>
    <row r="14" spans="1:9" ht="16.5">
      <c r="A14" s="3051" t="s">
        <v>2872</v>
      </c>
      <c r="B14" s="3048">
        <f>结果表!L38</f>
        <v>22380</v>
      </c>
      <c r="C14" s="3048">
        <f>结果表!K38</f>
        <v>7460.31</v>
      </c>
      <c r="D14" s="3048">
        <f ca="1">结果表!C42</f>
        <v>6003</v>
      </c>
      <c r="E14" s="3048">
        <f ca="1">ROUND(D14*10000/B14,0)</f>
        <v>2682</v>
      </c>
      <c r="F14" s="3048">
        <f ca="1">ROUND(D14*10000/C14,0)</f>
        <v>8047</v>
      </c>
      <c r="G14" s="3048" t="str">
        <f>结果表!C44</f>
        <v>——</v>
      </c>
      <c r="H14" s="3048" t="str">
        <f>结果表!C45</f>
        <v>——</v>
      </c>
      <c r="I14" s="3048" t="str">
        <f>结果表!C46</f>
        <v>——</v>
      </c>
    </row>
    <row r="15" spans="1:9" ht="16.5">
      <c r="A15" s="3051" t="s">
        <v>2863</v>
      </c>
      <c r="B15" s="3052"/>
      <c r="C15" s="3052"/>
      <c r="D15" s="3052"/>
      <c r="E15" s="3048" t="e">
        <f t="shared" ref="E15:E23" si="2">ROUND(D15*10000/B15,0)</f>
        <v>#DIV/0!</v>
      </c>
      <c r="F15" s="3048" t="e">
        <f t="shared" ref="F15:F23" si="3">ROUND(D15*10000/C15,0)</f>
        <v>#DIV/0!</v>
      </c>
      <c r="G15" s="3049"/>
      <c r="H15" s="3049"/>
      <c r="I15" s="3052"/>
    </row>
    <row r="16" spans="1:9" ht="16.5">
      <c r="A16" s="3051" t="s">
        <v>2864</v>
      </c>
      <c r="B16" s="3052"/>
      <c r="C16" s="3052"/>
      <c r="D16" s="3052"/>
      <c r="E16" s="3048" t="e">
        <f t="shared" si="2"/>
        <v>#DIV/0!</v>
      </c>
      <c r="F16" s="3048" t="e">
        <f t="shared" si="3"/>
        <v>#DIV/0!</v>
      </c>
      <c r="G16" s="3049"/>
      <c r="H16" s="3049"/>
      <c r="I16" s="3052"/>
    </row>
    <row r="17" spans="1:9" ht="16.5">
      <c r="A17" s="3051" t="s">
        <v>2865</v>
      </c>
      <c r="B17" s="3052"/>
      <c r="C17" s="3052"/>
      <c r="D17" s="3052"/>
      <c r="E17" s="3048" t="e">
        <f t="shared" si="2"/>
        <v>#DIV/0!</v>
      </c>
      <c r="F17" s="3048" t="e">
        <f t="shared" si="3"/>
        <v>#DIV/0!</v>
      </c>
      <c r="G17" s="3049"/>
      <c r="H17" s="3049"/>
      <c r="I17" s="3052"/>
    </row>
    <row r="18" spans="1:9" ht="16.5">
      <c r="A18" s="3051" t="s">
        <v>2866</v>
      </c>
      <c r="B18" s="3052"/>
      <c r="C18" s="3052"/>
      <c r="D18" s="3052"/>
      <c r="E18" s="3048" t="e">
        <f t="shared" si="2"/>
        <v>#DIV/0!</v>
      </c>
      <c r="F18" s="3048" t="e">
        <f t="shared" si="3"/>
        <v>#DIV/0!</v>
      </c>
      <c r="G18" s="3052"/>
      <c r="H18" s="3052"/>
      <c r="I18" s="3052"/>
    </row>
    <row r="19" spans="1:9" ht="16.5">
      <c r="A19" s="3051" t="s">
        <v>2867</v>
      </c>
      <c r="B19" s="3052"/>
      <c r="C19" s="3052"/>
      <c r="D19" s="3052"/>
      <c r="E19" s="3048" t="e">
        <f t="shared" si="2"/>
        <v>#DIV/0!</v>
      </c>
      <c r="F19" s="3048" t="e">
        <f t="shared" si="3"/>
        <v>#DIV/0!</v>
      </c>
      <c r="G19" s="3052"/>
      <c r="H19" s="3052"/>
      <c r="I19" s="3052"/>
    </row>
    <row r="20" spans="1:9" ht="16.5">
      <c r="A20" s="3051" t="s">
        <v>2868</v>
      </c>
      <c r="B20" s="3052"/>
      <c r="C20" s="3052"/>
      <c r="D20" s="3052"/>
      <c r="E20" s="3048" t="e">
        <f t="shared" si="2"/>
        <v>#DIV/0!</v>
      </c>
      <c r="F20" s="3048" t="e">
        <f t="shared" si="3"/>
        <v>#DIV/0!</v>
      </c>
      <c r="G20" s="3052"/>
      <c r="H20" s="3052"/>
      <c r="I20" s="3052"/>
    </row>
    <row r="21" spans="1:9" ht="16.5">
      <c r="A21" s="3051" t="s">
        <v>2869</v>
      </c>
      <c r="B21" s="3052"/>
      <c r="C21" s="3052"/>
      <c r="D21" s="3052"/>
      <c r="E21" s="3048" t="e">
        <f t="shared" si="2"/>
        <v>#DIV/0!</v>
      </c>
      <c r="F21" s="3048" t="e">
        <f t="shared" si="3"/>
        <v>#DIV/0!</v>
      </c>
      <c r="G21" s="3052"/>
      <c r="H21" s="3052"/>
      <c r="I21" s="3052"/>
    </row>
    <row r="22" spans="1:9" ht="16.5">
      <c r="A22" s="3051" t="s">
        <v>2870</v>
      </c>
      <c r="B22" s="3052"/>
      <c r="C22" s="3052"/>
      <c r="D22" s="3052"/>
      <c r="E22" s="3048" t="e">
        <f t="shared" si="2"/>
        <v>#DIV/0!</v>
      </c>
      <c r="F22" s="3048" t="e">
        <f t="shared" si="3"/>
        <v>#DIV/0!</v>
      </c>
      <c r="G22" s="3052"/>
      <c r="H22" s="3052"/>
      <c r="I22" s="3052"/>
    </row>
    <row r="23" spans="1:9" ht="16.5">
      <c r="A23" s="3051" t="s">
        <v>2871</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C4" zoomScale="96" zoomScaleSheetLayoutView="96" zoomScalePageLayoutView="80" workbookViewId="0">
      <selection activeCell="B35" sqref="B34:B35"/>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c r="E1" s="1806" t="s">
        <v>2059</v>
      </c>
      <c r="F1" s="1808"/>
      <c r="G1" s="311"/>
      <c r="H1" s="311"/>
      <c r="I1" s="311"/>
      <c r="J1" s="2028"/>
      <c r="K1" s="2028"/>
      <c r="L1" s="2028"/>
      <c r="M1" s="2028"/>
      <c r="N1" s="2028"/>
      <c r="O1" s="2028"/>
      <c r="P1" s="2028"/>
      <c r="Q1" s="2028"/>
      <c r="R1" s="2028"/>
      <c r="S1" s="2028"/>
      <c r="T1" s="2028"/>
      <c r="U1" s="2028"/>
      <c r="V1" s="2028"/>
    </row>
    <row r="2" spans="1:22" ht="21.75" customHeight="1" thickBot="1">
      <c r="A2" s="3331" t="str">
        <f>项目基本情况!K2</f>
        <v>贵州省普定县穿洞街道金马新村出让国有建设用地使用权</v>
      </c>
      <c r="B2" s="3332"/>
      <c r="C2" s="3333"/>
      <c r="D2" s="3333"/>
      <c r="E2" s="3333"/>
      <c r="F2" s="3333"/>
      <c r="G2" s="3332"/>
      <c r="H2" s="3332"/>
      <c r="I2" s="3334"/>
      <c r="J2" s="2029"/>
      <c r="K2" s="2028"/>
      <c r="L2" s="2028"/>
      <c r="M2" s="2028"/>
      <c r="N2" s="2028"/>
      <c r="O2" s="2028"/>
      <c r="P2" s="2028"/>
      <c r="Q2" s="2028"/>
      <c r="R2" s="2028"/>
      <c r="S2" s="2028"/>
      <c r="T2" s="2028"/>
      <c r="U2" s="2028"/>
      <c r="V2" s="2028"/>
    </row>
    <row r="3" spans="1:22" ht="14.25">
      <c r="A3" s="3324" t="s">
        <v>298</v>
      </c>
      <c r="B3" s="3325"/>
      <c r="C3" s="3325"/>
      <c r="D3" s="3325"/>
      <c r="E3" s="3325"/>
      <c r="F3" s="3325"/>
      <c r="G3" s="3325"/>
      <c r="H3" s="3325"/>
      <c r="I3" s="3325"/>
      <c r="J3" s="2029"/>
      <c r="K3" s="2028"/>
      <c r="L3" s="2028"/>
      <c r="M3" s="2028"/>
      <c r="N3" s="2028"/>
      <c r="O3" s="2028"/>
      <c r="P3" s="2028"/>
      <c r="Q3" s="2028"/>
      <c r="R3" s="2028"/>
      <c r="S3" s="2028"/>
      <c r="T3" s="2028"/>
      <c r="U3" s="2028"/>
      <c r="V3" s="2028"/>
    </row>
    <row r="4" spans="1:22" ht="14.25">
      <c r="A4" s="258" t="s">
        <v>299</v>
      </c>
      <c r="B4" s="259" t="s">
        <v>300</v>
      </c>
      <c r="C4" s="260" t="s">
        <v>2989</v>
      </c>
      <c r="D4" s="260" t="s">
        <v>2990</v>
      </c>
      <c r="E4" s="3296" t="s">
        <v>301</v>
      </c>
      <c r="F4" s="3297"/>
      <c r="G4" s="3297"/>
      <c r="H4" s="3297"/>
      <c r="I4" s="332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95" t="s">
        <v>302</v>
      </c>
      <c r="B5" s="3321">
        <v>25</v>
      </c>
      <c r="C5" s="3319"/>
      <c r="D5" s="3323"/>
      <c r="E5" s="261" t="s">
        <v>303</v>
      </c>
      <c r="F5" s="262"/>
      <c r="G5" s="262"/>
      <c r="H5" s="262"/>
      <c r="I5" s="263"/>
      <c r="J5" s="2029"/>
      <c r="K5" s="2028"/>
      <c r="L5" s="2028"/>
      <c r="M5" s="2028"/>
      <c r="N5" s="2028"/>
      <c r="O5" s="2028"/>
      <c r="P5" s="2028"/>
      <c r="Q5" s="2028"/>
      <c r="R5" s="2028"/>
      <c r="S5" s="2028"/>
      <c r="T5" s="2028"/>
      <c r="U5" s="2028"/>
      <c r="V5" s="2028"/>
    </row>
    <row r="6" spans="1:22" ht="14.25">
      <c r="A6" s="3295"/>
      <c r="B6" s="3321"/>
      <c r="C6" s="3322"/>
      <c r="D6" s="3323"/>
      <c r="E6" s="261" t="s">
        <v>304</v>
      </c>
      <c r="F6" s="262"/>
      <c r="G6" s="262"/>
      <c r="H6" s="262"/>
      <c r="I6" s="263"/>
      <c r="J6" s="2029"/>
      <c r="K6" s="2028"/>
      <c r="L6" s="2028"/>
      <c r="M6" s="2028"/>
      <c r="N6" s="2028"/>
      <c r="O6" s="2028"/>
      <c r="P6" s="2028"/>
      <c r="Q6" s="2028"/>
      <c r="R6" s="2028"/>
      <c r="S6" s="2028"/>
      <c r="T6" s="2028"/>
      <c r="U6" s="2028"/>
      <c r="V6" s="2028"/>
    </row>
    <row r="7" spans="1:22" ht="14.25">
      <c r="A7" s="3295"/>
      <c r="B7" s="3321"/>
      <c r="C7" s="3320"/>
      <c r="D7" s="3323"/>
      <c r="E7" s="261" t="s">
        <v>305</v>
      </c>
      <c r="F7" s="262"/>
      <c r="G7" s="262"/>
      <c r="H7" s="262"/>
      <c r="I7" s="263"/>
      <c r="J7" s="2029"/>
      <c r="K7" s="2028"/>
      <c r="L7" s="2028"/>
      <c r="M7" s="2028"/>
      <c r="N7" s="2028"/>
      <c r="O7" s="2028"/>
      <c r="P7" s="2028"/>
      <c r="Q7" s="2028"/>
      <c r="R7" s="2028"/>
      <c r="S7" s="2028"/>
      <c r="T7" s="2028"/>
      <c r="U7" s="2028"/>
      <c r="V7" s="2028"/>
    </row>
    <row r="8" spans="1:22" ht="14.25">
      <c r="A8" s="3295" t="s">
        <v>306</v>
      </c>
      <c r="B8" s="3321">
        <v>15</v>
      </c>
      <c r="C8" s="3319"/>
      <c r="D8" s="3323"/>
      <c r="E8" s="261" t="s">
        <v>307</v>
      </c>
      <c r="F8" s="262"/>
      <c r="G8" s="262"/>
      <c r="H8" s="262"/>
      <c r="I8" s="263"/>
      <c r="J8" s="2029"/>
      <c r="K8" s="2028"/>
      <c r="L8" s="2028"/>
      <c r="M8" s="2028"/>
      <c r="N8" s="2028"/>
      <c r="O8" s="2028"/>
      <c r="P8" s="2028"/>
      <c r="Q8" s="2028"/>
      <c r="R8" s="2028"/>
      <c r="S8" s="2028"/>
      <c r="T8" s="2028"/>
      <c r="U8" s="2028"/>
      <c r="V8" s="2028"/>
    </row>
    <row r="9" spans="1:22" ht="14.25">
      <c r="A9" s="3295"/>
      <c r="B9" s="3321"/>
      <c r="C9" s="3320"/>
      <c r="D9" s="3323"/>
      <c r="E9" s="261" t="s">
        <v>308</v>
      </c>
      <c r="F9" s="262"/>
      <c r="G9" s="262"/>
      <c r="H9" s="262"/>
      <c r="I9" s="263"/>
      <c r="J9" s="2029"/>
      <c r="K9" s="2028"/>
      <c r="L9" s="2028"/>
      <c r="M9" s="2028"/>
      <c r="N9" s="2028"/>
      <c r="O9" s="2028"/>
      <c r="P9" s="2028"/>
      <c r="Q9" s="2028"/>
      <c r="R9" s="2028"/>
      <c r="S9" s="2028"/>
      <c r="T9" s="2028"/>
      <c r="U9" s="2028"/>
      <c r="V9" s="2028"/>
    </row>
    <row r="10" spans="1:22" ht="14.25">
      <c r="A10" s="3295" t="s">
        <v>309</v>
      </c>
      <c r="B10" s="3321">
        <v>15</v>
      </c>
      <c r="C10" s="3319"/>
      <c r="D10" s="3323"/>
      <c r="E10" s="261" t="s">
        <v>310</v>
      </c>
      <c r="F10" s="262"/>
      <c r="G10" s="262"/>
      <c r="H10" s="262"/>
      <c r="I10" s="263"/>
      <c r="J10" s="2029"/>
      <c r="K10" s="2028"/>
      <c r="L10" s="2028"/>
      <c r="M10" s="2028"/>
      <c r="N10" s="2028"/>
      <c r="O10" s="2028"/>
      <c r="P10" s="2028"/>
      <c r="Q10" s="2028"/>
      <c r="R10" s="2028"/>
      <c r="S10" s="2028"/>
      <c r="T10" s="2028"/>
      <c r="U10" s="2028"/>
      <c r="V10" s="2028"/>
    </row>
    <row r="11" spans="1:22" ht="14.25">
      <c r="A11" s="3295"/>
      <c r="B11" s="3321"/>
      <c r="C11" s="3320"/>
      <c r="D11" s="3323"/>
      <c r="E11" s="261" t="s">
        <v>311</v>
      </c>
      <c r="F11" s="262"/>
      <c r="G11" s="262"/>
      <c r="H11" s="262"/>
      <c r="I11" s="263"/>
      <c r="J11" s="2029"/>
      <c r="K11" s="2028"/>
      <c r="L11" s="2028"/>
      <c r="M11" s="2028"/>
      <c r="N11" s="2028"/>
      <c r="O11" s="2028"/>
      <c r="P11" s="2028"/>
      <c r="Q11" s="2028"/>
      <c r="R11" s="2028"/>
      <c r="S11" s="2028"/>
      <c r="T11" s="2028"/>
      <c r="U11" s="2028"/>
      <c r="V11" s="2028"/>
    </row>
    <row r="12" spans="1:22" ht="14.25">
      <c r="A12" s="3295" t="s">
        <v>312</v>
      </c>
      <c r="B12" s="3321">
        <v>15</v>
      </c>
      <c r="C12" s="3319"/>
      <c r="D12" s="3323"/>
      <c r="E12" s="261" t="s">
        <v>313</v>
      </c>
      <c r="F12" s="262"/>
      <c r="G12" s="262"/>
      <c r="H12" s="262"/>
      <c r="I12" s="263"/>
      <c r="J12" s="2029"/>
      <c r="K12" s="2028"/>
      <c r="L12" s="2028"/>
      <c r="M12" s="2028"/>
      <c r="N12" s="2028"/>
      <c r="O12" s="2028"/>
      <c r="P12" s="2028"/>
      <c r="Q12" s="2028"/>
      <c r="R12" s="2028"/>
      <c r="S12" s="2028"/>
      <c r="T12" s="2028"/>
      <c r="U12" s="2028"/>
      <c r="V12" s="2028"/>
    </row>
    <row r="13" spans="1:22" ht="14.25">
      <c r="A13" s="3295"/>
      <c r="B13" s="3321"/>
      <c r="C13" s="3320"/>
      <c r="D13" s="3323"/>
      <c r="E13" s="261" t="s">
        <v>314</v>
      </c>
      <c r="F13" s="262"/>
      <c r="G13" s="262"/>
      <c r="H13" s="262"/>
      <c r="I13" s="263"/>
      <c r="J13" s="2029"/>
      <c r="K13" s="2028"/>
      <c r="L13" s="2028"/>
      <c r="M13" s="2028"/>
      <c r="N13" s="2028"/>
      <c r="O13" s="2028"/>
      <c r="P13" s="2028"/>
      <c r="Q13" s="2028"/>
      <c r="R13" s="2028"/>
      <c r="S13" s="2028"/>
      <c r="T13" s="2028"/>
      <c r="U13" s="2028"/>
      <c r="V13" s="2028"/>
    </row>
    <row r="14" spans="1:22" ht="14.25">
      <c r="A14" s="3295" t="s">
        <v>315</v>
      </c>
      <c r="B14" s="3321">
        <v>30</v>
      </c>
      <c r="C14" s="3319">
        <v>5</v>
      </c>
      <c r="D14" s="3323">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95"/>
      <c r="B15" s="3321"/>
      <c r="C15" s="3322"/>
      <c r="D15" s="3323"/>
      <c r="E15" s="261" t="s">
        <v>317</v>
      </c>
      <c r="F15" s="262"/>
      <c r="G15" s="262"/>
      <c r="H15" s="262"/>
      <c r="I15" s="263"/>
      <c r="J15" s="2029"/>
      <c r="K15" s="2028"/>
      <c r="L15" s="2028"/>
      <c r="M15" s="2028"/>
      <c r="N15" s="2028"/>
      <c r="O15" s="2028"/>
      <c r="P15" s="2028"/>
      <c r="Q15" s="2028"/>
      <c r="R15" s="2028"/>
      <c r="S15" s="2028"/>
      <c r="T15" s="2028"/>
      <c r="U15" s="2028"/>
      <c r="V15" s="2028"/>
    </row>
    <row r="16" spans="1:22" ht="14.25">
      <c r="A16" s="3295"/>
      <c r="B16" s="3321"/>
      <c r="C16" s="3320"/>
      <c r="D16" s="332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6430</v>
      </c>
      <c r="D19" s="271">
        <f ca="1">SUMIF(INDIRECT("'"&amp;D4&amp;"'"&amp;"!A:A"),结果表!B19,INDIRECT("'"&amp;D4&amp;"'"&amp;"!B:B"))</f>
        <v>5575</v>
      </c>
      <c r="E19" s="268" t="s">
        <v>323</v>
      </c>
      <c r="F19" s="269" t="s">
        <v>322</v>
      </c>
      <c r="G19" s="272">
        <f ca="1">ROUND(C19*$C$18+D19*$D$18,0)</f>
        <v>6003</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2873</v>
      </c>
      <c r="D20" s="277">
        <f ca="1">SUMIF(INDIRECT("'"&amp;D4&amp;"'"&amp;"!A:A"),结果表!B20,INDIRECT("'"&amp;D4&amp;"'"&amp;"!B:B"))</f>
        <v>2491</v>
      </c>
      <c r="E20" s="274"/>
      <c r="F20" s="275" t="s">
        <v>325</v>
      </c>
      <c r="G20" s="278">
        <f ca="1">ROUND(C20*$C$18+D20*$D$18,0)</f>
        <v>2682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8619</v>
      </c>
      <c r="D21" s="151">
        <f ca="1">SUMIF(INDIRECT("'"&amp;D4&amp;"'"&amp;"!A:A"),结果表!B21,INDIRECT("'"&amp;D4&amp;"'"&amp;"!B:B"))</f>
        <v>7473</v>
      </c>
      <c r="E21" s="274"/>
      <c r="F21" s="280" t="s">
        <v>327</v>
      </c>
      <c r="G21" s="282">
        <f ca="1">ROUND(C21*$C$18+D21*$D$18,0)</f>
        <v>8046</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0.15336322869955166</v>
      </c>
      <c r="E22" s="284"/>
      <c r="F22" s="285"/>
      <c r="G22" s="286">
        <f ca="1">ROUND(G19/('数据-汇总表'!D3/666.67),0)</f>
        <v>536</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0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02"/>
      <c r="B25" s="1321" t="s">
        <v>331</v>
      </c>
      <c r="C25" s="290">
        <f>IF(B30=0,0,C30)</f>
        <v>0</v>
      </c>
      <c r="D25" s="291"/>
      <c r="E25" s="311"/>
      <c r="F25" s="311"/>
      <c r="G25" s="311"/>
      <c r="H25" s="311"/>
      <c r="I25" s="311"/>
      <c r="J25" s="2028"/>
      <c r="K25" s="1255" t="str">
        <f ca="1">项目基本情况!B16&amp;"国有建设用地使用权价格："&amp;O38&amp;"万元"</f>
        <v>出让国有建设用地使用权价格：6003万元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大写金额：人民币陆仟零叁万元整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单位面积地价：8047元/平方米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楼面地价：2682元/平方米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7" t="s">
        <v>336</v>
      </c>
      <c r="B30" s="309"/>
      <c r="C30" s="309"/>
      <c r="D30" s="310"/>
      <c r="E30" s="3128" t="s">
        <v>2968</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337</v>
      </c>
      <c r="B32" s="1382" t="s">
        <v>1688</v>
      </c>
      <c r="C32" s="1383">
        <f ca="1">G19-C24</f>
        <v>6003</v>
      </c>
      <c r="D32" s="1384"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340</v>
      </c>
      <c r="B33" s="1385" t="s">
        <v>1690</v>
      </c>
      <c r="C33" s="264">
        <f ca="1">ROUND(C32*10000/'数据-汇总表'!E3,0)</f>
        <v>2682</v>
      </c>
      <c r="D33" s="1386" t="s">
        <v>1691</v>
      </c>
      <c r="E33" s="3301"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1692</v>
      </c>
      <c r="C34" s="264">
        <f ca="1">ROUND(C32*10000/'数据-汇总表'!D3,0)</f>
        <v>8047</v>
      </c>
      <c r="D34" s="1388" t="s">
        <v>1691</v>
      </c>
      <c r="E34" s="3342"/>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536</v>
      </c>
      <c r="D35" s="1391" t="s">
        <v>1693</v>
      </c>
      <c r="E35" s="3343"/>
      <c r="F35" s="301" t="s">
        <v>342</v>
      </c>
      <c r="G35" s="982"/>
      <c r="H35" s="981" t="s">
        <v>343</v>
      </c>
      <c r="I35" s="311"/>
      <c r="J35" s="2028"/>
      <c r="K35" s="3316" t="s">
        <v>350</v>
      </c>
      <c r="L35" s="3316" t="s">
        <v>351</v>
      </c>
      <c r="M35" s="1264" t="s">
        <v>352</v>
      </c>
      <c r="N35" s="3316" t="s">
        <v>353</v>
      </c>
      <c r="O35" s="3316" t="s">
        <v>354</v>
      </c>
      <c r="P35" s="2028"/>
      <c r="V35" s="2028"/>
    </row>
    <row r="36" spans="1:26" ht="16.5" customHeight="1">
      <c r="A36" s="303" t="s">
        <v>344</v>
      </c>
      <c r="B36" s="304" t="s">
        <v>333</v>
      </c>
      <c r="C36" s="305" t="s">
        <v>345</v>
      </c>
      <c r="D36" s="305" t="s">
        <v>346</v>
      </c>
      <c r="E36" s="306" t="s">
        <v>347</v>
      </c>
      <c r="F36" s="311"/>
      <c r="G36" s="311"/>
      <c r="H36" s="311"/>
      <c r="I36" s="311"/>
      <c r="J36" s="2030"/>
      <c r="K36" s="3317"/>
      <c r="L36" s="3317"/>
      <c r="M36" s="1266" t="s">
        <v>355</v>
      </c>
      <c r="N36" s="3317"/>
      <c r="O36" s="3317"/>
      <c r="P36" s="2028"/>
      <c r="V36" s="2028"/>
    </row>
    <row r="37" spans="1:26" ht="16.5" customHeight="1" thickBot="1">
      <c r="A37" s="1260" t="s">
        <v>348</v>
      </c>
      <c r="B37" s="307"/>
      <c r="C37" s="294"/>
      <c r="D37" s="294"/>
      <c r="E37" s="295"/>
      <c r="F37" s="311"/>
      <c r="G37" s="311"/>
      <c r="H37" s="311"/>
      <c r="I37" s="311"/>
      <c r="J37" s="2030"/>
      <c r="K37" s="3318"/>
      <c r="L37" s="3318"/>
      <c r="M37" s="1267"/>
      <c r="N37" s="3318"/>
      <c r="O37" s="3318"/>
      <c r="P37" s="2028"/>
      <c r="V37" s="2028"/>
    </row>
    <row r="38" spans="1:26" ht="16.5" customHeight="1" thickBot="1">
      <c r="A38" s="1260" t="s">
        <v>349</v>
      </c>
      <c r="B38" s="307"/>
      <c r="C38" s="294"/>
      <c r="D38" s="294"/>
      <c r="E38" s="295"/>
      <c r="F38" s="311"/>
      <c r="G38" s="311"/>
      <c r="H38" s="311"/>
      <c r="I38" s="311"/>
      <c r="J38" s="2030"/>
      <c r="K38" s="1268">
        <f>'数据-汇总表'!D3</f>
        <v>7460.31</v>
      </c>
      <c r="L38" s="1269">
        <f>'数据-汇总表'!E3</f>
        <v>22380</v>
      </c>
      <c r="M38" s="1269">
        <f ca="1">C34</f>
        <v>8047</v>
      </c>
      <c r="N38" s="1269">
        <f ca="1">C33</f>
        <v>2682</v>
      </c>
      <c r="O38" s="1270">
        <f ca="1">C32</f>
        <v>6003</v>
      </c>
      <c r="P38" s="2028"/>
      <c r="V38" s="2028"/>
    </row>
    <row r="39" spans="1:26" ht="16.5" customHeight="1" thickBot="1">
      <c r="A39" s="1265"/>
      <c r="B39" s="308"/>
      <c r="C39" s="309"/>
      <c r="D39" s="309"/>
      <c r="E39" s="310"/>
      <c r="F39" s="311"/>
      <c r="G39" s="311"/>
      <c r="H39" s="311"/>
      <c r="I39" s="311"/>
      <c r="J39" s="2030"/>
      <c r="K39" s="3361" t="str">
        <f>MID(A44,3,LEN(A44)-2)</f>
        <v/>
      </c>
      <c r="L39" s="3362"/>
      <c r="M39" s="3362"/>
      <c r="N39" s="3363"/>
      <c r="O39" s="1393" t="str">
        <f>C44</f>
        <v>——</v>
      </c>
      <c r="P39" s="2028"/>
      <c r="V39" s="2028"/>
    </row>
    <row r="40" spans="1:26" ht="19.5" thickBot="1">
      <c r="A40" s="104" t="s">
        <v>872</v>
      </c>
      <c r="B40" s="311"/>
      <c r="C40" s="311"/>
      <c r="D40" s="311"/>
      <c r="E40" s="311"/>
      <c r="F40" s="311"/>
      <c r="G40" s="311"/>
      <c r="H40" s="311"/>
      <c r="I40" s="311"/>
      <c r="J40" s="2030"/>
      <c r="K40" s="3361" t="str">
        <f t="shared" ref="K40:K41" si="0">MID(A45,3,LEN(A45)-2)</f>
        <v/>
      </c>
      <c r="L40" s="3362"/>
      <c r="M40" s="3362"/>
      <c r="N40" s="3363"/>
      <c r="O40" s="1393" t="str">
        <f>C45</f>
        <v>——</v>
      </c>
      <c r="P40" s="2028"/>
      <c r="V40" s="2028"/>
    </row>
    <row r="41" spans="1:26" ht="16.5" thickBot="1">
      <c r="A41" s="312" t="s">
        <v>356</v>
      </c>
      <c r="B41" s="313"/>
      <c r="C41" s="314" t="s">
        <v>357</v>
      </c>
      <c r="D41" s="315" t="s">
        <v>358</v>
      </c>
      <c r="E41" s="315" t="s">
        <v>359</v>
      </c>
      <c r="F41" s="316" t="s">
        <v>360</v>
      </c>
      <c r="G41" s="311"/>
      <c r="H41" s="311"/>
      <c r="I41" s="311"/>
      <c r="J41" s="2030"/>
      <c r="K41" s="3361" t="str">
        <f t="shared" si="0"/>
        <v/>
      </c>
      <c r="L41" s="3362"/>
      <c r="M41" s="3362"/>
      <c r="N41" s="3363"/>
      <c r="O41" s="1393" t="str">
        <f>C46</f>
        <v>——</v>
      </c>
      <c r="P41" s="2028"/>
      <c r="V41" s="2028"/>
    </row>
    <row r="42" spans="1:26" ht="29.25">
      <c r="A42" s="3303" t="s">
        <v>2069</v>
      </c>
      <c r="B42" s="3304"/>
      <c r="C42" s="264">
        <f ca="1">C32</f>
        <v>6003</v>
      </c>
      <c r="D42" s="317">
        <f ca="1">C33</f>
        <v>2682</v>
      </c>
      <c r="E42" s="317">
        <f ca="1">C34</f>
        <v>8047</v>
      </c>
      <c r="F42" s="318">
        <f ca="1">C35</f>
        <v>536</v>
      </c>
      <c r="G42" s="311"/>
      <c r="H42" s="311"/>
      <c r="I42" s="319"/>
      <c r="J42" s="2030"/>
      <c r="K42" s="1271" t="s">
        <v>361</v>
      </c>
      <c r="L42" s="2047" t="s">
        <v>362</v>
      </c>
      <c r="M42" s="1272" t="s">
        <v>363</v>
      </c>
      <c r="N42" s="2048" t="s">
        <v>364</v>
      </c>
      <c r="O42" s="2049" t="s">
        <v>365</v>
      </c>
      <c r="P42" s="2028"/>
      <c r="V42" s="2028"/>
    </row>
    <row r="43" spans="1:26" ht="30">
      <c r="A43" s="3314" t="s">
        <v>2732</v>
      </c>
      <c r="B43" s="3315"/>
      <c r="C43" s="264">
        <f>IF(H33="正常操作",G33+G34+G35,G34+G35)</f>
        <v>0</v>
      </c>
      <c r="D43" s="317" t="s">
        <v>43</v>
      </c>
      <c r="E43" s="317" t="s">
        <v>44</v>
      </c>
      <c r="F43" s="318" t="s">
        <v>44</v>
      </c>
      <c r="G43" s="2866" t="s">
        <v>951</v>
      </c>
      <c r="H43" s="311"/>
      <c r="I43" s="319"/>
      <c r="J43" s="2030"/>
      <c r="K43" s="1273" t="str">
        <f>C4</f>
        <v>比较法-住宅、综合</v>
      </c>
      <c r="L43" s="1274">
        <f ca="1">IF(L42="估价结果/万元",C19,C20)</f>
        <v>6430</v>
      </c>
      <c r="M43" s="1275">
        <f>C18</f>
        <v>0.5</v>
      </c>
      <c r="N43" s="1276">
        <f ca="1">IF(N42="测算结果/万元",G19,G20)</f>
        <v>6003</v>
      </c>
      <c r="O43" s="1277">
        <f ca="1">IF(O42="最终结果/万元",C32,C33)</f>
        <v>6003</v>
      </c>
      <c r="P43" s="2028"/>
      <c r="V43" s="2028"/>
    </row>
    <row r="44" spans="1:26" ht="30.75" thickBot="1">
      <c r="A44" s="3303" t="str">
        <f>IF(OR(项目基本情况!E8="抵押价格",项目基本情况!E8="已注销及未注销"),"3.抵押价格","——")</f>
        <v>——</v>
      </c>
      <c r="B44" s="3304"/>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5575</v>
      </c>
      <c r="M44" s="1280">
        <f>D18</f>
        <v>0.5</v>
      </c>
      <c r="N44" s="1281"/>
      <c r="O44" s="1282"/>
      <c r="P44" s="2028"/>
      <c r="V44" s="2028"/>
    </row>
    <row r="45" spans="1:26" ht="15">
      <c r="A45" s="3309" t="str">
        <f>IF(项目基本情况!E8="已注销及未注销","4.抵押担保权已注销时的抵押价格",IF(项目基本情况!E8="已注销","3.抵押担保权已注销时的抵押价格","——"))</f>
        <v>——</v>
      </c>
      <c r="B45" s="331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50" t="s">
        <v>374</v>
      </c>
      <c r="B63" s="3351"/>
      <c r="C63" s="3352"/>
      <c r="D63" s="341">
        <f ca="1">ROUND(C42*F63,0)</f>
        <v>3602</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11" t="s">
        <v>378</v>
      </c>
      <c r="B64" s="3312"/>
      <c r="C64" s="3312"/>
      <c r="D64" s="3312"/>
      <c r="E64" s="3312"/>
      <c r="F64" s="3312"/>
      <c r="G64" s="3313"/>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307" t="s">
        <v>386</v>
      </c>
      <c r="B66" s="3308"/>
      <c r="C66" s="3308"/>
      <c r="D66" s="261">
        <f ca="1">IF(H66="情况1",0,IF(H66="情况2",D70,IF(H66="情况3",D71,IF(H66="情况4",D72))))</f>
        <v>189</v>
      </c>
      <c r="E66" s="993" t="str">
        <f>IF(H66="情况4","(销售额-原购置价)×税（费）率","销售额×税（费）率")</f>
        <v>销售额×税（费）率</v>
      </c>
      <c r="F66" s="350">
        <f>IF(H66="情况1","免征",'数据-取费表'!B41)</f>
        <v>5.5000000000000007E-2</v>
      </c>
      <c r="G66" s="351" t="s">
        <v>387</v>
      </c>
      <c r="H66" s="191" t="s">
        <v>388</v>
      </c>
      <c r="I66" s="1288"/>
      <c r="J66" s="2034"/>
      <c r="K66" s="1291">
        <v>1</v>
      </c>
      <c r="L66" s="3365" t="s">
        <v>385</v>
      </c>
      <c r="M66" s="3366"/>
      <c r="N66" s="2458"/>
      <c r="O66" s="2459"/>
      <c r="P66" s="2460"/>
      <c r="Q66" s="2028"/>
      <c r="R66" s="2028"/>
      <c r="S66" s="2028"/>
      <c r="T66" s="2028"/>
      <c r="U66" s="2028"/>
      <c r="V66" s="2028"/>
    </row>
    <row r="67" spans="1:22" ht="25.5" customHeight="1">
      <c r="A67" s="352" t="s">
        <v>390</v>
      </c>
      <c r="B67" s="3298" t="s">
        <v>391</v>
      </c>
      <c r="C67" s="3298"/>
      <c r="D67" s="353">
        <v>0</v>
      </c>
      <c r="E67" s="41" t="s">
        <v>392</v>
      </c>
      <c r="F67" s="62" t="s">
        <v>21</v>
      </c>
      <c r="G67" s="3353"/>
      <c r="H67" s="311"/>
      <c r="I67" s="1292"/>
      <c r="J67" s="2035"/>
      <c r="K67" s="1976">
        <v>2</v>
      </c>
      <c r="L67" s="3364" t="s">
        <v>389</v>
      </c>
      <c r="M67" s="3364"/>
      <c r="N67" s="1325">
        <f>'数据-取费表'!B2</f>
        <v>43418</v>
      </c>
      <c r="O67" s="1325"/>
      <c r="P67" s="1325"/>
      <c r="Q67" s="2028"/>
      <c r="R67" s="2028"/>
      <c r="S67" s="2028"/>
      <c r="T67" s="2028"/>
      <c r="U67" s="2028"/>
      <c r="V67" s="2028"/>
    </row>
    <row r="68" spans="1:22" ht="25.5" customHeight="1">
      <c r="A68" s="354"/>
      <c r="B68" s="3298" t="s">
        <v>394</v>
      </c>
      <c r="C68" s="3298"/>
      <c r="D68" s="355"/>
      <c r="E68" s="77"/>
      <c r="F68" s="356"/>
      <c r="G68" s="3354"/>
      <c r="H68" s="311"/>
      <c r="I68" s="1292"/>
      <c r="J68" s="2035"/>
      <c r="K68" s="1976">
        <v>3</v>
      </c>
      <c r="L68" s="3364" t="s">
        <v>393</v>
      </c>
      <c r="M68" s="3364"/>
      <c r="N68" s="1293">
        <f ca="1">C42</f>
        <v>6003</v>
      </c>
      <c r="O68" s="1293"/>
      <c r="P68" s="1293"/>
      <c r="Q68" s="2028"/>
      <c r="R68" s="2028"/>
      <c r="S68" s="2028"/>
      <c r="T68" s="2028"/>
      <c r="U68" s="2028"/>
      <c r="V68" s="2028"/>
    </row>
    <row r="69" spans="1:22" ht="12" customHeight="1">
      <c r="A69" s="357"/>
      <c r="B69" s="3298" t="s">
        <v>395</v>
      </c>
      <c r="C69" s="3298"/>
      <c r="D69" s="358"/>
      <c r="E69" s="73"/>
      <c r="F69" s="356"/>
      <c r="G69" s="3355"/>
      <c r="H69" s="311"/>
      <c r="I69" s="1292"/>
      <c r="J69" s="2035"/>
      <c r="K69" s="1294">
        <v>4</v>
      </c>
      <c r="L69" s="3369" t="s">
        <v>2885</v>
      </c>
      <c r="M69" s="3370"/>
      <c r="N69" s="1295" t="str">
        <f>C44</f>
        <v>——</v>
      </c>
      <c r="O69" s="1295"/>
      <c r="P69" s="1295"/>
      <c r="Q69" s="2028"/>
      <c r="R69" s="2028"/>
      <c r="S69" s="2028"/>
      <c r="T69" s="2028"/>
      <c r="U69" s="2028"/>
      <c r="V69" s="2028"/>
    </row>
    <row r="70" spans="1:22" ht="24" customHeight="1">
      <c r="A70" s="359" t="s">
        <v>396</v>
      </c>
      <c r="B70" s="3298" t="s">
        <v>397</v>
      </c>
      <c r="C70" s="3298"/>
      <c r="D70" s="358">
        <f ca="1">ROUND(D63*'数据-取费表'!B41/(1+'数据-取费表'!C42),0)</f>
        <v>189</v>
      </c>
      <c r="E70" s="17" t="s">
        <v>398</v>
      </c>
      <c r="F70" s="360">
        <f>'数据-取费表'!B41</f>
        <v>5.5000000000000007E-2</v>
      </c>
      <c r="G70" s="361"/>
      <c r="H70" s="311"/>
      <c r="I70" s="1292"/>
      <c r="J70" s="2035"/>
      <c r="K70" s="3061"/>
      <c r="L70" s="3062"/>
      <c r="M70" s="3062"/>
      <c r="N70" s="3063" t="s">
        <v>2890</v>
      </c>
      <c r="O70" s="3062"/>
      <c r="P70" s="3064"/>
      <c r="Q70" s="2028"/>
      <c r="R70" s="2028"/>
      <c r="S70" s="2028"/>
      <c r="T70" s="2028"/>
      <c r="U70" s="2028"/>
      <c r="V70" s="2028"/>
    </row>
    <row r="71" spans="1:22" ht="12" customHeight="1">
      <c r="A71" s="359" t="s">
        <v>404</v>
      </c>
      <c r="B71" s="3299" t="s">
        <v>405</v>
      </c>
      <c r="C71" s="3300"/>
      <c r="D71" s="358">
        <f ca="1">ROUND(D63*'数据-取费表'!B41/(1+'数据-取费表'!C42),0)</f>
        <v>189</v>
      </c>
      <c r="E71" s="17" t="s">
        <v>398</v>
      </c>
      <c r="F71" s="360">
        <f>'数据-取费表'!B41</f>
        <v>5.5000000000000007E-2</v>
      </c>
      <c r="G71" s="361"/>
      <c r="H71" s="311"/>
      <c r="I71" s="1292"/>
      <c r="J71" s="2035"/>
      <c r="K71" s="3060" t="s">
        <v>399</v>
      </c>
      <c r="L71" s="3371" t="s">
        <v>400</v>
      </c>
      <c r="M71" s="3371"/>
      <c r="N71" s="3060" t="s">
        <v>401</v>
      </c>
      <c r="O71" s="3060" t="s">
        <v>402</v>
      </c>
      <c r="P71" s="3060" t="s">
        <v>403</v>
      </c>
      <c r="Q71" s="2028"/>
      <c r="R71" s="2028"/>
      <c r="S71" s="2028"/>
      <c r="T71" s="2028"/>
      <c r="U71" s="2028"/>
      <c r="V71" s="2028"/>
    </row>
    <row r="72" spans="1:22" ht="12" customHeight="1">
      <c r="A72" s="359" t="s">
        <v>407</v>
      </c>
      <c r="B72" s="3299" t="s">
        <v>408</v>
      </c>
      <c r="C72" s="3300"/>
      <c r="D72" s="358">
        <f ca="1">C86</f>
        <v>79</v>
      </c>
      <c r="E72" s="73" t="s">
        <v>409</v>
      </c>
      <c r="F72" s="360">
        <f>'数据-取费表'!B41</f>
        <v>5.5000000000000007E-2</v>
      </c>
      <c r="G72" s="361"/>
      <c r="H72" s="1298"/>
      <c r="I72" s="1292"/>
      <c r="J72" s="2035"/>
      <c r="K72" s="1976">
        <v>1</v>
      </c>
      <c r="L72" s="3346" t="s">
        <v>406</v>
      </c>
      <c r="M72" s="3346"/>
      <c r="N72" s="1296">
        <f ca="1">D66</f>
        <v>189</v>
      </c>
      <c r="O72" s="1861" t="str">
        <f>E66</f>
        <v>销售额×税（费）率</v>
      </c>
      <c r="P72" s="1297">
        <f>F66</f>
        <v>5.5000000000000007E-2</v>
      </c>
      <c r="Q72" s="2028"/>
      <c r="R72" s="2028"/>
      <c r="S72" s="2028"/>
      <c r="T72" s="2028"/>
      <c r="U72" s="2028"/>
      <c r="V72" s="2028"/>
    </row>
    <row r="73" spans="1:22" ht="24" customHeight="1">
      <c r="A73" s="3340" t="s">
        <v>411</v>
      </c>
      <c r="B73" s="3308"/>
      <c r="C73" s="3308"/>
      <c r="D73" s="362">
        <f>IF(H73="个人住宅",0,ROUND(D63*I73,0))</f>
        <v>0</v>
      </c>
      <c r="E73" s="17" t="s">
        <v>412</v>
      </c>
      <c r="F73" s="360" t="str">
        <f>IF(H73="正常",I73,"免征")</f>
        <v>免征</v>
      </c>
      <c r="G73" s="361"/>
      <c r="H73" s="191" t="s">
        <v>2457</v>
      </c>
      <c r="I73" s="360">
        <f>'数据-取费表'!B49</f>
        <v>5.0000000000000001E-4</v>
      </c>
      <c r="J73" s="2035"/>
      <c r="K73" s="1976">
        <v>2</v>
      </c>
      <c r="L73" s="3346" t="s">
        <v>410</v>
      </c>
      <c r="M73" s="3346"/>
      <c r="N73" s="1296">
        <f t="shared" ref="N73:P74" si="1">D73</f>
        <v>0</v>
      </c>
      <c r="O73" s="1861" t="str">
        <f t="shared" si="1"/>
        <v>销售额×税（费）率</v>
      </c>
      <c r="P73" s="1297" t="str">
        <f t="shared" si="1"/>
        <v>免征</v>
      </c>
      <c r="Q73" s="2028"/>
      <c r="R73" s="2028"/>
      <c r="S73" s="2028"/>
      <c r="T73" s="2028"/>
      <c r="U73" s="2028"/>
      <c r="V73" s="2028"/>
    </row>
    <row r="74" spans="1:22" ht="24.75">
      <c r="A74" s="3340" t="s">
        <v>415</v>
      </c>
      <c r="B74" s="3308"/>
      <c r="C74" s="3308"/>
      <c r="D74" s="362">
        <f ca="1">IF(H74="个人住宅",D75,D76)</f>
        <v>1386</v>
      </c>
      <c r="E74" s="17" t="s">
        <v>416</v>
      </c>
      <c r="F74" s="360" t="str">
        <f>IF(H74="正常",F76,"免征")</f>
        <v>——</v>
      </c>
      <c r="G74" s="983" t="s">
        <v>417</v>
      </c>
      <c r="H74" s="363" t="s">
        <v>413</v>
      </c>
      <c r="I74" s="42"/>
      <c r="J74" s="2035"/>
      <c r="K74" s="1976">
        <v>3</v>
      </c>
      <c r="L74" s="3346" t="s">
        <v>414</v>
      </c>
      <c r="M74" s="3346"/>
      <c r="N74" s="1296">
        <f t="shared" ca="1" si="1"/>
        <v>1386</v>
      </c>
      <c r="O74" s="1861" t="str">
        <f t="shared" si="1"/>
        <v>增值额×税（费）率</v>
      </c>
      <c r="P74" s="1299" t="str">
        <f t="shared" si="1"/>
        <v>——</v>
      </c>
      <c r="Q74" s="2028"/>
      <c r="R74" s="2028"/>
      <c r="S74" s="2028"/>
      <c r="T74" s="2028"/>
      <c r="U74" s="2028"/>
      <c r="V74" s="2028"/>
    </row>
    <row r="75" spans="1:22" ht="24">
      <c r="A75" s="359" t="s">
        <v>418</v>
      </c>
      <c r="B75" s="3296" t="s">
        <v>419</v>
      </c>
      <c r="C75" s="3326"/>
      <c r="D75" s="364">
        <v>0</v>
      </c>
      <c r="E75" s="41" t="s">
        <v>420</v>
      </c>
      <c r="F75" s="365"/>
      <c r="G75" s="361"/>
      <c r="H75" s="42"/>
      <c r="I75" s="42"/>
      <c r="J75" s="2035"/>
      <c r="K75" s="3053">
        <f>IF(H77="非个人房产","",4)</f>
        <v>4</v>
      </c>
      <c r="L75" s="3346" t="str">
        <f>IF(H77="非个人房产","——","个人所得税")</f>
        <v>个人所得税</v>
      </c>
      <c r="M75" s="3346"/>
      <c r="N75" s="1300">
        <f ca="1">D77</f>
        <v>36</v>
      </c>
      <c r="O75" s="1874" t="str">
        <f>E77</f>
        <v>销售额×税（费）率</v>
      </c>
      <c r="P75" s="1301">
        <f>F77</f>
        <v>0.01</v>
      </c>
      <c r="Q75" s="2028"/>
      <c r="R75" s="2028"/>
      <c r="S75" s="2028"/>
      <c r="T75" s="2028"/>
      <c r="U75" s="2028"/>
      <c r="V75" s="2028"/>
    </row>
    <row r="76" spans="1:22" ht="24.75">
      <c r="A76" s="359" t="s">
        <v>396</v>
      </c>
      <c r="B76" s="3296" t="s">
        <v>422</v>
      </c>
      <c r="C76" s="3297"/>
      <c r="D76" s="362">
        <f ca="1">IF(H76="转让取得",C99,C115)</f>
        <v>1386</v>
      </c>
      <c r="E76" s="17" t="s">
        <v>423</v>
      </c>
      <c r="F76" s="53" t="s">
        <v>21</v>
      </c>
      <c r="G76" s="361"/>
      <c r="H76" s="363" t="s">
        <v>424</v>
      </c>
      <c r="I76" s="42"/>
      <c r="J76" s="2035"/>
      <c r="K76" s="3053" t="str">
        <f>IF(项目基本情况!K6="上海银行",IF(K75="",4,K75+1),"")</f>
        <v/>
      </c>
      <c r="L76" s="3357" t="str">
        <f>IF(项目基本情况!K6="上海银行","其他处置费用","")</f>
        <v/>
      </c>
      <c r="M76" s="3358"/>
      <c r="N76" s="1296" t="str">
        <f>IF(项目基本情况!K6="上海银行",N89,"")</f>
        <v/>
      </c>
      <c r="O76" s="3359" t="str">
        <f>IF(项目基本情况!K6="上海银行","包含处置中涉及的律师、诉讼、拍卖、评估等费用","")</f>
        <v/>
      </c>
      <c r="P76" s="3360"/>
      <c r="Q76" s="2028"/>
      <c r="R76" s="2028"/>
      <c r="S76" s="2028"/>
      <c r="T76" s="2028"/>
      <c r="U76" s="2028"/>
      <c r="V76" s="2028"/>
    </row>
    <row r="77" spans="1:22" ht="26.25" thickBot="1">
      <c r="A77" s="3348" t="s">
        <v>426</v>
      </c>
      <c r="B77" s="3349"/>
      <c r="C77" s="3349"/>
      <c r="D77" s="366">
        <f ca="1">IF(H77="非个人房产","——",IF(H77="个人住宅",0,ROUND(D63*I77,0)))</f>
        <v>36</v>
      </c>
      <c r="E77" s="367" t="str">
        <f>IF(H77="非个人房产","——","销售额×税（费）率")</f>
        <v>销售额×税（费）率</v>
      </c>
      <c r="F77" s="368">
        <f>IF(H77="非个人房产","——",IF(H77="个人住宅","免征",I77))</f>
        <v>0.01</v>
      </c>
      <c r="G77" s="984" t="s">
        <v>417</v>
      </c>
      <c r="H77" s="363" t="s">
        <v>2886</v>
      </c>
      <c r="I77" s="369">
        <v>0.01</v>
      </c>
      <c r="J77" s="2035"/>
      <c r="K77" s="3347">
        <f>IF(AND(K75="",K76=""),4,IF(项目基本情况!K6="上海银行",K76+1,K75+1))</f>
        <v>5</v>
      </c>
      <c r="L77" s="3346" t="s">
        <v>2887</v>
      </c>
      <c r="M77" s="3059" t="s">
        <v>421</v>
      </c>
      <c r="N77" s="1302"/>
      <c r="O77" s="1303">
        <f ca="1">SUMIF(N72:N76,"&lt;9e307")</f>
        <v>1611</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47"/>
      <c r="L78" s="3346"/>
      <c r="M78" s="3059" t="s">
        <v>425</v>
      </c>
      <c r="N78" s="1302"/>
      <c r="O78" s="1303" t="str">
        <f ca="1">NUMBERSTRING(INT(O77*10000),2)&amp;"元整"</f>
        <v>壹仟陆佰壹拾壹万元整</v>
      </c>
      <c r="P78" s="1304"/>
      <c r="Q78" s="2028"/>
      <c r="R78" s="2028"/>
      <c r="S78" s="2028"/>
      <c r="T78" s="2028"/>
      <c r="U78" s="2028"/>
      <c r="V78" s="2028"/>
    </row>
    <row r="79" spans="1:22" ht="13.5" thickBot="1">
      <c r="A79" s="3341" t="s">
        <v>427</v>
      </c>
      <c r="B79" s="3341"/>
      <c r="C79" s="3341"/>
      <c r="D79" s="3341"/>
      <c r="E79" s="3341"/>
      <c r="F79" s="42"/>
      <c r="G79" s="42"/>
      <c r="H79" s="1003"/>
      <c r="I79" s="311"/>
      <c r="J79" s="2035"/>
      <c r="K79" s="3367">
        <f>K77+1</f>
        <v>6</v>
      </c>
      <c r="L79" s="3346" t="s">
        <v>2888</v>
      </c>
      <c r="M79" s="3059" t="s">
        <v>421</v>
      </c>
      <c r="N79" s="1302"/>
      <c r="O79" s="1303" t="e">
        <f ca="1">N69-O77</f>
        <v>#VALUE!</v>
      </c>
      <c r="P79" s="1304"/>
      <c r="Q79" s="2028"/>
      <c r="R79" s="2028"/>
      <c r="S79" s="2028"/>
      <c r="T79" s="2028"/>
      <c r="U79" s="2028"/>
      <c r="V79" s="2028"/>
    </row>
    <row r="80" spans="1:22" ht="12.75">
      <c r="A80" s="3336" t="s">
        <v>428</v>
      </c>
      <c r="B80" s="3337"/>
      <c r="C80" s="994"/>
      <c r="D80" s="994" t="s">
        <v>429</v>
      </c>
      <c r="E80" s="370" t="s">
        <v>430</v>
      </c>
      <c r="F80" s="42"/>
      <c r="G80" s="42"/>
      <c r="H80" s="1003"/>
      <c r="I80" s="311"/>
      <c r="J80" s="2028"/>
      <c r="K80" s="3368"/>
      <c r="L80" s="3346"/>
      <c r="M80" s="3059" t="s">
        <v>425</v>
      </c>
      <c r="N80" s="1302"/>
      <c r="O80" s="1303" t="e">
        <f ca="1">NUMBERSTRING(INT(O79*10000),2)&amp;"元整"</f>
        <v>#VALUE!</v>
      </c>
      <c r="P80" s="1304"/>
      <c r="Q80" s="2028"/>
      <c r="R80" s="2028"/>
      <c r="S80" s="2028"/>
      <c r="T80" s="2028"/>
      <c r="U80" s="2028"/>
      <c r="V80" s="2028"/>
    </row>
    <row r="81" spans="1:26" ht="13.5" thickBot="1">
      <c r="A81" s="381" t="s">
        <v>1823</v>
      </c>
      <c r="B81" s="371" t="s">
        <v>431</v>
      </c>
      <c r="C81" s="372">
        <f ca="1">ROUND((C82+C83)/(1+'数据-取费表'!C42),0)</f>
        <v>3430</v>
      </c>
      <c r="D81" s="373"/>
      <c r="E81" s="374"/>
      <c r="F81" s="42"/>
      <c r="G81" s="42"/>
      <c r="H81" s="1003"/>
      <c r="I81" s="311"/>
      <c r="J81" s="2028"/>
      <c r="K81" s="3053">
        <f>K79+1</f>
        <v>7</v>
      </c>
      <c r="L81" s="3344" t="s">
        <v>2889</v>
      </c>
      <c r="M81" s="3345"/>
      <c r="N81" s="1306"/>
      <c r="O81" s="1307" t="e">
        <f ca="1">ROUND(O79*10000/'数据-汇总表'!E3,0)</f>
        <v>#VALUE!</v>
      </c>
      <c r="P81" s="1308"/>
      <c r="Q81" s="2028"/>
      <c r="R81" s="2028"/>
      <c r="S81" s="2028"/>
      <c r="T81" s="2028"/>
      <c r="U81" s="2028"/>
      <c r="V81" s="2028"/>
    </row>
    <row r="82" spans="1:26" ht="13.5" thickTop="1">
      <c r="A82" s="375" t="s">
        <v>1824</v>
      </c>
      <c r="B82" s="376" t="s">
        <v>432</v>
      </c>
      <c r="C82" s="377">
        <f ca="1">D63</f>
        <v>3602</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1825</v>
      </c>
      <c r="B83" s="376" t="s">
        <v>433</v>
      </c>
      <c r="C83" s="380">
        <v>0</v>
      </c>
      <c r="D83" s="378"/>
      <c r="E83" s="379"/>
      <c r="F83" s="42"/>
      <c r="G83" s="42"/>
      <c r="H83" s="1003"/>
      <c r="I83" s="311"/>
      <c r="J83" s="2028"/>
      <c r="K83" s="3356" t="s">
        <v>2876</v>
      </c>
      <c r="L83" s="3065" t="s">
        <v>2877</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1826</v>
      </c>
      <c r="B84" s="382" t="s">
        <v>434</v>
      </c>
      <c r="C84" s="383">
        <v>2000</v>
      </c>
      <c r="D84" s="384" t="s">
        <v>19</v>
      </c>
      <c r="E84" s="3098" t="s">
        <v>2940</v>
      </c>
      <c r="F84" s="42"/>
      <c r="G84" s="42"/>
      <c r="H84" s="1003"/>
      <c r="I84" s="311"/>
      <c r="J84" s="2028"/>
      <c r="K84" s="3356"/>
      <c r="L84" s="3065" t="s">
        <v>2878</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435</v>
      </c>
      <c r="C85" s="385">
        <f ca="1">C81-C84</f>
        <v>1430</v>
      </c>
      <c r="D85" s="378" t="s">
        <v>19</v>
      </c>
      <c r="E85" s="379"/>
      <c r="F85" s="42"/>
      <c r="G85" s="42"/>
      <c r="H85" s="1003"/>
      <c r="I85" s="311"/>
      <c r="J85" s="2028"/>
      <c r="K85" s="3356"/>
      <c r="L85" s="3065" t="s">
        <v>2880</v>
      </c>
      <c r="M85" s="3055"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436</v>
      </c>
      <c r="C86" s="388">
        <f ca="1">IF(C85&lt;=0,0,ROUND(C85*D86,0))</f>
        <v>79</v>
      </c>
      <c r="D86" s="389">
        <f>'数据-取费表'!B41</f>
        <v>5.5000000000000007E-2</v>
      </c>
      <c r="E86" s="390"/>
      <c r="F86" s="42"/>
      <c r="G86" s="42"/>
      <c r="H86" s="1003"/>
      <c r="I86" s="311"/>
      <c r="J86" s="2028"/>
      <c r="K86" s="3356"/>
      <c r="L86" s="3065" t="s">
        <v>2881</v>
      </c>
      <c r="M86" s="3055" t="e">
        <f>N69*0.5%</f>
        <v>#VALUE!</v>
      </c>
      <c r="N86" s="53" t="e">
        <f>IF(M86&gt;0.5,0.5,ROUND(M86,0))</f>
        <v>#VALUE!</v>
      </c>
      <c r="O86" s="2028" t="s">
        <v>2882</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56"/>
      <c r="L87" s="3065" t="s">
        <v>2883</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338" t="s">
        <v>437</v>
      </c>
      <c r="B88" s="3339"/>
      <c r="C88" s="3339"/>
      <c r="D88" s="3339"/>
      <c r="E88" s="3339"/>
      <c r="F88" s="3339"/>
      <c r="G88" s="3339"/>
      <c r="H88" s="3339"/>
      <c r="I88" s="1315"/>
      <c r="J88" s="2036"/>
      <c r="K88" s="3356"/>
      <c r="L88" s="3065" t="s">
        <v>2884</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336" t="s">
        <v>428</v>
      </c>
      <c r="B89" s="3337"/>
      <c r="C89" s="994"/>
      <c r="D89" s="994" t="s">
        <v>429</v>
      </c>
      <c r="E89" s="391" t="s">
        <v>438</v>
      </c>
      <c r="F89" s="392"/>
      <c r="G89" s="392"/>
      <c r="H89" s="393"/>
      <c r="I89" s="1316"/>
      <c r="J89" s="2038"/>
      <c r="K89" s="3356"/>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1823</v>
      </c>
      <c r="B90" s="382" t="s">
        <v>439</v>
      </c>
      <c r="C90" s="385">
        <f ca="1">ROUND(D63/(1+'数据-取费表'!C42),0)</f>
        <v>3430</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1829</v>
      </c>
      <c r="B91" s="348" t="s">
        <v>440</v>
      </c>
      <c r="C91" s="385">
        <f ca="1">C92+C96</f>
        <v>2578</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1831</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1832</v>
      </c>
      <c r="B94" s="400" t="s">
        <v>446</v>
      </c>
      <c r="C94" s="378">
        <f>IF(F93="购房发票",ROUND(C93*H93*5%,0),0)</f>
        <v>500</v>
      </c>
      <c r="D94" s="401">
        <v>0.05</v>
      </c>
      <c r="E94" s="3299" t="s">
        <v>447</v>
      </c>
      <c r="F94" s="3298"/>
      <c r="G94" s="3298"/>
      <c r="H94" s="333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1834</v>
      </c>
      <c r="B96" s="376" t="s">
        <v>450</v>
      </c>
      <c r="C96" s="405">
        <f ca="1">ROUND(D63*D96/(1+'数据-取费表'!C42),0)</f>
        <v>17</v>
      </c>
      <c r="D96" s="406">
        <f>'数据-取费表'!B43</f>
        <v>5.000000000000001E-3</v>
      </c>
      <c r="E96" s="3327" t="s">
        <v>2430</v>
      </c>
      <c r="F96" s="3328"/>
      <c r="G96" s="3328"/>
      <c r="H96" s="332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1835</v>
      </c>
      <c r="B97" s="382" t="s">
        <v>451</v>
      </c>
      <c r="C97" s="385">
        <f ca="1">C90-C91</f>
        <v>852</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1836</v>
      </c>
      <c r="B98" s="382" t="s">
        <v>452</v>
      </c>
      <c r="C98" s="407">
        <f ca="1">IF(C97&lt;=0,0,C97/C91)</f>
        <v>0.33048875096974401</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1837</v>
      </c>
      <c r="B99" s="387" t="s">
        <v>453</v>
      </c>
      <c r="C99" s="408">
        <f ca="1">ROUND(IF(C97&lt;=0,0,IF(C98&gt;=200%,C97*60%-C91*35%,IF(C98&gt;=100%,C97*50%-C91*15%,IF(C98&gt;=50%,C97*40%-C91*5%,IF(C98&lt;50%,C97*30%,0))))),0)</f>
        <v>256</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38" t="s">
        <v>454</v>
      </c>
      <c r="B101" s="3339"/>
      <c r="C101" s="3339"/>
      <c r="D101" s="3339"/>
      <c r="E101" s="3339"/>
      <c r="F101" s="3339"/>
      <c r="G101" s="3339"/>
      <c r="H101" s="333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36" t="s">
        <v>428</v>
      </c>
      <c r="B102" s="3337"/>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1823</v>
      </c>
      <c r="B103" s="382" t="s">
        <v>439</v>
      </c>
      <c r="C103" s="385">
        <f ca="1">ROUND(D63/(1+'数据-取费表'!C42),0)</f>
        <v>3430</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1829</v>
      </c>
      <c r="B104" s="348" t="s">
        <v>440</v>
      </c>
      <c r="C104" s="385">
        <f ca="1">IF(H106="仅含出让金",C105+C108+C109+C110+C111+C112,C105+C109+C110+C111+C112)</f>
        <v>707</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1830</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1831</v>
      </c>
      <c r="B106" s="376" t="s">
        <v>456</v>
      </c>
      <c r="C106" s="416">
        <v>555</v>
      </c>
      <c r="D106" s="406"/>
      <c r="E106" s="417" t="s">
        <v>457</v>
      </c>
      <c r="F106" s="986"/>
      <c r="G106" s="418" t="s">
        <v>458</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1832</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1838</v>
      </c>
      <c r="B109" s="376" t="s">
        <v>461</v>
      </c>
      <c r="C109" s="405">
        <f>IF(H109="——",IF(F1="现房",'剩余法-现房'!C18,'剩余法-待开发'!C18),I109)</f>
        <v>55</v>
      </c>
      <c r="D109" s="406"/>
      <c r="E109" s="3330" t="s">
        <v>462</v>
      </c>
      <c r="F109" s="3328"/>
      <c r="G109" s="3328"/>
      <c r="H109" s="1943" t="s">
        <v>2281</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1839</v>
      </c>
      <c r="B110" s="376" t="s">
        <v>463</v>
      </c>
      <c r="C110" s="405">
        <f>ROUND((C105+C108+C109)*D110,0)</f>
        <v>63</v>
      </c>
      <c r="D110" s="406">
        <v>0.1</v>
      </c>
      <c r="E110" s="3330" t="s">
        <v>464</v>
      </c>
      <c r="F110" s="3328"/>
      <c r="G110" s="3328"/>
      <c r="H110" s="332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1840</v>
      </c>
      <c r="B111" s="376" t="s">
        <v>450</v>
      </c>
      <c r="C111" s="405">
        <f ca="1">ROUND(D63*D111/(1+'数据-取费表'!C42),0)</f>
        <v>17</v>
      </c>
      <c r="D111" s="406">
        <f>'数据-取费表'!B43</f>
        <v>5.000000000000001E-3</v>
      </c>
      <c r="E111" s="3327" t="s">
        <v>2430</v>
      </c>
      <c r="F111" s="3328"/>
      <c r="G111" s="3328"/>
      <c r="H111" s="332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1841</v>
      </c>
      <c r="B112" s="376" t="s">
        <v>465</v>
      </c>
      <c r="C112" s="405">
        <f>ROUND(C108*D112,0)</f>
        <v>0</v>
      </c>
      <c r="D112" s="406">
        <v>0.2</v>
      </c>
      <c r="E112" s="3330" t="s">
        <v>2455</v>
      </c>
      <c r="F112" s="3328"/>
      <c r="G112" s="3328"/>
      <c r="H112" s="332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1835</v>
      </c>
      <c r="B113" s="382" t="s">
        <v>451</v>
      </c>
      <c r="C113" s="385">
        <f ca="1">ROUND(C103-C104,0)</f>
        <v>2723</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1836</v>
      </c>
      <c r="B114" s="382" t="s">
        <v>452</v>
      </c>
      <c r="C114" s="407">
        <f ca="1">IF(C113&lt;=0,0,C113/C104)</f>
        <v>3.8514851485148514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1837</v>
      </c>
      <c r="B115" s="387" t="s">
        <v>453</v>
      </c>
      <c r="C115" s="408">
        <f ca="1">ROUND(IF(C113&lt;=0,0,IF(C114&gt;=200%,C113*60%-C104*35%,IF(C114&gt;=100%,C113*50%-C104*15%,IF(C114&gt;=50%,C113*40%-C104*5%,IF(C114&lt;50%,C113*30%,0))))),0)</f>
        <v>1386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E31" zoomScale="80" zoomScaleNormal="95" zoomScaleSheetLayoutView="80" workbookViewId="0">
      <selection activeCell="H17" sqref="H1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6430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2873</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8619</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575</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81" t="s">
        <v>522</v>
      </c>
      <c r="D6" s="3382"/>
      <c r="E6" s="3381" t="s">
        <v>523</v>
      </c>
      <c r="F6" s="3382"/>
      <c r="G6" s="3381" t="s">
        <v>524</v>
      </c>
      <c r="H6" s="3382"/>
      <c r="I6" s="3381" t="s">
        <v>525</v>
      </c>
      <c r="J6" s="3382"/>
      <c r="K6" s="514" t="s">
        <v>526</v>
      </c>
      <c r="L6" s="2133"/>
      <c r="M6" s="2132"/>
      <c r="N6" s="2132"/>
      <c r="O6" s="2134"/>
      <c r="P6" s="3383" t="s">
        <v>527</v>
      </c>
      <c r="Q6" s="3384"/>
      <c r="R6" s="3389" t="s">
        <v>523</v>
      </c>
      <c r="S6" s="3390"/>
      <c r="T6" s="3389" t="s">
        <v>524</v>
      </c>
      <c r="U6" s="3390"/>
      <c r="V6" s="3376" t="s">
        <v>525</v>
      </c>
      <c r="W6" s="3376"/>
      <c r="X6" s="1568"/>
      <c r="Y6" s="3389" t="s">
        <v>527</v>
      </c>
      <c r="Z6" s="3390"/>
      <c r="AA6" s="3378" t="s">
        <v>523</v>
      </c>
      <c r="AB6" s="3379" t="s">
        <v>524</v>
      </c>
      <c r="AC6" s="3378" t="s">
        <v>525</v>
      </c>
    </row>
    <row r="7" spans="1:30" ht="20.25">
      <c r="A7" s="515"/>
      <c r="B7" s="516"/>
      <c r="C7" s="3397" t="s">
        <v>3164</v>
      </c>
      <c r="D7" s="3398"/>
      <c r="E7" s="3397" t="str">
        <f>Sheet1!A5</f>
        <v>水关路西侧</v>
      </c>
      <c r="F7" s="3398"/>
      <c r="G7" s="3397" t="str">
        <f>Sheet1!A8</f>
        <v>丝绸路南侧</v>
      </c>
      <c r="H7" s="3398"/>
      <c r="I7" s="3397" t="str">
        <f>Sheet1!A10</f>
        <v>丝绸路北侧、运河西路西侧</v>
      </c>
      <c r="J7" s="3398"/>
      <c r="K7" s="514"/>
      <c r="L7" s="2133"/>
      <c r="M7" s="2132"/>
      <c r="N7" s="2132"/>
      <c r="O7" s="2134"/>
      <c r="P7" s="3385"/>
      <c r="Q7" s="3386"/>
      <c r="R7" s="3391"/>
      <c r="S7" s="3392"/>
      <c r="T7" s="3391"/>
      <c r="U7" s="3392"/>
      <c r="V7" s="3376"/>
      <c r="W7" s="3376"/>
      <c r="X7" s="1568"/>
      <c r="Y7" s="3391"/>
      <c r="Z7" s="3392"/>
      <c r="AA7" s="3379"/>
      <c r="AB7" s="3379"/>
      <c r="AC7" s="3379"/>
    </row>
    <row r="8" spans="1:30" ht="21" thickBot="1">
      <c r="A8" s="515"/>
      <c r="B8" s="516"/>
      <c r="C8" s="3399" t="s">
        <v>2932</v>
      </c>
      <c r="D8" s="3400"/>
      <c r="E8" s="3399" t="s">
        <v>2932</v>
      </c>
      <c r="F8" s="3400"/>
      <c r="G8" s="3395" t="s">
        <v>2932</v>
      </c>
      <c r="H8" s="3396"/>
      <c r="I8" s="3395" t="s">
        <v>2932</v>
      </c>
      <c r="J8" s="3396"/>
      <c r="K8" s="514" t="s">
        <v>528</v>
      </c>
      <c r="L8" s="2133"/>
      <c r="M8" s="2132"/>
      <c r="N8" s="2132"/>
      <c r="O8" s="2134"/>
      <c r="P8" s="3387"/>
      <c r="Q8" s="3388"/>
      <c r="R8" s="3391"/>
      <c r="S8" s="3392"/>
      <c r="T8" s="3393"/>
      <c r="U8" s="3394"/>
      <c r="V8" s="3376"/>
      <c r="W8" s="3376"/>
      <c r="X8" s="1568"/>
      <c r="Y8" s="3393"/>
      <c r="Z8" s="3394"/>
      <c r="AA8" s="3380"/>
      <c r="AB8" s="3380"/>
      <c r="AC8" s="3380"/>
    </row>
    <row r="9" spans="1:30" s="1220" customFormat="1" ht="21" thickBot="1">
      <c r="A9" s="2912"/>
      <c r="B9" s="2919" t="s">
        <v>529</v>
      </c>
      <c r="C9" s="2911">
        <f>'数据-取费表'!B2</f>
        <v>43418</v>
      </c>
      <c r="D9" s="520">
        <v>100</v>
      </c>
      <c r="E9" s="521" t="str">
        <f>Sheet1!H5</f>
        <v>2018-06-28</v>
      </c>
      <c r="F9" s="522">
        <f>SUMIF(72:72,YEAR(E9)&amp;"-"&amp;INT((MONTH(E9)+2)/3),73:73)</f>
        <v>99</v>
      </c>
      <c r="G9" s="523" t="str">
        <f>Sheet1!H8</f>
        <v>2018-06-28</v>
      </c>
      <c r="H9" s="520">
        <f>SUMIF(72:72,YEAR(G9)&amp;"-"&amp;INT((MONTH(G9)+2)/3),73:73)</f>
        <v>99</v>
      </c>
      <c r="I9" s="523" t="str">
        <f>Sheet1!H10</f>
        <v>2018-06-28</v>
      </c>
      <c r="J9" s="520">
        <f>SUMIF(72:72,YEAR(I9)&amp;"-"&amp;INT((MONTH(I9)+2)/3),73:73)</f>
        <v>99</v>
      </c>
      <c r="K9" s="524"/>
      <c r="L9" s="2135"/>
      <c r="M9" s="2132"/>
      <c r="N9" s="2132"/>
      <c r="O9" s="2136"/>
      <c r="P9" s="3406" t="s">
        <v>530</v>
      </c>
      <c r="Q9" s="3408"/>
      <c r="R9" s="1569" t="s">
        <v>8</v>
      </c>
      <c r="S9" s="1570">
        <f t="shared" ref="S9:S17" si="0">F9</f>
        <v>99</v>
      </c>
      <c r="T9" s="1569" t="s">
        <v>8</v>
      </c>
      <c r="U9" s="1570">
        <f t="shared" ref="U9:U17" si="1">H9</f>
        <v>99</v>
      </c>
      <c r="V9" s="1569" t="s">
        <v>8</v>
      </c>
      <c r="W9" s="1570">
        <f t="shared" ref="W9:W17" si="2">J9</f>
        <v>99</v>
      </c>
      <c r="X9" s="1571"/>
      <c r="Y9" s="3406" t="s">
        <v>530</v>
      </c>
      <c r="Z9" s="3407"/>
      <c r="AA9" s="1572">
        <f>D9/F9</f>
        <v>1.0101010101010102</v>
      </c>
      <c r="AB9" s="1572">
        <f>D9/H9</f>
        <v>1.0101010101010102</v>
      </c>
      <c r="AC9" s="1572">
        <f>D9/J9</f>
        <v>1.0101010101010102</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06" t="s">
        <v>533</v>
      </c>
      <c r="Q10" s="3407"/>
      <c r="R10" s="1569" t="s">
        <v>8</v>
      </c>
      <c r="S10" s="1570">
        <f t="shared" si="0"/>
        <v>100</v>
      </c>
      <c r="T10" s="1569" t="s">
        <v>8</v>
      </c>
      <c r="U10" s="1570">
        <f t="shared" si="1"/>
        <v>100</v>
      </c>
      <c r="V10" s="1569" t="s">
        <v>8</v>
      </c>
      <c r="W10" s="1570">
        <f t="shared" si="2"/>
        <v>100</v>
      </c>
      <c r="X10" s="1571"/>
      <c r="Y10" s="3406" t="s">
        <v>533</v>
      </c>
      <c r="Z10" s="3407"/>
      <c r="AA10" s="1572">
        <f t="shared" ref="AA10:AA47" si="3">D10/F10</f>
        <v>1</v>
      </c>
      <c r="AB10" s="1572">
        <f t="shared" ref="AB10:AB47" si="4">D10/H10</f>
        <v>1</v>
      </c>
      <c r="AC10" s="1572">
        <f t="shared" ref="AC10:AC47" si="5">D10/J10</f>
        <v>1</v>
      </c>
    </row>
    <row r="11" spans="1:30" s="1220" customFormat="1" ht="20.25">
      <c r="A11" s="2914"/>
      <c r="B11" s="2921" t="s">
        <v>2758</v>
      </c>
      <c r="C11" s="2908"/>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75"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30" s="1338" customFormat="1" ht="27">
      <c r="A12" s="2915"/>
      <c r="B12" s="2920" t="s">
        <v>2759</v>
      </c>
      <c r="C12" s="910">
        <v>68.5</v>
      </c>
      <c r="D12" s="255">
        <v>100</v>
      </c>
      <c r="E12" s="529" t="s">
        <v>3174</v>
      </c>
      <c r="F12" s="255">
        <f>ROUND(100/'数据-取费表'!G16,0)</f>
        <v>100</v>
      </c>
      <c r="G12" s="530" t="s">
        <v>3175</v>
      </c>
      <c r="H12" s="255">
        <f>ROUND(100/'数据-取费表'!G16,0)</f>
        <v>100</v>
      </c>
      <c r="I12" s="530" t="s">
        <v>3174</v>
      </c>
      <c r="J12" s="255">
        <f>ROUND(100/'数据-取费表'!G16,0)</f>
        <v>100</v>
      </c>
      <c r="K12" s="531"/>
      <c r="L12" s="2138"/>
      <c r="M12" s="2132"/>
      <c r="N12" s="2132"/>
      <c r="O12" s="2139"/>
      <c r="P12" s="3375"/>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30" ht="20.25">
      <c r="A13" s="2916"/>
      <c r="B13" s="2920" t="s">
        <v>2760</v>
      </c>
      <c r="C13" s="534">
        <v>3</v>
      </c>
      <c r="D13" s="255">
        <v>100</v>
      </c>
      <c r="E13" s="533">
        <v>3.5</v>
      </c>
      <c r="F13" s="255">
        <f>LOOKUP(E13,82:82,83:83)-LOOKUP(C13,82:82,83:83)+100</f>
        <v>100</v>
      </c>
      <c r="G13" s="534">
        <v>2.5</v>
      </c>
      <c r="H13" s="255">
        <f>LOOKUP(G13,82:82,83:83)-LOOKUP(C13,82:82,83:83)+100</f>
        <v>105</v>
      </c>
      <c r="I13" s="533">
        <v>1.5</v>
      </c>
      <c r="J13" s="255">
        <f>LOOKUP(I13,82:82,83:83)-LOOKUP(C13,82:82,83:83)+100</f>
        <v>110</v>
      </c>
      <c r="K13" s="535">
        <v>5</v>
      </c>
      <c r="L13" s="2140"/>
      <c r="M13" s="2132"/>
      <c r="N13" s="2132"/>
      <c r="O13" s="2141"/>
      <c r="P13" s="3375"/>
      <c r="Q13" s="1151" t="str">
        <f t="shared" si="6"/>
        <v>容积率</v>
      </c>
      <c r="R13" s="1569" t="s">
        <v>8</v>
      </c>
      <c r="S13" s="1570">
        <f t="shared" si="0"/>
        <v>100</v>
      </c>
      <c r="T13" s="1569" t="s">
        <v>8</v>
      </c>
      <c r="U13" s="1570">
        <f t="shared" si="1"/>
        <v>105</v>
      </c>
      <c r="V13" s="1569" t="s">
        <v>8</v>
      </c>
      <c r="W13" s="1570">
        <f t="shared" si="2"/>
        <v>110</v>
      </c>
      <c r="X13" s="1571"/>
      <c r="Y13" s="3321"/>
      <c r="Z13" s="1150" t="str">
        <f t="shared" si="7"/>
        <v>容积率</v>
      </c>
      <c r="AA13" s="1572">
        <f t="shared" si="3"/>
        <v>1</v>
      </c>
      <c r="AB13" s="1572">
        <f t="shared" si="4"/>
        <v>0.95238095238095233</v>
      </c>
      <c r="AC13" s="1572">
        <f t="shared" si="5"/>
        <v>0.90909090909090906</v>
      </c>
    </row>
    <row r="14" spans="1:30" s="1220" customFormat="1" ht="20.25">
      <c r="A14" s="2913"/>
      <c r="B14" s="2922" t="s">
        <v>2761</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75"/>
      <c r="Q14" s="1151" t="str">
        <f t="shared" si="6"/>
        <v>配建</v>
      </c>
      <c r="R14" s="1569" t="s">
        <v>8</v>
      </c>
      <c r="S14" s="1570">
        <f t="shared" si="0"/>
        <v>100</v>
      </c>
      <c r="T14" s="1569" t="s">
        <v>8</v>
      </c>
      <c r="U14" s="1570">
        <f t="shared" si="1"/>
        <v>100</v>
      </c>
      <c r="V14" s="1569" t="s">
        <v>8</v>
      </c>
      <c r="W14" s="1570">
        <f t="shared" si="2"/>
        <v>100</v>
      </c>
      <c r="X14" s="1571"/>
      <c r="Y14" s="3321"/>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75"/>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75"/>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D16/F16</f>
        <v>1</v>
      </c>
      <c r="AB16" s="1572">
        <f>D16/H16</f>
        <v>1</v>
      </c>
      <c r="AC16" s="1572">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105</v>
      </c>
      <c r="K17" s="535">
        <v>5</v>
      </c>
      <c r="L17" s="2142"/>
      <c r="M17" s="2132"/>
      <c r="N17" s="2132"/>
      <c r="O17" s="2141"/>
      <c r="P17" s="3409" t="s">
        <v>540</v>
      </c>
      <c r="Q17" s="1573" t="str">
        <f t="shared" si="6"/>
        <v>居住社区成熟度</v>
      </c>
      <c r="R17" s="1574" t="s">
        <v>8</v>
      </c>
      <c r="S17" s="1575">
        <f t="shared" si="0"/>
        <v>105</v>
      </c>
      <c r="T17" s="1574" t="s">
        <v>8</v>
      </c>
      <c r="U17" s="1575">
        <f t="shared" si="1"/>
        <v>105</v>
      </c>
      <c r="V17" s="1574" t="s">
        <v>8</v>
      </c>
      <c r="W17" s="1575">
        <f t="shared" si="2"/>
        <v>105</v>
      </c>
      <c r="X17" s="1568"/>
      <c r="Y17" s="3409" t="s">
        <v>540</v>
      </c>
      <c r="Z17" s="1576" t="str">
        <f t="shared" si="7"/>
        <v>居住社区成熟度</v>
      </c>
      <c r="AA17" s="1577">
        <f t="shared" si="3"/>
        <v>0.95238095238095233</v>
      </c>
      <c r="AB17" s="1577">
        <f t="shared" si="4"/>
        <v>0.95238095238095233</v>
      </c>
      <c r="AC17" s="1577">
        <f t="shared" si="5"/>
        <v>0.95238095238095233</v>
      </c>
    </row>
    <row r="18" spans="1:29" ht="20.25">
      <c r="A18" s="532"/>
      <c r="B18" s="553"/>
      <c r="C18" s="554" t="s">
        <v>2996</v>
      </c>
      <c r="D18" s="557"/>
      <c r="E18" s="558" t="s">
        <v>2998</v>
      </c>
      <c r="F18" s="555"/>
      <c r="G18" s="556" t="s">
        <v>2998</v>
      </c>
      <c r="H18" s="559"/>
      <c r="I18" s="558" t="s">
        <v>2998</v>
      </c>
      <c r="J18" s="555"/>
      <c r="K18" s="531"/>
      <c r="L18" s="2142"/>
      <c r="M18" s="2132"/>
      <c r="N18" s="2132"/>
      <c r="O18" s="2141"/>
      <c r="P18" s="3410"/>
      <c r="Q18" s="1573"/>
      <c r="R18" s="1574"/>
      <c r="S18" s="1575"/>
      <c r="T18" s="1574"/>
      <c r="U18" s="1575"/>
      <c r="V18" s="1574"/>
      <c r="W18" s="1575"/>
      <c r="X18" s="1568"/>
      <c r="Y18" s="341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102</v>
      </c>
      <c r="G19" s="562"/>
      <c r="H19" s="565">
        <f>SUMIF(92:92,G20,93:93)-SUMIF(92:92,C20,93:93)+100</f>
        <v>102</v>
      </c>
      <c r="I19" s="564"/>
      <c r="J19" s="565">
        <f>SUMIF(92:92,I20,93:93)-SUMIF(92:92,C20,93:93)+100</f>
        <v>102</v>
      </c>
      <c r="K19" s="535">
        <v>2</v>
      </c>
      <c r="L19" s="2142"/>
      <c r="M19" s="2132"/>
      <c r="N19" s="2132"/>
      <c r="O19" s="2141"/>
      <c r="P19" s="3410"/>
      <c r="Q19" s="1573" t="str">
        <f>B19</f>
        <v>商业繁华度</v>
      </c>
      <c r="R19" s="1574" t="s">
        <v>8</v>
      </c>
      <c r="S19" s="1575">
        <f>F19</f>
        <v>102</v>
      </c>
      <c r="T19" s="1574" t="s">
        <v>8</v>
      </c>
      <c r="U19" s="1575">
        <f>H19</f>
        <v>102</v>
      </c>
      <c r="V19" s="1574" t="s">
        <v>8</v>
      </c>
      <c r="W19" s="1575">
        <f>J19</f>
        <v>102</v>
      </c>
      <c r="X19" s="1568"/>
      <c r="Y19" s="3410"/>
      <c r="Z19" s="1576" t="str">
        <f>Q19</f>
        <v>商业繁华度</v>
      </c>
      <c r="AA19" s="1577">
        <f t="shared" si="3"/>
        <v>0.98039215686274506</v>
      </c>
      <c r="AB19" s="1577">
        <f t="shared" si="4"/>
        <v>0.98039215686274506</v>
      </c>
      <c r="AC19" s="1577">
        <f t="shared" si="5"/>
        <v>0.98039215686274506</v>
      </c>
    </row>
    <row r="20" spans="1:29" ht="20.25">
      <c r="A20" s="532"/>
      <c r="B20" s="566"/>
      <c r="C20" s="567" t="s">
        <v>2997</v>
      </c>
      <c r="D20" s="563"/>
      <c r="E20" s="558" t="s">
        <v>2996</v>
      </c>
      <c r="F20" s="559"/>
      <c r="G20" s="558" t="s">
        <v>2996</v>
      </c>
      <c r="H20" s="555"/>
      <c r="I20" s="558" t="s">
        <v>2996</v>
      </c>
      <c r="J20" s="555"/>
      <c r="K20" s="531"/>
      <c r="L20" s="2142"/>
      <c r="M20" s="2132"/>
      <c r="N20" s="2132"/>
      <c r="O20" s="2141"/>
      <c r="P20" s="3410"/>
      <c r="Q20" s="1573"/>
      <c r="R20" s="1574"/>
      <c r="S20" s="1575"/>
      <c r="T20" s="1574"/>
      <c r="U20" s="1575"/>
      <c r="V20" s="1574"/>
      <c r="W20" s="1575"/>
      <c r="X20" s="1568"/>
      <c r="Y20" s="3410"/>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10"/>
      <c r="Q21" s="1573" t="str">
        <f>B21</f>
        <v>办公集聚程度</v>
      </c>
      <c r="R21" s="1574" t="s">
        <v>8</v>
      </c>
      <c r="S21" s="1575">
        <f>F21</f>
        <v>100</v>
      </c>
      <c r="T21" s="1574" t="s">
        <v>8</v>
      </c>
      <c r="U21" s="1575">
        <f>H21</f>
        <v>100</v>
      </c>
      <c r="V21" s="1574" t="s">
        <v>8</v>
      </c>
      <c r="W21" s="1575">
        <f>J21</f>
        <v>100</v>
      </c>
      <c r="X21" s="1568"/>
      <c r="Y21" s="3410"/>
      <c r="Z21" s="1576" t="str">
        <f>Q21</f>
        <v>办公集聚程度</v>
      </c>
      <c r="AA21" s="1577">
        <f t="shared" si="3"/>
        <v>1</v>
      </c>
      <c r="AB21" s="1577">
        <f t="shared" si="4"/>
        <v>1</v>
      </c>
      <c r="AC21" s="1577">
        <f t="shared" si="5"/>
        <v>1</v>
      </c>
    </row>
    <row r="22" spans="1:29" ht="20.25">
      <c r="A22" s="532"/>
      <c r="B22" s="566"/>
      <c r="C22" s="554" t="s">
        <v>2996</v>
      </c>
      <c r="D22" s="557"/>
      <c r="E22" s="558" t="s">
        <v>2996</v>
      </c>
      <c r="F22" s="555"/>
      <c r="G22" s="556" t="s">
        <v>2996</v>
      </c>
      <c r="H22" s="555"/>
      <c r="I22" s="558" t="s">
        <v>2996</v>
      </c>
      <c r="J22" s="555"/>
      <c r="K22" s="531"/>
      <c r="L22" s="2142"/>
      <c r="M22" s="2132"/>
      <c r="N22" s="2132"/>
      <c r="O22" s="2141"/>
      <c r="P22" s="3410"/>
      <c r="Q22" s="1573"/>
      <c r="R22" s="1574"/>
      <c r="S22" s="1575"/>
      <c r="T22" s="1574"/>
      <c r="U22" s="1575"/>
      <c r="V22" s="1574"/>
      <c r="W22" s="1575"/>
      <c r="X22" s="1568"/>
      <c r="Y22" s="341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42"/>
      <c r="M23" s="2132"/>
      <c r="N23" s="2132"/>
      <c r="O23" s="2141"/>
      <c r="P23" s="3410"/>
      <c r="Q23" s="1573" t="str">
        <f>B23</f>
        <v>交通便捷度</v>
      </c>
      <c r="R23" s="1574" t="s">
        <v>8</v>
      </c>
      <c r="S23" s="1575">
        <f>F23</f>
        <v>100</v>
      </c>
      <c r="T23" s="1574" t="s">
        <v>8</v>
      </c>
      <c r="U23" s="1575">
        <f>H23</f>
        <v>100</v>
      </c>
      <c r="V23" s="1574" t="s">
        <v>8</v>
      </c>
      <c r="W23" s="1575">
        <f>J23</f>
        <v>100</v>
      </c>
      <c r="X23" s="1568"/>
      <c r="Y23" s="3410"/>
      <c r="Z23" s="1576" t="str">
        <f>Q23</f>
        <v>交通便捷度</v>
      </c>
      <c r="AA23" s="1577">
        <f t="shared" si="3"/>
        <v>1</v>
      </c>
      <c r="AB23" s="1577">
        <f t="shared" si="4"/>
        <v>1</v>
      </c>
      <c r="AC23" s="1577">
        <f t="shared" si="5"/>
        <v>1</v>
      </c>
    </row>
    <row r="24" spans="1:29" ht="20.25">
      <c r="A24" s="532"/>
      <c r="B24" s="578"/>
      <c r="C24" s="554" t="s">
        <v>2996</v>
      </c>
      <c r="D24" s="557"/>
      <c r="E24" s="558" t="s">
        <v>2996</v>
      </c>
      <c r="F24" s="555"/>
      <c r="G24" s="556" t="s">
        <v>2996</v>
      </c>
      <c r="H24" s="555"/>
      <c r="I24" s="558" t="s">
        <v>2996</v>
      </c>
      <c r="J24" s="555"/>
      <c r="K24" s="531"/>
      <c r="L24" s="2142"/>
      <c r="M24" s="2132"/>
      <c r="N24" s="2132"/>
      <c r="O24" s="2141"/>
      <c r="P24" s="3410"/>
      <c r="Q24" s="1573"/>
      <c r="R24" s="1574"/>
      <c r="S24" s="1575"/>
      <c r="T24" s="1574"/>
      <c r="U24" s="1575"/>
      <c r="V24" s="1574"/>
      <c r="W24" s="1575"/>
      <c r="X24" s="1568"/>
      <c r="Y24" s="341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2"/>
      <c r="M25" s="2132"/>
      <c r="N25" s="2132"/>
      <c r="O25" s="2141"/>
      <c r="P25" s="3410"/>
      <c r="Q25" s="1573" t="str">
        <f t="shared" ref="Q25:Q39" si="8">B25</f>
        <v>区域土地利用方向</v>
      </c>
      <c r="R25" s="1574" t="s">
        <v>8</v>
      </c>
      <c r="S25" s="1575">
        <f>F25</f>
        <v>100</v>
      </c>
      <c r="T25" s="1574" t="s">
        <v>8</v>
      </c>
      <c r="U25" s="1575">
        <f>H25</f>
        <v>100</v>
      </c>
      <c r="V25" s="1574" t="s">
        <v>8</v>
      </c>
      <c r="W25" s="1575">
        <f>J25</f>
        <v>100</v>
      </c>
      <c r="X25" s="1568"/>
      <c r="Y25" s="3410"/>
      <c r="Z25" s="1576" t="str">
        <f>Q25</f>
        <v>区域土地利用方向</v>
      </c>
      <c r="AA25" s="1577">
        <f t="shared" si="3"/>
        <v>1</v>
      </c>
      <c r="AB25" s="1577">
        <f t="shared" si="4"/>
        <v>1</v>
      </c>
      <c r="AC25" s="1577">
        <f t="shared" si="5"/>
        <v>1</v>
      </c>
    </row>
    <row r="26" spans="1:29" ht="20.25">
      <c r="A26" s="515"/>
      <c r="B26" s="1007"/>
      <c r="C26" s="554" t="s">
        <v>2996</v>
      </c>
      <c r="D26" s="557"/>
      <c r="E26" s="558" t="s">
        <v>2996</v>
      </c>
      <c r="F26" s="555"/>
      <c r="G26" s="556" t="s">
        <v>2996</v>
      </c>
      <c r="H26" s="555"/>
      <c r="I26" s="558" t="s">
        <v>2996</v>
      </c>
      <c r="J26" s="555"/>
      <c r="K26" s="531"/>
      <c r="L26" s="2142"/>
      <c r="M26" s="2132"/>
      <c r="N26" s="2132"/>
      <c r="O26" s="2141"/>
      <c r="P26" s="3410"/>
      <c r="Q26" s="1573"/>
      <c r="R26" s="1574"/>
      <c r="S26" s="1575"/>
      <c r="T26" s="1574"/>
      <c r="U26" s="1575"/>
      <c r="V26" s="1574"/>
      <c r="W26" s="1575"/>
      <c r="X26" s="1568"/>
      <c r="Y26" s="341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105</v>
      </c>
      <c r="K27" s="535">
        <v>5</v>
      </c>
      <c r="L27" s="2142"/>
      <c r="M27" s="2132"/>
      <c r="N27" s="2132"/>
      <c r="O27" s="2141"/>
      <c r="P27" s="3410"/>
      <c r="Q27" s="1573" t="str">
        <f t="shared" si="8"/>
        <v>自然及人文环境状况</v>
      </c>
      <c r="R27" s="1574" t="s">
        <v>8</v>
      </c>
      <c r="S27" s="1575">
        <f>F27</f>
        <v>105</v>
      </c>
      <c r="T27" s="1574" t="s">
        <v>8</v>
      </c>
      <c r="U27" s="1575">
        <f>H27</f>
        <v>105</v>
      </c>
      <c r="V27" s="1574" t="s">
        <v>8</v>
      </c>
      <c r="W27" s="1575">
        <f>J27</f>
        <v>105</v>
      </c>
      <c r="X27" s="1568"/>
      <c r="Y27" s="3410"/>
      <c r="Z27" s="1576" t="str">
        <f>Q27</f>
        <v>自然及人文环境状况</v>
      </c>
      <c r="AA27" s="1577">
        <f t="shared" si="3"/>
        <v>0.95238095238095233</v>
      </c>
      <c r="AB27" s="1577">
        <f t="shared" si="4"/>
        <v>0.95238095238095233</v>
      </c>
      <c r="AC27" s="1577">
        <f t="shared" si="5"/>
        <v>0.95238095238095233</v>
      </c>
    </row>
    <row r="28" spans="1:29" ht="20.25">
      <c r="A28" s="515"/>
      <c r="B28" s="566"/>
      <c r="C28" s="554" t="s">
        <v>2997</v>
      </c>
      <c r="D28" s="557"/>
      <c r="E28" s="576" t="s">
        <v>2996</v>
      </c>
      <c r="F28" s="555"/>
      <c r="G28" s="554" t="s">
        <v>2996</v>
      </c>
      <c r="H28" s="555"/>
      <c r="I28" s="576" t="s">
        <v>2996</v>
      </c>
      <c r="J28" s="555"/>
      <c r="K28" s="531"/>
      <c r="L28" s="2142"/>
      <c r="M28" s="2132"/>
      <c r="N28" s="2132"/>
      <c r="O28" s="2141"/>
      <c r="P28" s="3410"/>
      <c r="Q28" s="1573"/>
      <c r="R28" s="1574"/>
      <c r="S28" s="1575"/>
      <c r="T28" s="1574"/>
      <c r="U28" s="1575"/>
      <c r="V28" s="1574"/>
      <c r="W28" s="1575"/>
      <c r="X28" s="1568"/>
      <c r="Y28" s="3410"/>
      <c r="Z28" s="1576"/>
      <c r="AA28" s="1577">
        <v>1</v>
      </c>
      <c r="AB28" s="1577">
        <v>1</v>
      </c>
      <c r="AC28" s="1577">
        <v>1</v>
      </c>
    </row>
    <row r="29" spans="1:29" s="1220" customFormat="1" ht="42.75">
      <c r="A29" s="577"/>
      <c r="B29" s="2591" t="s">
        <v>2550</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35"/>
      <c r="M29" s="2132"/>
      <c r="N29" s="2132"/>
      <c r="O29" s="2137"/>
      <c r="P29" s="3410"/>
      <c r="Q29" s="1151" t="str">
        <f t="shared" si="8"/>
        <v>公共配套设施</v>
      </c>
      <c r="R29" s="1569" t="s">
        <v>8</v>
      </c>
      <c r="S29" s="1570">
        <f>F29</f>
        <v>105</v>
      </c>
      <c r="T29" s="1569" t="s">
        <v>8</v>
      </c>
      <c r="U29" s="1570">
        <f>H29</f>
        <v>105</v>
      </c>
      <c r="V29" s="1569" t="s">
        <v>8</v>
      </c>
      <c r="W29" s="1570">
        <f>J29</f>
        <v>105</v>
      </c>
      <c r="X29" s="1571"/>
      <c r="Y29" s="3410"/>
      <c r="Z29" s="1150" t="str">
        <f>Q29</f>
        <v>公共配套设施</v>
      </c>
      <c r="AA29" s="1577">
        <f>D29/F29</f>
        <v>0.95238095238095233</v>
      </c>
      <c r="AB29" s="1577">
        <f>D29/H29</f>
        <v>0.95238095238095233</v>
      </c>
      <c r="AC29" s="1577">
        <f>D29/J29</f>
        <v>0.95238095238095233</v>
      </c>
    </row>
    <row r="30" spans="1:29" s="1220" customFormat="1" ht="20.25">
      <c r="A30" s="577"/>
      <c r="B30" s="566"/>
      <c r="C30" s="579" t="s">
        <v>2996</v>
      </c>
      <c r="D30" s="557"/>
      <c r="E30" s="576" t="s">
        <v>2998</v>
      </c>
      <c r="F30" s="555"/>
      <c r="G30" s="554" t="s">
        <v>2998</v>
      </c>
      <c r="H30" s="555"/>
      <c r="I30" s="576" t="s">
        <v>2998</v>
      </c>
      <c r="J30" s="555"/>
      <c r="K30" s="531"/>
      <c r="L30" s="2135"/>
      <c r="M30" s="2132"/>
      <c r="N30" s="2132"/>
      <c r="O30" s="2137"/>
      <c r="P30" s="3410"/>
      <c r="Q30" s="1151"/>
      <c r="R30" s="1569"/>
      <c r="S30" s="1570"/>
      <c r="T30" s="1569"/>
      <c r="U30" s="1570"/>
      <c r="V30" s="1569"/>
      <c r="W30" s="1570"/>
      <c r="X30" s="1571"/>
      <c r="Y30" s="3410"/>
      <c r="Z30" s="1150"/>
      <c r="AA30" s="1577">
        <v>1</v>
      </c>
      <c r="AB30" s="1577">
        <v>1</v>
      </c>
      <c r="AC30" s="1577">
        <v>1</v>
      </c>
    </row>
    <row r="31" spans="1:29" s="1220"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10"/>
      <c r="Q31" s="2578" t="str">
        <f t="shared" ref="Q31" si="9">B31</f>
        <v>基础设施水平</v>
      </c>
      <c r="R31" s="1569" t="s">
        <v>8</v>
      </c>
      <c r="S31" s="1570">
        <f>F31</f>
        <v>100</v>
      </c>
      <c r="T31" s="1569" t="s">
        <v>8</v>
      </c>
      <c r="U31" s="1570">
        <f>H31</f>
        <v>100</v>
      </c>
      <c r="V31" s="1569" t="s">
        <v>8</v>
      </c>
      <c r="W31" s="1570">
        <f>J31</f>
        <v>100</v>
      </c>
      <c r="X31" s="1571"/>
      <c r="Y31" s="3410"/>
      <c r="Z31" s="2575" t="str">
        <f>Q31</f>
        <v>基础设施水平</v>
      </c>
      <c r="AA31" s="1577">
        <f>D31/F31</f>
        <v>1</v>
      </c>
      <c r="AB31" s="1577">
        <f>D31/H31</f>
        <v>1</v>
      </c>
      <c r="AC31" s="1577">
        <f>D31/J31</f>
        <v>1</v>
      </c>
    </row>
    <row r="32" spans="1:29" s="1220" customFormat="1" ht="20.25">
      <c r="A32" s="577"/>
      <c r="B32" s="566"/>
      <c r="C32" s="579"/>
      <c r="D32" s="557"/>
      <c r="E32" s="2592"/>
      <c r="F32" s="555"/>
      <c r="G32" s="579"/>
      <c r="H32" s="555"/>
      <c r="I32" s="579"/>
      <c r="J32" s="555"/>
      <c r="K32" s="531"/>
      <c r="L32" s="2135"/>
      <c r="M32" s="2132"/>
      <c r="N32" s="2132"/>
      <c r="O32" s="2137"/>
      <c r="P32" s="3410"/>
      <c r="Q32" s="2578"/>
      <c r="R32" s="1569"/>
      <c r="S32" s="1570"/>
      <c r="T32" s="1569"/>
      <c r="U32" s="1570"/>
      <c r="V32" s="1569"/>
      <c r="W32" s="1570"/>
      <c r="X32" s="1571"/>
      <c r="Y32" s="3410"/>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1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10"/>
      <c r="Q34" s="1573" t="str">
        <f t="shared" si="8"/>
        <v>毗邻道路的类型与等级</v>
      </c>
      <c r="R34" s="1574" t="s">
        <v>8</v>
      </c>
      <c r="S34" s="1575">
        <f t="shared" si="10"/>
        <v>100</v>
      </c>
      <c r="T34" s="1574" t="s">
        <v>8</v>
      </c>
      <c r="U34" s="1575">
        <f t="shared" si="11"/>
        <v>100</v>
      </c>
      <c r="V34" s="1574" t="s">
        <v>8</v>
      </c>
      <c r="W34" s="1575">
        <f t="shared" si="12"/>
        <v>100</v>
      </c>
      <c r="X34" s="1568"/>
      <c r="Y34" s="3410"/>
      <c r="Z34" s="1576" t="str">
        <f t="shared" si="13"/>
        <v>毗邻道路的类型与等级</v>
      </c>
      <c r="AA34" s="1577">
        <f t="shared" si="3"/>
        <v>1</v>
      </c>
      <c r="AB34" s="1577">
        <f t="shared" si="4"/>
        <v>1</v>
      </c>
      <c r="AC34" s="1577">
        <f t="shared" si="5"/>
        <v>1</v>
      </c>
    </row>
    <row r="35" spans="1:29" ht="20.25">
      <c r="A35" s="532"/>
      <c r="B35" s="566"/>
      <c r="C35" s="554" t="s">
        <v>3165</v>
      </c>
      <c r="D35" s="557"/>
      <c r="E35" s="576" t="s">
        <v>3165</v>
      </c>
      <c r="F35" s="555"/>
      <c r="G35" s="554" t="s">
        <v>3165</v>
      </c>
      <c r="H35" s="555"/>
      <c r="I35" s="576" t="s">
        <v>3165</v>
      </c>
      <c r="J35" s="555"/>
      <c r="K35" s="581"/>
      <c r="L35" s="2142"/>
      <c r="M35" s="2132"/>
      <c r="N35" s="2132"/>
      <c r="O35" s="2141"/>
      <c r="P35" s="3410"/>
      <c r="Q35" s="1573"/>
      <c r="R35" s="1574"/>
      <c r="S35" s="1575"/>
      <c r="T35" s="1574"/>
      <c r="U35" s="1575"/>
      <c r="V35" s="1574"/>
      <c r="W35" s="1575"/>
      <c r="X35" s="1568"/>
      <c r="Y35" s="341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0"/>
      <c r="Q36" s="1573" t="str">
        <f t="shared" si="8"/>
        <v>土地级别</v>
      </c>
      <c r="R36" s="1574" t="s">
        <v>8</v>
      </c>
      <c r="S36" s="1575">
        <f t="shared" si="10"/>
        <v>100</v>
      </c>
      <c r="T36" s="1574" t="s">
        <v>8</v>
      </c>
      <c r="U36" s="1575">
        <f t="shared" si="11"/>
        <v>100</v>
      </c>
      <c r="V36" s="1574" t="s">
        <v>8</v>
      </c>
      <c r="W36" s="1575">
        <f t="shared" si="12"/>
        <v>100</v>
      </c>
      <c r="X36" s="1568"/>
      <c r="Y36" s="341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0"/>
      <c r="Q37" s="1573">
        <f t="shared" si="8"/>
        <v>111</v>
      </c>
      <c r="R37" s="1574" t="s">
        <v>8</v>
      </c>
      <c r="S37" s="1575">
        <f t="shared" si="10"/>
        <v>100</v>
      </c>
      <c r="T37" s="1574" t="s">
        <v>8</v>
      </c>
      <c r="U37" s="1575">
        <f t="shared" si="11"/>
        <v>100</v>
      </c>
      <c r="V37" s="1574" t="s">
        <v>8</v>
      </c>
      <c r="W37" s="1575">
        <f t="shared" si="12"/>
        <v>100</v>
      </c>
      <c r="X37" s="1568"/>
      <c r="Y37" s="341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1" t="s">
        <v>550</v>
      </c>
      <c r="Q38" s="1573">
        <f t="shared" si="8"/>
        <v>111</v>
      </c>
      <c r="R38" s="1574" t="s">
        <v>8</v>
      </c>
      <c r="S38" s="1575">
        <f t="shared" si="10"/>
        <v>100</v>
      </c>
      <c r="T38" s="1574" t="s">
        <v>8</v>
      </c>
      <c r="U38" s="1575">
        <f t="shared" si="11"/>
        <v>100</v>
      </c>
      <c r="V38" s="1574" t="s">
        <v>8</v>
      </c>
      <c r="W38" s="1575">
        <f t="shared" si="12"/>
        <v>100</v>
      </c>
      <c r="X38" s="1568"/>
      <c r="Y38" s="341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2"/>
      <c r="Q39" s="1573">
        <f t="shared" si="8"/>
        <v>111</v>
      </c>
      <c r="R39" s="1578" t="s">
        <v>8</v>
      </c>
      <c r="S39" s="1579">
        <f t="shared" si="10"/>
        <v>100</v>
      </c>
      <c r="T39" s="1578" t="s">
        <v>8</v>
      </c>
      <c r="U39" s="1579">
        <f t="shared" si="11"/>
        <v>100</v>
      </c>
      <c r="V39" s="1578" t="s">
        <v>8</v>
      </c>
      <c r="W39" s="1579">
        <f t="shared" si="12"/>
        <v>100</v>
      </c>
      <c r="X39" s="1580"/>
      <c r="Y39" s="3412"/>
      <c r="Z39" s="1581">
        <f t="shared" si="13"/>
        <v>111</v>
      </c>
      <c r="AA39" s="1577">
        <f t="shared" si="3"/>
        <v>1</v>
      </c>
      <c r="AB39" s="1577">
        <f t="shared" si="4"/>
        <v>1</v>
      </c>
      <c r="AC39" s="1577">
        <f t="shared" si="5"/>
        <v>1</v>
      </c>
    </row>
    <row r="40" spans="1:29" ht="20.25">
      <c r="A40" s="2907" t="s">
        <v>2757</v>
      </c>
      <c r="B40" s="595" t="s">
        <v>552</v>
      </c>
      <c r="C40" s="596">
        <f>'数据-基础表'!A3</f>
        <v>7460.31</v>
      </c>
      <c r="D40" s="597">
        <v>100</v>
      </c>
      <c r="E40" s="596">
        <f>Sheet1!D5</f>
        <v>2524</v>
      </c>
      <c r="F40" s="597">
        <f>LOOKUP(E40,119:119,120:120)-LOOKUP(C40,119:119,120:120)+100</f>
        <v>100</v>
      </c>
      <c r="G40" s="596">
        <f>Sheet1!D8</f>
        <v>10799</v>
      </c>
      <c r="H40" s="597">
        <f>LOOKUP(G40,119:119,120:120)-LOOKUP(C40,119:119,120:120)+100</f>
        <v>101</v>
      </c>
      <c r="I40" s="598">
        <f>Sheet1!D10</f>
        <v>24054</v>
      </c>
      <c r="J40" s="597">
        <f>LOOKUP(I40,119:119,120:120)-LOOKUP(C40,119:119,120:120)+100</f>
        <v>101</v>
      </c>
      <c r="K40" s="581"/>
      <c r="L40" s="2142"/>
      <c r="M40" s="2132"/>
      <c r="N40" s="2132"/>
      <c r="O40" s="2141"/>
      <c r="P40" s="3412"/>
      <c r="Q40" s="1573" t="str">
        <f>B40</f>
        <v>宗地面积</v>
      </c>
      <c r="R40" s="1574" t="s">
        <v>8</v>
      </c>
      <c r="S40" s="1575">
        <f t="shared" si="10"/>
        <v>100</v>
      </c>
      <c r="T40" s="1574" t="s">
        <v>8</v>
      </c>
      <c r="U40" s="1575">
        <f t="shared" si="11"/>
        <v>101</v>
      </c>
      <c r="V40" s="1574" t="s">
        <v>8</v>
      </c>
      <c r="W40" s="1575">
        <f t="shared" si="12"/>
        <v>101</v>
      </c>
      <c r="X40" s="1568"/>
      <c r="Y40" s="3412"/>
      <c r="Z40" s="1576" t="str">
        <f t="shared" si="13"/>
        <v>宗地面积</v>
      </c>
      <c r="AA40" s="1577">
        <f t="shared" si="3"/>
        <v>1</v>
      </c>
      <c r="AB40" s="1577">
        <f t="shared" si="4"/>
        <v>0.99009900990099009</v>
      </c>
      <c r="AC40" s="1577">
        <f t="shared" si="5"/>
        <v>0.99009900990099009</v>
      </c>
    </row>
    <row r="41" spans="1:29" ht="20.25">
      <c r="A41" s="594"/>
      <c r="B41" s="527" t="s">
        <v>553</v>
      </c>
      <c r="C41" s="599" t="s">
        <v>3048</v>
      </c>
      <c r="D41" s="540">
        <v>100</v>
      </c>
      <c r="E41" s="599" t="s">
        <v>3048</v>
      </c>
      <c r="F41" s="540">
        <f>SUMIF(121:121,E41,122:122)-SUMIF(121:121,C41,122:122)+100</f>
        <v>100</v>
      </c>
      <c r="G41" s="599" t="s">
        <v>3048</v>
      </c>
      <c r="H41" s="540">
        <f>SUMIF(121:121,G41,122:122)-SUMIF(121:121,C41,122:122)+100</f>
        <v>100</v>
      </c>
      <c r="I41" s="599" t="s">
        <v>3048</v>
      </c>
      <c r="J41" s="540">
        <f>SUMIF(121:121,I41,122:122)-SUMIF(121:121,C41,122:122)+100</f>
        <v>100</v>
      </c>
      <c r="K41" s="584">
        <v>5</v>
      </c>
      <c r="L41" s="2142"/>
      <c r="M41" s="2132"/>
      <c r="N41" s="2132"/>
      <c r="O41" s="2141"/>
      <c r="P41" s="3412"/>
      <c r="Q41" s="1573" t="str">
        <f t="shared" ref="Q41:Q47" si="14">B41</f>
        <v>宗地形状</v>
      </c>
      <c r="R41" s="1574" t="s">
        <v>8</v>
      </c>
      <c r="S41" s="1575">
        <f t="shared" si="10"/>
        <v>100</v>
      </c>
      <c r="T41" s="1574" t="s">
        <v>8</v>
      </c>
      <c r="U41" s="1575">
        <f t="shared" si="11"/>
        <v>100</v>
      </c>
      <c r="V41" s="1574" t="s">
        <v>8</v>
      </c>
      <c r="W41" s="1575">
        <f t="shared" si="12"/>
        <v>100</v>
      </c>
      <c r="X41" s="1568"/>
      <c r="Y41" s="3412"/>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12"/>
      <c r="Q42" s="1573" t="str">
        <f t="shared" si="14"/>
        <v>临街宽度及深度</v>
      </c>
      <c r="R42" s="1574" t="s">
        <v>8</v>
      </c>
      <c r="S42" s="1575">
        <f t="shared" si="10"/>
        <v>100</v>
      </c>
      <c r="T42" s="1574" t="s">
        <v>8</v>
      </c>
      <c r="U42" s="1575">
        <f t="shared" si="11"/>
        <v>100</v>
      </c>
      <c r="V42" s="1574" t="s">
        <v>8</v>
      </c>
      <c r="W42" s="1575">
        <f t="shared" si="12"/>
        <v>100</v>
      </c>
      <c r="X42" s="1568"/>
      <c r="Y42" s="3412"/>
      <c r="Z42" s="1576" t="str">
        <f t="shared" si="13"/>
        <v>临街宽度及深度</v>
      </c>
      <c r="AA42" s="1577">
        <f t="shared" si="3"/>
        <v>1</v>
      </c>
      <c r="AB42" s="1577">
        <f t="shared" si="4"/>
        <v>1</v>
      </c>
      <c r="AC42" s="1577">
        <f t="shared" si="5"/>
        <v>1</v>
      </c>
    </row>
    <row r="43" spans="1:29" s="1220" customFormat="1" ht="20.25">
      <c r="A43" s="600"/>
      <c r="B43" s="1897" t="s">
        <v>2426</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412"/>
      <c r="Q43" s="1573" t="str">
        <f t="shared" si="14"/>
        <v>宗地开发程度</v>
      </c>
      <c r="R43" s="1569" t="s">
        <v>8</v>
      </c>
      <c r="S43" s="1570">
        <f t="shared" si="10"/>
        <v>100</v>
      </c>
      <c r="T43" s="1569" t="s">
        <v>8</v>
      </c>
      <c r="U43" s="1570">
        <f t="shared" si="11"/>
        <v>100</v>
      </c>
      <c r="V43" s="1569" t="s">
        <v>8</v>
      </c>
      <c r="W43" s="1570">
        <f t="shared" si="12"/>
        <v>100</v>
      </c>
      <c r="X43" s="1571"/>
      <c r="Y43" s="3412"/>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12" t="s">
        <v>550</v>
      </c>
      <c r="Q44" s="1573" t="str">
        <f t="shared" si="14"/>
        <v>工程地质条件</v>
      </c>
      <c r="R44" s="1574" t="s">
        <v>8</v>
      </c>
      <c r="S44" s="1575">
        <f t="shared" si="10"/>
        <v>100</v>
      </c>
      <c r="T44" s="1574" t="s">
        <v>8</v>
      </c>
      <c r="U44" s="1575">
        <f t="shared" si="11"/>
        <v>100</v>
      </c>
      <c r="V44" s="1574" t="s">
        <v>8</v>
      </c>
      <c r="W44" s="1575">
        <f t="shared" si="12"/>
        <v>100</v>
      </c>
      <c r="X44" s="1568"/>
      <c r="Y44" s="341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2"/>
      <c r="Q45" s="1573">
        <f t="shared" si="14"/>
        <v>111</v>
      </c>
      <c r="R45" s="1574" t="s">
        <v>8</v>
      </c>
      <c r="S45" s="1575">
        <f t="shared" si="10"/>
        <v>100</v>
      </c>
      <c r="T45" s="1574" t="s">
        <v>8</v>
      </c>
      <c r="U45" s="1575">
        <f t="shared" si="11"/>
        <v>100</v>
      </c>
      <c r="V45" s="1574" t="s">
        <v>8</v>
      </c>
      <c r="W45" s="1575">
        <f t="shared" si="12"/>
        <v>100</v>
      </c>
      <c r="X45" s="1568"/>
      <c r="Y45" s="341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2"/>
      <c r="Q46" s="1573">
        <f t="shared" si="14"/>
        <v>111</v>
      </c>
      <c r="R46" s="1574" t="s">
        <v>8</v>
      </c>
      <c r="S46" s="1575">
        <f t="shared" si="10"/>
        <v>100</v>
      </c>
      <c r="T46" s="1574" t="s">
        <v>8</v>
      </c>
      <c r="U46" s="1575">
        <f t="shared" si="11"/>
        <v>100</v>
      </c>
      <c r="V46" s="1574" t="s">
        <v>8</v>
      </c>
      <c r="W46" s="1575">
        <f t="shared" si="12"/>
        <v>100</v>
      </c>
      <c r="X46" s="1568"/>
      <c r="Y46" s="341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2"/>
      <c r="Q47" s="1573">
        <f t="shared" si="14"/>
        <v>111</v>
      </c>
      <c r="R47" s="1578" t="s">
        <v>8</v>
      </c>
      <c r="S47" s="1579">
        <f t="shared" si="10"/>
        <v>100</v>
      </c>
      <c r="T47" s="1578" t="s">
        <v>8</v>
      </c>
      <c r="U47" s="1579">
        <f t="shared" si="11"/>
        <v>100</v>
      </c>
      <c r="V47" s="1578" t="s">
        <v>8</v>
      </c>
      <c r="W47" s="1579">
        <f t="shared" si="12"/>
        <v>100</v>
      </c>
      <c r="X47" s="1580"/>
      <c r="Y47" s="3412"/>
      <c r="Z47" s="1581">
        <f t="shared" si="13"/>
        <v>111</v>
      </c>
      <c r="AA47" s="1577">
        <f t="shared" si="3"/>
        <v>1</v>
      </c>
      <c r="AB47" s="1577">
        <f t="shared" si="4"/>
        <v>1</v>
      </c>
      <c r="AC47" s="1577">
        <f t="shared" si="5"/>
        <v>1</v>
      </c>
    </row>
    <row r="48" spans="1:29" ht="20.25">
      <c r="A48" s="607" t="s">
        <v>556</v>
      </c>
      <c r="B48" s="608" t="s">
        <v>2993</v>
      </c>
      <c r="C48" s="609" t="s">
        <v>1</v>
      </c>
      <c r="D48" s="610"/>
      <c r="E48" s="611">
        <f>ROUND(Sheet1!K5,0)</f>
        <v>3430</v>
      </c>
      <c r="F48" s="612"/>
      <c r="G48" s="613">
        <f>ROUND(Sheet1!K8,0)</f>
        <v>3363</v>
      </c>
      <c r="H48" s="614"/>
      <c r="I48" s="611">
        <f>ROUND(Sheet1!K10,0)</f>
        <v>3858</v>
      </c>
      <c r="J48" s="614"/>
      <c r="K48" s="1340"/>
      <c r="L48" s="2144"/>
      <c r="M48" s="2132"/>
      <c r="N48" s="2132"/>
      <c r="O48" s="2145"/>
      <c r="P48" s="3375" t="str">
        <f>A48</f>
        <v>成交单价</v>
      </c>
      <c r="Q48" s="3375"/>
      <c r="R48" s="3376">
        <f>E48</f>
        <v>3430</v>
      </c>
      <c r="S48" s="3376"/>
      <c r="T48" s="3376">
        <f>G48</f>
        <v>3363</v>
      </c>
      <c r="U48" s="3376"/>
      <c r="V48" s="3376">
        <f>I48</f>
        <v>3858</v>
      </c>
      <c r="W48" s="3376"/>
      <c r="X48" s="1560"/>
      <c r="Y48" s="1582"/>
      <c r="Z48" s="1560"/>
      <c r="AA48" s="1560"/>
      <c r="AB48" s="1560"/>
      <c r="AC48" s="1560"/>
    </row>
    <row r="49" spans="1:29" ht="21" thickBot="1">
      <c r="A49" s="615" t="s">
        <v>2695</v>
      </c>
      <c r="B49" s="616"/>
      <c r="C49" s="617">
        <f>R50</f>
        <v>2873</v>
      </c>
      <c r="D49" s="618"/>
      <c r="E49" s="617">
        <f>R49</f>
        <v>2934</v>
      </c>
      <c r="F49" s="619"/>
      <c r="G49" s="620">
        <f>T49</f>
        <v>2713</v>
      </c>
      <c r="H49" s="618"/>
      <c r="I49" s="617">
        <f>V49</f>
        <v>2971</v>
      </c>
      <c r="J49" s="618"/>
      <c r="K49" s="1341"/>
      <c r="L49" s="2144"/>
      <c r="M49" s="2132"/>
      <c r="N49" s="2132"/>
      <c r="O49" s="2145"/>
      <c r="P49" s="3375" t="str">
        <f>A49</f>
        <v>比较价格（元/平方米）</v>
      </c>
      <c r="Q49" s="3375"/>
      <c r="R49" s="3377">
        <f>ROUND(PRODUCT(R48,AA9:AA47),0)</f>
        <v>2934</v>
      </c>
      <c r="S49" s="3377"/>
      <c r="T49" s="3377">
        <f>ROUND(PRODUCT(T48,AB9:AB47),0)</f>
        <v>2713</v>
      </c>
      <c r="U49" s="3377"/>
      <c r="V49" s="3377">
        <f>ROUND(PRODUCT(V48,AC9:AC47),0)</f>
        <v>2971</v>
      </c>
      <c r="W49" s="3377"/>
      <c r="X49" s="1560"/>
      <c r="Y49" s="1560"/>
      <c r="Z49" s="1560"/>
      <c r="AA49" s="1560"/>
      <c r="AB49" s="1560"/>
      <c r="AC49" s="1560"/>
    </row>
    <row r="50" spans="1:29" ht="21" thickBot="1">
      <c r="A50" s="621" t="s">
        <v>2934</v>
      </c>
      <c r="B50" s="622"/>
      <c r="C50" s="623">
        <f>R50</f>
        <v>2873</v>
      </c>
      <c r="D50" s="623"/>
      <c r="E50" s="623"/>
      <c r="F50" s="623"/>
      <c r="G50" s="623"/>
      <c r="H50" s="623"/>
      <c r="I50" s="623"/>
      <c r="J50" s="623"/>
      <c r="K50" s="1342"/>
      <c r="L50" s="2144"/>
      <c r="M50" s="2132"/>
      <c r="N50" s="2132"/>
      <c r="O50" s="2145"/>
      <c r="P50" s="3372" t="str">
        <f>A50</f>
        <v>估价对象XX用房的比较价格（楼面单价，元/平方米）</v>
      </c>
      <c r="Q50" s="3373"/>
      <c r="R50" s="3374">
        <f>ROUND(AVERAGE(R49:V49),0)</f>
        <v>2873</v>
      </c>
      <c r="S50" s="3374"/>
      <c r="T50" s="3374"/>
      <c r="U50" s="3374"/>
      <c r="V50" s="3374"/>
      <c r="W50" s="3374"/>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0.16905248807089301</v>
      </c>
      <c r="F53" s="627" t="str">
        <f>IF(OR(E53&gt;=0.3,E53&lt;=-0.3),"超过30%","")</f>
        <v/>
      </c>
      <c r="G53" s="626">
        <f>IF(G48&lt;G49,G49/G48-1,G48/G49-1)</f>
        <v>0.23958717287136011</v>
      </c>
      <c r="H53" s="627" t="str">
        <f>IF(OR(G53&gt;=0.3,G53&lt;=-0.3),"超过30%","")</f>
        <v/>
      </c>
      <c r="I53" s="626">
        <f>IF(I48&lt;I49,I49/I48-1,I48/I49-1)</f>
        <v>0.29855267586671164</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8.14596387762625E-2</v>
      </c>
      <c r="F54" s="627" t="str">
        <f>IF(OR(E54&gt;=0.2,E54&lt;=-0.2),"超过20%","")</f>
        <v/>
      </c>
      <c r="G54" s="626">
        <f>IF(G49&lt;I49,I49/G49-1,G49/I49-1)</f>
        <v>9.5097677847401307E-2</v>
      </c>
      <c r="H54" s="627" t="str">
        <f>IF(OR(G54&gt;=0.2,G54&lt;=-0.2),"超过20%","")</f>
        <v/>
      </c>
      <c r="I54" s="626">
        <f>IF(I49&lt;E49,E49/I49-1,I49/E49-1)</f>
        <v>1.2610770279481986E-2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1.9922688076122519E-2</v>
      </c>
      <c r="F55" s="627" t="str">
        <f>IF(OR(E55&gt;=0.3,E55&lt;=-0.3),"超过30%","")</f>
        <v/>
      </c>
      <c r="G55" s="626">
        <f>IF(G48&lt;I48,I48/G48-1,G48/I48-1)</f>
        <v>0.14719000892060663</v>
      </c>
      <c r="H55" s="627" t="str">
        <f>IF(OR(G55&gt;=0.3,G55&lt;=-0.3),"超过30%","")</f>
        <v/>
      </c>
      <c r="I55" s="626">
        <f>IF(I48&lt;E48,E48/I48-1,I48/E48-1)</f>
        <v>0.12478134110787176</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1724</v>
      </c>
      <c r="D57" s="2227" t="s">
        <v>2295</v>
      </c>
      <c r="E57" s="631" t="s">
        <v>562</v>
      </c>
      <c r="F57" s="632" t="s">
        <v>563</v>
      </c>
      <c r="G57" s="3401" t="s">
        <v>2283</v>
      </c>
      <c r="H57" s="3402"/>
      <c r="I57" s="1556" t="s">
        <v>1722</v>
      </c>
      <c r="J57" s="1556">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2873</v>
      </c>
      <c r="C58" s="635">
        <v>1</v>
      </c>
      <c r="D58" s="2228">
        <v>1</v>
      </c>
      <c r="E58" s="635">
        <f>'数据-汇总表'!E8+'数据-汇总表'!E9</f>
        <v>22380</v>
      </c>
      <c r="F58" s="636">
        <f t="shared" ref="F58:F67" si="15">ROUND(B58*E58/10000,0)</f>
        <v>6430</v>
      </c>
      <c r="G58" s="3403"/>
      <c r="H58" s="3404"/>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405" t="s">
        <v>2284</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405"/>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405"/>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405"/>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2330</v>
      </c>
      <c r="B63" s="638">
        <f t="shared" si="17"/>
        <v>0</v>
      </c>
      <c r="C63" s="378">
        <f t="shared" si="16"/>
        <v>0</v>
      </c>
      <c r="D63" s="2229">
        <v>0.25</v>
      </c>
      <c r="E63" s="641">
        <f>'数据-汇总表'!E11</f>
        <v>0</v>
      </c>
      <c r="F63" s="636">
        <f t="shared" si="15"/>
        <v>0</v>
      </c>
      <c r="G63" s="1947" t="s">
        <v>2285</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2284</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2285</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2296</v>
      </c>
      <c r="E68" s="643">
        <f>IF(B48="楼面地价",SUM(E58:E67),'数据-汇总表'!D3)</f>
        <v>22380</v>
      </c>
      <c r="F68" s="644">
        <f>IF(B48="楼面地价",SUM(F58:F67),ROUND(C50*E68/10000,0))</f>
        <v>6430</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2018-11-1</v>
      </c>
      <c r="D70" s="2799">
        <f>EDATE(C70,-3)</f>
        <v>43313</v>
      </c>
      <c r="E70" s="2799">
        <f t="shared" ref="E70:N70" si="18">EDATE(D70,-3)</f>
        <v>43221</v>
      </c>
      <c r="F70" s="2799">
        <f t="shared" si="18"/>
        <v>43132</v>
      </c>
      <c r="G70" s="2799">
        <f t="shared" si="18"/>
        <v>43040</v>
      </c>
      <c r="H70" s="2799">
        <f t="shared" si="18"/>
        <v>42948</v>
      </c>
      <c r="I70" s="2799">
        <f t="shared" si="18"/>
        <v>42856</v>
      </c>
      <c r="J70" s="2799">
        <f t="shared" si="18"/>
        <v>42767</v>
      </c>
      <c r="K70" s="2799">
        <f t="shared" si="18"/>
        <v>42675</v>
      </c>
      <c r="L70" s="2799">
        <f t="shared" si="18"/>
        <v>42583</v>
      </c>
      <c r="M70" s="2799">
        <f t="shared" si="18"/>
        <v>42491</v>
      </c>
      <c r="N70" s="2799">
        <f t="shared" si="18"/>
        <v>42401</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2649</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8" t="s">
        <v>3055</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95</v>
      </c>
      <c r="E91" s="679">
        <f>D91-$K17</f>
        <v>90</v>
      </c>
      <c r="F91" s="679">
        <f>E91-$K17</f>
        <v>85</v>
      </c>
      <c r="G91" s="679">
        <f>F91-$K17</f>
        <v>80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97</v>
      </c>
      <c r="E97" s="679">
        <f>D97-$K23</f>
        <v>94</v>
      </c>
      <c r="F97" s="679">
        <f>E97-$K23</f>
        <v>91</v>
      </c>
      <c r="G97" s="679">
        <f>F97-$K23</f>
        <v>88</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0" t="s">
        <v>3042</v>
      </c>
      <c r="D108" s="3180" t="s">
        <v>3043</v>
      </c>
      <c r="E108" s="3180" t="s">
        <v>3044</v>
      </c>
      <c r="F108" s="3180" t="s">
        <v>3045</v>
      </c>
      <c r="G108" s="3180" t="s">
        <v>3046</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0(含)-10000</v>
      </c>
      <c r="D118" s="704" t="str">
        <f t="shared" si="26"/>
        <v>10000(含)-30000</v>
      </c>
      <c r="E118" s="704" t="str">
        <f t="shared" si="26"/>
        <v>30000(含)-60000</v>
      </c>
      <c r="F118" s="704" t="str">
        <f t="shared" si="26"/>
        <v>60000(含)-100000</v>
      </c>
      <c r="G118" s="704" t="str">
        <f t="shared" si="26"/>
        <v>100000(含)-200000</v>
      </c>
      <c r="H118" s="704" t="str">
        <f t="shared" si="26"/>
        <v>200000(含)-</v>
      </c>
      <c r="I118" s="704" t="str">
        <f t="shared" si="26"/>
        <v>(含)-</v>
      </c>
      <c r="J118" s="3090" t="str">
        <f t="shared" si="26"/>
        <v>(含)-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f>
        <v>10000</v>
      </c>
      <c r="E119" s="730">
        <v>30000</v>
      </c>
      <c r="F119" s="730">
        <v>60000</v>
      </c>
      <c r="G119" s="730">
        <v>100000</v>
      </c>
      <c r="H119" s="730">
        <v>200000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9" t="s">
        <v>3047</v>
      </c>
      <c r="D121" s="3179" t="s">
        <v>3049</v>
      </c>
      <c r="E121" s="3179" t="s">
        <v>3051</v>
      </c>
      <c r="F121" s="3179"/>
      <c r="G121" s="3179"/>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95</v>
      </c>
      <c r="E122" s="679">
        <f t="shared" si="28"/>
        <v>90</v>
      </c>
      <c r="F122" s="679">
        <f t="shared" si="28"/>
        <v>85</v>
      </c>
      <c r="G122" s="679">
        <f t="shared" si="28"/>
        <v>80</v>
      </c>
      <c r="H122" s="679">
        <f t="shared" si="28"/>
        <v>75</v>
      </c>
      <c r="I122" s="679">
        <f t="shared" si="28"/>
        <v>70</v>
      </c>
      <c r="J122" s="679">
        <f t="shared" si="28"/>
        <v>65</v>
      </c>
      <c r="K122" s="679">
        <f t="shared" si="28"/>
        <v>60</v>
      </c>
      <c r="L122" s="679">
        <f t="shared" si="28"/>
        <v>55</v>
      </c>
      <c r="M122" s="680">
        <f t="shared" si="28"/>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0" t="s">
        <v>3052</v>
      </c>
      <c r="D123" s="3180" t="s">
        <v>3053</v>
      </c>
      <c r="E123" s="3180" t="s">
        <v>3050</v>
      </c>
      <c r="F123" s="3179" t="s">
        <v>3054</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2427</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B3" sqref="B3"/>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5575</v>
      </c>
      <c r="C2" s="2104"/>
      <c r="D2" s="2104"/>
      <c r="E2" s="2104"/>
      <c r="F2" s="2104"/>
      <c r="G2" s="2104"/>
      <c r="H2" s="2104"/>
      <c r="I2" s="2104"/>
      <c r="J2" s="2104"/>
      <c r="K2" s="2104"/>
    </row>
    <row r="3" spans="1:31" s="2041" customFormat="1" ht="18" customHeight="1">
      <c r="A3" s="2106" t="s">
        <v>1684</v>
      </c>
      <c r="B3" s="2107">
        <f ca="1">ROUND(B2*10000/IF(B1="",'数据-汇总表'!E3,INDIRECT("'数据-取费表'!K"&amp;$K$1)),0)</f>
        <v>2491</v>
      </c>
      <c r="C3" s="2104"/>
      <c r="D3" s="2104"/>
      <c r="E3" s="2104"/>
      <c r="F3" s="2104"/>
      <c r="G3" s="2104"/>
      <c r="H3" s="2104"/>
      <c r="I3" s="2104"/>
      <c r="J3" s="2104"/>
      <c r="K3" s="2104"/>
    </row>
    <row r="4" spans="1:31" s="2041" customFormat="1" ht="18" customHeight="1">
      <c r="A4" s="426" t="s">
        <v>468</v>
      </c>
      <c r="B4" s="427">
        <f ca="1">ROUND(B2*10000/IF(B1="",'数据-汇总表'!D3,INDIRECT("'数据-取费表'!R"&amp;$K$1)),0)</f>
        <v>7473</v>
      </c>
      <c r="C4" s="428"/>
      <c r="D4" s="422"/>
      <c r="E4" s="422"/>
      <c r="F4" s="422"/>
      <c r="G4" s="422"/>
      <c r="H4" s="422"/>
      <c r="I4" s="422"/>
      <c r="J4" s="422"/>
      <c r="K4" s="422"/>
    </row>
    <row r="5" spans="1:31" s="2041" customFormat="1" ht="18" customHeight="1" thickBot="1">
      <c r="A5" s="429"/>
      <c r="B5" s="430">
        <f ca="1">ROUND(B2/(IF(B1="",'数据-汇总表'!D3,INDIRECT("'数据-取费表'!R"&amp;$K$1))/666.67),0)</f>
        <v>498</v>
      </c>
      <c r="C5" s="431" t="s">
        <v>469</v>
      </c>
      <c r="D5" s="422"/>
      <c r="E5" s="422"/>
      <c r="F5" s="422"/>
      <c r="G5" s="422"/>
      <c r="H5" s="422"/>
      <c r="I5" s="422"/>
      <c r="J5" s="422"/>
      <c r="K5" s="422"/>
    </row>
    <row r="6" spans="1:31" s="2111" customFormat="1" ht="16.5" customHeight="1">
      <c r="A6" s="2828" t="s">
        <v>1842</v>
      </c>
      <c r="B6" s="2829"/>
      <c r="C6" s="2830">
        <f ca="1">SUM(C10:K10)</f>
        <v>15599</v>
      </c>
      <c r="D6" s="2829"/>
      <c r="E6" s="2829"/>
      <c r="F6" s="2829"/>
      <c r="G6" s="2829"/>
      <c r="H6" s="2829"/>
      <c r="I6" s="2829"/>
      <c r="J6" s="2829"/>
      <c r="K6" s="2831"/>
    </row>
    <row r="7" spans="1:31" s="2113" customFormat="1" ht="15">
      <c r="A7" s="2832" t="s">
        <v>470</v>
      </c>
      <c r="B7" s="2833" t="s">
        <v>471</v>
      </c>
      <c r="C7" s="436" t="s">
        <v>922</v>
      </c>
      <c r="D7" s="436" t="s">
        <v>2983</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472</v>
      </c>
      <c r="C8" s="2834">
        <f>'不动产比较法-住宅'!B3</f>
        <v>6714</v>
      </c>
      <c r="D8" s="2834">
        <f ca="1">不动产收益法!B3</f>
        <v>9276</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473</v>
      </c>
      <c r="C9" s="441">
        <f>SUMIF('数据-汇总表'!$C19:$C33,'剩余法-待开发'!C7,'数据-汇总表'!$E19:$E33)</f>
        <v>20142</v>
      </c>
      <c r="D9" s="441">
        <f>SUMIF('数据-汇总表'!$C19:$C33,'剩余法-待开发'!D7,'数据-汇总表'!$E19:$E33)</f>
        <v>2238</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474</v>
      </c>
      <c r="C10" s="3028">
        <f>ROUND(C8*C9/10000,0)</f>
        <v>13523</v>
      </c>
      <c r="D10" s="3028">
        <f ca="1">ROUND(D8*D9/10000,0)</f>
        <v>2076</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1848</v>
      </c>
      <c r="B13" s="2843" t="s">
        <v>479</v>
      </c>
      <c r="C13" s="450">
        <f ca="1">IF(B1="",'数据-取费表'!P16,INDIRECT("'数据-取费表'!p"&amp;$K$1)+INDIRECT("'数据-取费表'!t"&amp;$K$1))</f>
        <v>4520</v>
      </c>
      <c r="D13" s="2844"/>
      <c r="E13" s="2845"/>
      <c r="F13" s="2846"/>
      <c r="G13" s="2812"/>
      <c r="H13" s="2813"/>
      <c r="I13" s="2813"/>
      <c r="J13" s="2813"/>
      <c r="K13" s="2814"/>
    </row>
    <row r="14" spans="1:31" s="2116" customFormat="1" ht="13.5" customHeight="1">
      <c r="A14" s="2842" t="s">
        <v>1849</v>
      </c>
      <c r="B14" s="2843" t="s">
        <v>480</v>
      </c>
      <c r="C14" s="53">
        <f ca="1">ROUND(C13*F14,0)</f>
        <v>136</v>
      </c>
      <c r="D14" s="2844"/>
      <c r="E14" s="2845"/>
      <c r="F14" s="2847">
        <f>'数据-取费表'!B33</f>
        <v>0.03</v>
      </c>
      <c r="G14" s="2812" t="s">
        <v>481</v>
      </c>
      <c r="H14" s="2813"/>
      <c r="I14" s="2813"/>
      <c r="J14" s="2813"/>
      <c r="K14" s="2814"/>
    </row>
    <row r="15" spans="1:31" s="2116" customFormat="1" ht="13.5" customHeight="1">
      <c r="A15" s="2842" t="s">
        <v>1850</v>
      </c>
      <c r="B15" s="2843" t="s">
        <v>482</v>
      </c>
      <c r="C15" s="53">
        <f ca="1">ROUND(IF(B1="",SUMIF('数据-取费表'!C:C,"住宅",'数据-取费表'!P:P)*F15,IF(INDIRECT("'数据-取费表'!c"&amp;$K$1)="住宅",INDIRECT("'数据-取费表'!P"&amp;$K$1)*F15,0)),0)</f>
        <v>201</v>
      </c>
      <c r="D15" s="2844"/>
      <c r="E15" s="2845"/>
      <c r="F15" s="2847">
        <f>'数据-取费表'!B34</f>
        <v>0.05</v>
      </c>
      <c r="G15" s="2812" t="s">
        <v>483</v>
      </c>
      <c r="H15" s="2813"/>
      <c r="I15" s="2813"/>
      <c r="J15" s="2813"/>
      <c r="K15" s="2814"/>
    </row>
    <row r="16" spans="1:31" s="2117" customFormat="1" ht="13.5" customHeight="1">
      <c r="A16" s="2842" t="s">
        <v>1851</v>
      </c>
      <c r="B16" s="2843" t="s">
        <v>484</v>
      </c>
      <c r="C16" s="53">
        <f ca="1">ROUND(D16*E16/10000,0)</f>
        <v>448</v>
      </c>
      <c r="D16" s="2844">
        <f ca="1">IF(B1="",'数据-汇总表'!E3,INDIRECT("'数据-取费表'!K"&amp;$K$1)+INDIRECT("'数据-取费表'!S"&amp;$K$1))</f>
        <v>22380</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485</v>
      </c>
      <c r="C17" s="2848">
        <f ca="1">ROUND(C13*F17,0)</f>
        <v>68</v>
      </c>
      <c r="D17" s="475"/>
      <c r="E17" s="2848"/>
      <c r="F17" s="2849">
        <f>'数据-取费表'!B36</f>
        <v>1.4999999999999999E-2</v>
      </c>
      <c r="G17" s="261" t="s">
        <v>486</v>
      </c>
      <c r="H17" s="2815"/>
      <c r="I17" s="2815"/>
      <c r="J17" s="2815"/>
      <c r="K17" s="279"/>
    </row>
    <row r="18" spans="1:14" s="2116" customFormat="1" ht="13.5" customHeight="1">
      <c r="A18" s="2850" t="s">
        <v>1853</v>
      </c>
      <c r="B18" s="2851" t="s">
        <v>487</v>
      </c>
      <c r="C18" s="2852">
        <f ca="1">SUM(C13:C17)</f>
        <v>5373</v>
      </c>
      <c r="D18" s="2853"/>
      <c r="E18" s="468"/>
      <c r="F18" s="468"/>
      <c r="G18" s="2816" t="s">
        <v>2432</v>
      </c>
      <c r="H18" s="2817"/>
      <c r="I18" s="2817"/>
      <c r="J18" s="2817"/>
      <c r="K18" s="2818"/>
    </row>
    <row r="19" spans="1:14" s="2116" customFormat="1" ht="13.5" customHeight="1">
      <c r="A19" s="2850" t="s">
        <v>1854</v>
      </c>
      <c r="B19" s="2851" t="s">
        <v>488</v>
      </c>
      <c r="C19" s="2808">
        <f ca="1">ROUND(D19*E19/10000,0)</f>
        <v>0</v>
      </c>
      <c r="D19" s="2854">
        <f ca="1">D16</f>
        <v>22380</v>
      </c>
      <c r="E19" s="2808">
        <f>'数据-取费表'!B32</f>
        <v>0</v>
      </c>
      <c r="F19" s="468"/>
      <c r="G19" s="2812" t="s">
        <v>489</v>
      </c>
      <c r="H19" s="2813"/>
      <c r="I19" s="2817"/>
      <c r="J19" s="2817"/>
      <c r="K19" s="2818"/>
    </row>
    <row r="20" spans="1:14" s="2116" customFormat="1" ht="13.5" customHeight="1">
      <c r="A20" s="2850" t="s">
        <v>1855</v>
      </c>
      <c r="B20" s="2851" t="s">
        <v>490</v>
      </c>
      <c r="C20" s="2808">
        <f ca="1">C21+C22-IF(B1="",'数据-取费表'!B29,IF(G20="已全部缴纳",C21+C22,H20))</f>
        <v>168</v>
      </c>
      <c r="D20" s="2854"/>
      <c r="E20" s="2808"/>
      <c r="F20" s="2855"/>
      <c r="G20" s="3088"/>
      <c r="H20" s="2810"/>
      <c r="I20" s="2811" t="s">
        <v>2653</v>
      </c>
      <c r="J20" s="2817"/>
      <c r="K20" s="2818"/>
    </row>
    <row r="21" spans="1:14" s="2116" customFormat="1" ht="13.5" customHeight="1">
      <c r="A21" s="2842" t="s">
        <v>1856</v>
      </c>
      <c r="B21" s="2843" t="s">
        <v>491</v>
      </c>
      <c r="C21" s="53">
        <f ca="1">ROUND(D21*E21/10000,0)</f>
        <v>151</v>
      </c>
      <c r="D21" s="2844">
        <f ca="1">IF(B1="",'数据-汇总表'!E5,IF(INDIRECT("'数据-取费表'!c"&amp;$K$1)="住宅",INDIRECT("'数据-取费表'!k"&amp;$K$1),0))</f>
        <v>20142</v>
      </c>
      <c r="E21" s="53">
        <f>'数据-取费表'!B27</f>
        <v>75</v>
      </c>
      <c r="F21" s="2847"/>
      <c r="G21" s="26"/>
      <c r="H21" s="51"/>
      <c r="I21" s="51"/>
      <c r="J21" s="51"/>
      <c r="K21" s="2819"/>
    </row>
    <row r="22" spans="1:14" s="2116" customFormat="1" ht="13.5" customHeight="1">
      <c r="A22" s="2842" t="s">
        <v>1857</v>
      </c>
      <c r="B22" s="2843" t="s">
        <v>492</v>
      </c>
      <c r="C22" s="53">
        <f ca="1">ROUND(D22*E22/10000,0)</f>
        <v>17</v>
      </c>
      <c r="D22" s="2844">
        <f ca="1">IF(B1="",'数据-汇总表'!E6,IF(INDIRECT("'数据-取费表'!c"&amp;$K$1)="住宅",INDIRECT("'数据-取费表'!s"&amp;$K$1),INDIRECT("'数据-取费表'!k"&amp;$K$1)+INDIRECT("'数据-取费表'!s"&amp;$K$1)))</f>
        <v>2238</v>
      </c>
      <c r="E22" s="53">
        <f>'数据-取费表'!B28</f>
        <v>75</v>
      </c>
      <c r="F22" s="2847"/>
      <c r="G22" s="26"/>
      <c r="H22" s="51"/>
      <c r="I22" s="51"/>
      <c r="J22" s="51"/>
      <c r="K22" s="2819"/>
    </row>
    <row r="23" spans="1:14" s="2116" customFormat="1" ht="13.5" customHeight="1">
      <c r="A23" s="2850" t="s">
        <v>1858</v>
      </c>
      <c r="B23" s="3034" t="s">
        <v>2836</v>
      </c>
      <c r="C23" s="2852">
        <f ca="1">ROUND((C18+C19+C20)*F23,0)</f>
        <v>111</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4" t="s">
        <v>2839</v>
      </c>
      <c r="C24" s="2852">
        <f ca="1">ROUND(C6*F24,0)</f>
        <v>312</v>
      </c>
      <c r="D24" s="475"/>
      <c r="E24" s="473"/>
      <c r="F24" s="2856">
        <f>'数据-取费表'!B38</f>
        <v>0.02</v>
      </c>
      <c r="G24" s="2821" t="s">
        <v>499</v>
      </c>
      <c r="H24" s="2815"/>
      <c r="I24" s="2815"/>
      <c r="J24" s="2815"/>
      <c r="K24" s="279"/>
      <c r="L24" s="2118"/>
      <c r="M24" s="2118"/>
      <c r="N24" s="2118"/>
    </row>
    <row r="25" spans="1:14" s="2119" customFormat="1" ht="13.5" customHeight="1">
      <c r="A25" s="2850" t="s">
        <v>1860</v>
      </c>
      <c r="B25" s="3034"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5" t="s">
        <v>2838</v>
      </c>
      <c r="C26" s="2857">
        <f ca="1">C28</f>
        <v>211</v>
      </c>
      <c r="D26" s="467">
        <f ca="1">C27</f>
        <v>7.4200000000000002E-2</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496</v>
      </c>
      <c r="C27" s="2859">
        <f ca="1">ROUND(IF('数据-取费表'!B22&lt;=1,(1+C25)*F26*'数据-取费表'!B24,(1+C25)*(POWER((1+F26),'数据-取费表'!B24)-1)),4)</f>
        <v>7.4200000000000002E-2</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211</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497</v>
      </c>
      <c r="C29" s="2852">
        <f ca="1">ROUND(C6*F29/(1+'数据-取费表'!C42),0)</f>
        <v>817</v>
      </c>
      <c r="D29" s="468"/>
      <c r="E29" s="468"/>
      <c r="F29" s="3036">
        <f>'数据-取费表'!B41</f>
        <v>5.5000000000000007E-2</v>
      </c>
      <c r="G29" s="2821" t="s">
        <v>498</v>
      </c>
      <c r="H29" s="2813"/>
      <c r="I29" s="2813"/>
      <c r="J29" s="2813"/>
      <c r="K29" s="2814"/>
    </row>
    <row r="30" spans="1:14" s="2121" customFormat="1" ht="13.5" customHeight="1">
      <c r="A30" s="1636" t="s">
        <v>1863</v>
      </c>
      <c r="B30" s="2862" t="s">
        <v>500</v>
      </c>
      <c r="C30" s="2857">
        <f ca="1">C31</f>
        <v>6992</v>
      </c>
      <c r="D30" s="477">
        <f ca="1">C32</f>
        <v>0.1032</v>
      </c>
      <c r="E30" s="469" t="s">
        <v>495</v>
      </c>
      <c r="F30" s="471"/>
      <c r="G30" s="2820" t="s">
        <v>2972</v>
      </c>
      <c r="H30" s="2813"/>
      <c r="I30" s="2813"/>
      <c r="J30" s="2813"/>
      <c r="K30" s="2814"/>
    </row>
    <row r="31" spans="1:14" s="2120" customFormat="1" ht="13.5" customHeight="1">
      <c r="A31" s="803" t="s">
        <v>1856</v>
      </c>
      <c r="B31" s="2858"/>
      <c r="C31" s="450">
        <f ca="1">C18+C19+C20+C23+C24+C26+C29</f>
        <v>6992</v>
      </c>
      <c r="D31" s="472"/>
      <c r="E31" s="473"/>
      <c r="F31" s="474"/>
      <c r="G31" s="261"/>
      <c r="H31" s="2815"/>
      <c r="I31" s="2815"/>
      <c r="J31" s="2815"/>
      <c r="K31" s="279"/>
    </row>
    <row r="32" spans="1:14" s="2120" customFormat="1" ht="13.5" customHeight="1">
      <c r="A32" s="803" t="s">
        <v>1857</v>
      </c>
      <c r="B32" s="2858"/>
      <c r="C32" s="53">
        <f ca="1">ROUND(C25+D26,4)</f>
        <v>0.1032</v>
      </c>
      <c r="D32" s="472"/>
      <c r="E32" s="473"/>
      <c r="F32" s="474"/>
      <c r="G32" s="261"/>
      <c r="H32" s="2815"/>
      <c r="I32" s="2815"/>
      <c r="J32" s="2815"/>
      <c r="K32" s="279"/>
    </row>
    <row r="33" spans="1:11" s="2122" customFormat="1" ht="13.5" customHeight="1">
      <c r="A33" s="3033" t="s">
        <v>2835</v>
      </c>
      <c r="B33" s="3031" t="s">
        <v>2833</v>
      </c>
      <c r="C33" s="478">
        <f ca="1">C35</f>
        <v>1252</v>
      </c>
      <c r="D33" s="467">
        <f ca="1">C34</f>
        <v>0.21609999999999999</v>
      </c>
      <c r="E33" s="469" t="s">
        <v>495</v>
      </c>
      <c r="F33" s="479">
        <f ca="1">IF(B1="",'数据-取费表'!Q16,INDIRECT("'数据-取费表'!q"&amp;$K$1))</f>
        <v>0.21</v>
      </c>
      <c r="G33" s="2816"/>
      <c r="H33" s="2817"/>
      <c r="I33" s="2817"/>
      <c r="J33" s="2817"/>
      <c r="K33" s="2818"/>
    </row>
    <row r="34" spans="1:11" s="2123" customFormat="1" ht="13.5" customHeight="1">
      <c r="A34" s="375" t="s">
        <v>1856</v>
      </c>
      <c r="B34" s="2863" t="s">
        <v>501</v>
      </c>
      <c r="C34" s="472">
        <f ca="1">ROUND((1+C25)*F33,4)</f>
        <v>0.21609999999999999</v>
      </c>
      <c r="D34" s="472"/>
      <c r="E34" s="473"/>
      <c r="F34" s="480"/>
      <c r="G34" s="261" t="s">
        <v>2292</v>
      </c>
      <c r="H34" s="2815"/>
      <c r="I34" s="2815"/>
      <c r="J34" s="2815"/>
      <c r="K34" s="279"/>
    </row>
    <row r="35" spans="1:11" s="2123" customFormat="1" ht="13.5" customHeight="1" thickBot="1">
      <c r="A35" s="1637" t="s">
        <v>1857</v>
      </c>
      <c r="B35" s="3032" t="s">
        <v>2841</v>
      </c>
      <c r="C35" s="1629">
        <f ca="1">ROUND((C18+C19+C20+C23+C24)*F33,0)</f>
        <v>1252</v>
      </c>
      <c r="D35" s="1630"/>
      <c r="E35" s="2864"/>
      <c r="F35" s="1631"/>
      <c r="G35" s="2822"/>
      <c r="H35" s="2823"/>
      <c r="I35" s="2823"/>
      <c r="J35" s="2823"/>
      <c r="K35" s="2824"/>
    </row>
    <row r="36" spans="1:11" s="2085" customFormat="1" ht="13.5" customHeight="1" thickBot="1">
      <c r="A36" s="284" t="s">
        <v>1844</v>
      </c>
      <c r="B36" s="2826"/>
      <c r="C36" s="2865">
        <f ca="1">ROUND((C6-C30-C33)/(1+D30+D33),0)</f>
        <v>5575</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07" t="str">
        <f>项目基本情况!B1</f>
        <v>贵州省普定县穿洞街道金马新村出让国有建设用地使用权预评估</v>
      </c>
      <c r="C37" s="3207"/>
      <c r="D37" s="3207"/>
      <c r="E37" s="3207"/>
      <c r="F37" s="3207"/>
      <c r="G37" s="3207"/>
      <c r="H37" s="3207"/>
      <c r="I37" s="3207"/>
    </row>
    <row r="38" spans="1:9">
      <c r="A38" s="1657"/>
      <c r="B38" s="1657"/>
    </row>
    <row r="39" spans="1:9">
      <c r="A39" s="1655" t="s">
        <v>1901</v>
      </c>
      <c r="B39" s="1655" t="s">
        <v>2048</v>
      </c>
    </row>
    <row r="40" spans="1:9">
      <c r="A40" s="1655"/>
      <c r="B40" s="1655">
        <f>项目基本情况!B5</f>
        <v>0</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土地估价师、土地估价师</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2654</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1845</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1847</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1864</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1848</v>
      </c>
      <c r="B13" s="449" t="s">
        <v>479</v>
      </c>
      <c r="C13" s="450">
        <f ca="1">IF(B1="",'数据-取费表'!M16,INDIRECT("'数据-取费表'!M"&amp;$K$1)+INDIRECT("'数据-取费表'!t"&amp;$K$1))</f>
        <v>4520</v>
      </c>
      <c r="D13" s="451"/>
      <c r="E13" s="365"/>
      <c r="F13" s="452"/>
      <c r="G13" s="444"/>
      <c r="H13" s="447"/>
      <c r="I13" s="447"/>
      <c r="J13" s="447"/>
      <c r="K13" s="448"/>
    </row>
    <row r="14" spans="1:41" s="2116" customFormat="1" ht="13.5" customHeight="1">
      <c r="A14" s="1634" t="s">
        <v>1849</v>
      </c>
      <c r="B14" s="449" t="s">
        <v>480</v>
      </c>
      <c r="C14" s="53">
        <f ca="1">ROUND(C13*F14,0)</f>
        <v>136</v>
      </c>
      <c r="D14" s="451"/>
      <c r="E14" s="365"/>
      <c r="F14" s="453">
        <f>'数据-取费表'!B33</f>
        <v>0.03</v>
      </c>
      <c r="G14" s="444" t="s">
        <v>502</v>
      </c>
      <c r="H14" s="447"/>
      <c r="I14" s="447"/>
      <c r="J14" s="447"/>
      <c r="K14" s="448"/>
    </row>
    <row r="15" spans="1:41" s="2116" customFormat="1" ht="13.5" customHeight="1">
      <c r="A15" s="1634" t="s">
        <v>1850</v>
      </c>
      <c r="B15" s="449" t="s">
        <v>482</v>
      </c>
      <c r="C15" s="53">
        <f ca="1">ROUND(IF(B1="",SUMIF('数据-取费表'!C:C,"住宅",'数据-取费表'!M:M)*F15,IF(INDIRECT("'数据-取费表'!c"&amp;$K$1)="住宅",INDIRECT("'数据-取费表'!M"&amp;$K$1)*F15,0)),0)</f>
        <v>201</v>
      </c>
      <c r="D15" s="451"/>
      <c r="E15" s="365"/>
      <c r="F15" s="453">
        <f>'数据-取费表'!B34</f>
        <v>0.05</v>
      </c>
      <c r="G15" s="444" t="s">
        <v>502</v>
      </c>
      <c r="H15" s="447"/>
      <c r="I15" s="447"/>
      <c r="J15" s="447"/>
      <c r="K15" s="448"/>
    </row>
    <row r="16" spans="1:41" s="2117" customFormat="1" ht="13.5" customHeight="1">
      <c r="A16" s="1634" t="s">
        <v>1851</v>
      </c>
      <c r="B16" s="449" t="s">
        <v>484</v>
      </c>
      <c r="C16" s="53">
        <f ca="1">ROUND(D16*E16/10000,0)</f>
        <v>448</v>
      </c>
      <c r="D16" s="451">
        <f ca="1">IF(B1="",'数据-汇总表'!E3,INDIRECT("'数据-取费表'!K"&amp;$K$1)+INDIRECT("'数据-取费表'!S"&amp;$K$1))</f>
        <v>22380</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1852</v>
      </c>
      <c r="B17" s="449" t="s">
        <v>485</v>
      </c>
      <c r="C17" s="454">
        <f ca="1">ROUND(C13*F17,0)</f>
        <v>68</v>
      </c>
      <c r="D17" s="455"/>
      <c r="E17" s="454"/>
      <c r="F17" s="456">
        <f>'数据-取费表'!B36</f>
        <v>1.4999999999999999E-2</v>
      </c>
      <c r="G17" s="444" t="s">
        <v>502</v>
      </c>
      <c r="H17" s="457"/>
      <c r="I17" s="457"/>
      <c r="J17" s="457"/>
      <c r="K17" s="458"/>
    </row>
    <row r="18" spans="1:14" s="2119" customFormat="1" ht="13.5" customHeight="1">
      <c r="A18" s="1635" t="s">
        <v>1853</v>
      </c>
      <c r="B18" s="459" t="s">
        <v>487</v>
      </c>
      <c r="C18" s="460">
        <f ca="1">SUM(C13:C17)</f>
        <v>5373</v>
      </c>
      <c r="D18" s="461"/>
      <c r="E18" s="462"/>
      <c r="F18" s="462"/>
      <c r="G18" s="1327" t="s">
        <v>2434</v>
      </c>
      <c r="H18" s="447"/>
      <c r="I18" s="447"/>
      <c r="J18" s="447"/>
      <c r="K18" s="448"/>
    </row>
    <row r="19" spans="1:14" s="2119" customFormat="1" ht="13.5" customHeight="1">
      <c r="A19" s="1635" t="s">
        <v>1854</v>
      </c>
      <c r="B19" s="459" t="s">
        <v>493</v>
      </c>
      <c r="C19" s="460">
        <f ca="1">ROUND(C18*F19,0)</f>
        <v>107</v>
      </c>
      <c r="D19" s="462"/>
      <c r="E19" s="462"/>
      <c r="F19" s="466">
        <f>'数据-取费表'!B37</f>
        <v>0.02</v>
      </c>
      <c r="G19" s="444" t="s">
        <v>503</v>
      </c>
      <c r="H19" s="447"/>
      <c r="I19" s="447"/>
      <c r="J19" s="447"/>
      <c r="K19" s="448"/>
      <c r="L19" s="2121"/>
      <c r="M19" s="2121"/>
      <c r="N19" s="2121"/>
    </row>
    <row r="20" spans="1:14" s="2119" customFormat="1" ht="13.5" customHeight="1">
      <c r="A20" s="1635" t="s">
        <v>1855</v>
      </c>
      <c r="B20" s="459" t="s">
        <v>504</v>
      </c>
      <c r="C20" s="3029">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1858</v>
      </c>
      <c r="B21" s="461" t="s">
        <v>494</v>
      </c>
      <c r="C21" s="470">
        <f ca="1">C22</f>
        <v>194</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4" t="s">
        <v>1848</v>
      </c>
      <c r="B22" s="1328" t="s">
        <v>2437</v>
      </c>
      <c r="C22" s="487">
        <f ca="1">ROUND(IF('数据-取费表'!B22&lt;=1,(C18+C19)*F21*'数据-取费表'!B20/2,(C18+C19)*(POWER((1+F21),'数据-取费表'!B20/2)-1)),0)</f>
        <v>194</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1849</v>
      </c>
      <c r="B23" s="1328" t="s">
        <v>508</v>
      </c>
      <c r="C23" s="488">
        <f ca="1">ROUND(IF('数据-取费表'!B22&lt;=1,F20*F21*'数据-取费表'!B20/2,F20*(POWER((1+F21),'数据-取费表'!B20/2)-1)),4)</f>
        <v>6.9999999999999999E-4</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1859</v>
      </c>
      <c r="B24" s="3031" t="s">
        <v>2834</v>
      </c>
      <c r="C24" s="478">
        <f ca="1">C25</f>
        <v>1151</v>
      </c>
      <c r="D24" s="489">
        <f ca="1">C26</f>
        <v>4.1999999999999997E-3</v>
      </c>
      <c r="E24" s="469" t="s">
        <v>507</v>
      </c>
      <c r="F24" s="479">
        <f ca="1">IF(B1="",'数据-取费表'!Q16,INDIRECT("'数据-取费表'!q"&amp;$K$1))</f>
        <v>0.21</v>
      </c>
      <c r="G24" s="444"/>
      <c r="H24" s="447"/>
      <c r="I24" s="447"/>
      <c r="J24" s="447"/>
      <c r="K24" s="448"/>
    </row>
    <row r="25" spans="1:14" s="2120" customFormat="1" ht="13.5" customHeight="1">
      <c r="A25" s="1634" t="s">
        <v>1848</v>
      </c>
      <c r="B25" s="1328" t="s">
        <v>2438</v>
      </c>
      <c r="C25" s="490">
        <f ca="1">ROUND((C18+C19)*F24,0)</f>
        <v>1151</v>
      </c>
      <c r="D25" s="472"/>
      <c r="E25" s="473"/>
      <c r="F25" s="480"/>
      <c r="G25" s="1326" t="s">
        <v>2435</v>
      </c>
      <c r="H25" s="457"/>
      <c r="I25" s="457"/>
      <c r="J25" s="457"/>
      <c r="K25" s="458"/>
    </row>
    <row r="26" spans="1:14" s="2120" customFormat="1" ht="13.5" customHeight="1">
      <c r="A26" s="1634" t="s">
        <v>1849</v>
      </c>
      <c r="B26" s="1328" t="s">
        <v>509</v>
      </c>
      <c r="C26" s="491">
        <f ca="1">ROUND(F20*F24,4)</f>
        <v>4.1999999999999997E-3</v>
      </c>
      <c r="D26" s="472"/>
      <c r="E26" s="481"/>
      <c r="F26" s="480"/>
      <c r="G26" s="1326" t="s">
        <v>510</v>
      </c>
      <c r="H26" s="457"/>
      <c r="I26" s="457"/>
      <c r="J26" s="457"/>
      <c r="K26" s="458"/>
    </row>
    <row r="27" spans="1:14" s="2120" customFormat="1" ht="13.5" customHeight="1">
      <c r="A27" s="1638" t="s">
        <v>1867</v>
      </c>
      <c r="B27" s="459" t="s">
        <v>511</v>
      </c>
      <c r="C27" s="3030">
        <f>ROUND(F27/(1+'数据-取费表'!C42),4)</f>
        <v>5.2400000000000002E-2</v>
      </c>
      <c r="D27" s="462" t="s">
        <v>2832</v>
      </c>
      <c r="E27" s="462"/>
      <c r="F27" s="466">
        <f>'数据-取费表'!B41</f>
        <v>5.5000000000000007E-2</v>
      </c>
      <c r="G27" s="1962" t="s">
        <v>2293</v>
      </c>
      <c r="H27" s="447"/>
      <c r="I27" s="447"/>
      <c r="J27" s="447"/>
      <c r="K27" s="448"/>
    </row>
    <row r="28" spans="1:14" s="2121" customFormat="1" ht="13.5" customHeight="1">
      <c r="A28" s="1638" t="s">
        <v>1868</v>
      </c>
      <c r="B28" s="476" t="s">
        <v>512</v>
      </c>
      <c r="C28" s="470">
        <f ca="1">ROUND((C18+C19+C21+C24)/(1-C20-D21-D24-C27),0)</f>
        <v>7397</v>
      </c>
      <c r="D28" s="477"/>
      <c r="E28" s="469"/>
      <c r="F28" s="471"/>
      <c r="G28" s="1327" t="s">
        <v>2436</v>
      </c>
      <c r="H28" s="447"/>
      <c r="I28" s="447"/>
      <c r="J28" s="447"/>
      <c r="K28" s="448"/>
    </row>
    <row r="29" spans="1:14" s="2121" customFormat="1" ht="13.5" customHeight="1">
      <c r="A29" s="1638" t="s">
        <v>1869</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1865</v>
      </c>
      <c r="B31" s="1330"/>
      <c r="C31" s="500">
        <f>ROUND(C6*F31/(1+'数据-取费表'!C42),0)</f>
        <v>0</v>
      </c>
      <c r="D31" s="1331"/>
      <c r="E31" s="1331"/>
      <c r="F31" s="501">
        <f>'数据-取费表'!B41</f>
        <v>5.5000000000000007E-2</v>
      </c>
      <c r="G31" s="1332"/>
      <c r="H31" s="1332"/>
      <c r="I31" s="1332"/>
      <c r="J31" s="1333"/>
      <c r="K31" s="1334"/>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22"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81" t="s">
        <v>522</v>
      </c>
      <c r="D6" s="3382"/>
      <c r="E6" s="3416" t="s">
        <v>523</v>
      </c>
      <c r="F6" s="3417"/>
      <c r="G6" s="3381" t="s">
        <v>524</v>
      </c>
      <c r="H6" s="3382"/>
      <c r="I6" s="3381" t="s">
        <v>525</v>
      </c>
      <c r="J6" s="3382"/>
      <c r="K6" s="514" t="s">
        <v>526</v>
      </c>
      <c r="L6" s="2133"/>
      <c r="M6" s="2134"/>
      <c r="N6" s="2134"/>
      <c r="O6" s="2134"/>
      <c r="P6" s="3383" t="s">
        <v>527</v>
      </c>
      <c r="Q6" s="3384"/>
      <c r="R6" s="3389" t="s">
        <v>523</v>
      </c>
      <c r="S6" s="3390"/>
      <c r="T6" s="3389" t="s">
        <v>524</v>
      </c>
      <c r="U6" s="3390"/>
      <c r="V6" s="3376" t="s">
        <v>525</v>
      </c>
      <c r="W6" s="3376"/>
      <c r="X6" s="1568"/>
      <c r="Y6" s="3389" t="s">
        <v>527</v>
      </c>
      <c r="Z6" s="3390"/>
      <c r="AA6" s="3378" t="s">
        <v>523</v>
      </c>
      <c r="AB6" s="3379" t="s">
        <v>524</v>
      </c>
      <c r="AC6" s="3378" t="s">
        <v>525</v>
      </c>
    </row>
    <row r="7" spans="1:29" ht="15">
      <c r="A7" s="515"/>
      <c r="B7" s="516"/>
      <c r="C7" s="3413" t="s">
        <v>2928</v>
      </c>
      <c r="D7" s="3398"/>
      <c r="E7" s="3418" t="s">
        <v>2929</v>
      </c>
      <c r="F7" s="3419"/>
      <c r="G7" s="3413" t="s">
        <v>2930</v>
      </c>
      <c r="H7" s="3398"/>
      <c r="I7" s="3413" t="s">
        <v>2931</v>
      </c>
      <c r="J7" s="3398"/>
      <c r="K7" s="514"/>
      <c r="L7" s="2133"/>
      <c r="M7" s="2134"/>
      <c r="N7" s="2134"/>
      <c r="O7" s="2134"/>
      <c r="P7" s="3385"/>
      <c r="Q7" s="3386"/>
      <c r="R7" s="3391"/>
      <c r="S7" s="3392"/>
      <c r="T7" s="3391"/>
      <c r="U7" s="3392"/>
      <c r="V7" s="3376"/>
      <c r="W7" s="3376"/>
      <c r="X7" s="1568"/>
      <c r="Y7" s="3391"/>
      <c r="Z7" s="3392"/>
      <c r="AA7" s="3379"/>
      <c r="AB7" s="3379"/>
      <c r="AC7" s="3379"/>
    </row>
    <row r="8" spans="1:29" ht="15.75" thickBot="1">
      <c r="A8" s="517"/>
      <c r="B8" s="518"/>
      <c r="C8" s="3395" t="s">
        <v>2932</v>
      </c>
      <c r="D8" s="3396"/>
      <c r="E8" s="3414" t="s">
        <v>2932</v>
      </c>
      <c r="F8" s="3415"/>
      <c r="G8" s="3395" t="s">
        <v>2932</v>
      </c>
      <c r="H8" s="3396"/>
      <c r="I8" s="3395" t="s">
        <v>2932</v>
      </c>
      <c r="J8" s="3396"/>
      <c r="K8" s="514" t="s">
        <v>528</v>
      </c>
      <c r="L8" s="2133"/>
      <c r="M8" s="2134"/>
      <c r="N8" s="2134"/>
      <c r="O8" s="2134"/>
      <c r="P8" s="3387"/>
      <c r="Q8" s="3388"/>
      <c r="R8" s="3391"/>
      <c r="S8" s="3392"/>
      <c r="T8" s="3393"/>
      <c r="U8" s="3394"/>
      <c r="V8" s="3376"/>
      <c r="W8" s="3376"/>
      <c r="X8" s="1568"/>
      <c r="Y8" s="3393"/>
      <c r="Z8" s="3394"/>
      <c r="AA8" s="3380"/>
      <c r="AB8" s="3380"/>
      <c r="AC8" s="3380"/>
    </row>
    <row r="9" spans="1:29" s="1220" customFormat="1" ht="15.75" thickBot="1">
      <c r="A9" s="2912"/>
      <c r="B9" s="2919" t="s">
        <v>529</v>
      </c>
      <c r="C9" s="519">
        <f>'数据-取费表'!B2</f>
        <v>43418</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6" t="s">
        <v>530</v>
      </c>
      <c r="Q9" s="3408"/>
      <c r="R9" s="1569" t="s">
        <v>8</v>
      </c>
      <c r="S9" s="1570">
        <f t="shared" ref="S9:S17" si="0">F9</f>
        <v>0</v>
      </c>
      <c r="T9" s="1569" t="s">
        <v>8</v>
      </c>
      <c r="U9" s="1570">
        <f t="shared" ref="U9:U17" si="1">H9</f>
        <v>0</v>
      </c>
      <c r="V9" s="1569" t="s">
        <v>8</v>
      </c>
      <c r="W9" s="1570">
        <f t="shared" ref="W9:W17" si="2">J9</f>
        <v>0</v>
      </c>
      <c r="X9" s="1571"/>
      <c r="Y9" s="3406" t="s">
        <v>530</v>
      </c>
      <c r="Z9" s="3407"/>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6" t="s">
        <v>533</v>
      </c>
      <c r="Q10" s="3407"/>
      <c r="R10" s="1569" t="s">
        <v>8</v>
      </c>
      <c r="S10" s="1570">
        <f t="shared" si="0"/>
        <v>0</v>
      </c>
      <c r="T10" s="1569" t="s">
        <v>8</v>
      </c>
      <c r="U10" s="1570">
        <f t="shared" si="1"/>
        <v>0</v>
      </c>
      <c r="V10" s="1569" t="s">
        <v>8</v>
      </c>
      <c r="W10" s="1570">
        <f t="shared" si="2"/>
        <v>0</v>
      </c>
      <c r="X10" s="1571"/>
      <c r="Y10" s="3406" t="s">
        <v>533</v>
      </c>
      <c r="Z10" s="3407"/>
      <c r="AA10" s="1572" t="e">
        <f t="shared" ref="AA10:AA42" si="3">D10/F10</f>
        <v>#DIV/0!</v>
      </c>
      <c r="AB10" s="1572" t="e">
        <f t="shared" ref="AB10:AB42" si="4">D10/H10</f>
        <v>#DIV/0!</v>
      </c>
      <c r="AC10" s="1572" t="e">
        <f t="shared" ref="AC10:AC42" si="5">D10/J10</f>
        <v>#DIV/0!</v>
      </c>
    </row>
    <row r="11" spans="1:29" s="1220"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75" t="s">
        <v>535</v>
      </c>
      <c r="Q11" s="1151" t="str">
        <f t="shared" ref="Q11:Q17" si="6">B11</f>
        <v>用途</v>
      </c>
      <c r="R11" s="1569" t="s">
        <v>8</v>
      </c>
      <c r="S11" s="1570">
        <f t="shared" si="0"/>
        <v>100</v>
      </c>
      <c r="T11" s="1569" t="s">
        <v>8</v>
      </c>
      <c r="U11" s="1570">
        <f t="shared" si="1"/>
        <v>100</v>
      </c>
      <c r="V11" s="1569" t="s">
        <v>8</v>
      </c>
      <c r="W11" s="1570">
        <f t="shared" si="2"/>
        <v>100</v>
      </c>
      <c r="X11" s="1571"/>
      <c r="Y11" s="3321" t="s">
        <v>536</v>
      </c>
      <c r="Z11" s="1150" t="str">
        <f t="shared" ref="Z11:Z17" si="7">Q11</f>
        <v>用途</v>
      </c>
      <c r="AA11" s="1572">
        <f t="shared" si="3"/>
        <v>1</v>
      </c>
      <c r="AB11" s="1572">
        <f t="shared" si="4"/>
        <v>1</v>
      </c>
      <c r="AC11" s="1572">
        <f t="shared" si="5"/>
        <v>1</v>
      </c>
    </row>
    <row r="12" spans="1:29" s="1338" customFormat="1" ht="27">
      <c r="A12" s="2915"/>
      <c r="B12" s="2920" t="s">
        <v>2759</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75"/>
      <c r="Q12" s="1151" t="str">
        <f t="shared" si="6"/>
        <v>土地使用年限（年）</v>
      </c>
      <c r="R12" s="1569" t="s">
        <v>8</v>
      </c>
      <c r="S12" s="1570">
        <f t="shared" si="0"/>
        <v>100</v>
      </c>
      <c r="T12" s="1569" t="s">
        <v>8</v>
      </c>
      <c r="U12" s="1570">
        <f t="shared" si="1"/>
        <v>100</v>
      </c>
      <c r="V12" s="1569" t="s">
        <v>8</v>
      </c>
      <c r="W12" s="1570">
        <f t="shared" si="2"/>
        <v>100</v>
      </c>
      <c r="X12" s="1571"/>
      <c r="Y12" s="3321"/>
      <c r="Z12" s="1150" t="str">
        <f t="shared" si="7"/>
        <v>土地使用年限（年）</v>
      </c>
      <c r="AA12" s="1572">
        <f t="shared" si="3"/>
        <v>1</v>
      </c>
      <c r="AB12" s="1572">
        <f t="shared" si="4"/>
        <v>1</v>
      </c>
      <c r="AC12" s="1572">
        <f t="shared" si="5"/>
        <v>1</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75"/>
      <c r="Q13" s="1151" t="str">
        <f t="shared" si="6"/>
        <v>容积率</v>
      </c>
      <c r="R13" s="1569" t="s">
        <v>8</v>
      </c>
      <c r="S13" s="1570" t="e">
        <f t="shared" si="0"/>
        <v>#N/A</v>
      </c>
      <c r="T13" s="1569" t="s">
        <v>8</v>
      </c>
      <c r="U13" s="1570" t="e">
        <f t="shared" si="1"/>
        <v>#N/A</v>
      </c>
      <c r="V13" s="1569" t="s">
        <v>8</v>
      </c>
      <c r="W13" s="1570" t="e">
        <f t="shared" si="2"/>
        <v>#N/A</v>
      </c>
      <c r="X13" s="1571"/>
      <c r="Y13" s="3321"/>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75"/>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75"/>
      <c r="Q15" s="1151">
        <f t="shared" si="6"/>
        <v>111</v>
      </c>
      <c r="R15" s="1569" t="s">
        <v>8</v>
      </c>
      <c r="S15" s="1570">
        <f t="shared" si="0"/>
        <v>100</v>
      </c>
      <c r="T15" s="1569" t="s">
        <v>8</v>
      </c>
      <c r="U15" s="1570">
        <f t="shared" si="1"/>
        <v>100</v>
      </c>
      <c r="V15" s="1569" t="s">
        <v>8</v>
      </c>
      <c r="W15" s="1570">
        <f t="shared" si="2"/>
        <v>100</v>
      </c>
      <c r="X15" s="1571"/>
      <c r="Y15" s="3321"/>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75"/>
      <c r="Q16" s="1151">
        <f t="shared" si="6"/>
        <v>111</v>
      </c>
      <c r="R16" s="1569" t="s">
        <v>8</v>
      </c>
      <c r="S16" s="1570">
        <f t="shared" si="0"/>
        <v>100</v>
      </c>
      <c r="T16" s="1569" t="s">
        <v>8</v>
      </c>
      <c r="U16" s="1570">
        <f t="shared" si="1"/>
        <v>100</v>
      </c>
      <c r="V16" s="1569" t="s">
        <v>8</v>
      </c>
      <c r="W16" s="1570">
        <f t="shared" si="2"/>
        <v>100</v>
      </c>
      <c r="X16" s="1571"/>
      <c r="Y16" s="3321"/>
      <c r="Z16" s="1150">
        <f t="shared" si="7"/>
        <v>111</v>
      </c>
      <c r="AA16" s="1572">
        <f t="shared" si="3"/>
        <v>1</v>
      </c>
      <c r="AB16" s="1572">
        <f t="shared" si="4"/>
        <v>1</v>
      </c>
      <c r="AC16" s="1572">
        <f t="shared" si="5"/>
        <v>1</v>
      </c>
    </row>
    <row r="17" spans="1:29" ht="57">
      <c r="A17" s="2910"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9" t="s">
        <v>540</v>
      </c>
      <c r="Q17" s="1573" t="str">
        <f t="shared" si="6"/>
        <v>产业集聚程度</v>
      </c>
      <c r="R17" s="1574" t="s">
        <v>8</v>
      </c>
      <c r="S17" s="1575">
        <f t="shared" si="0"/>
        <v>100</v>
      </c>
      <c r="T17" s="1574" t="s">
        <v>8</v>
      </c>
      <c r="U17" s="1575">
        <f t="shared" si="1"/>
        <v>100</v>
      </c>
      <c r="V17" s="1574" t="s">
        <v>8</v>
      </c>
      <c r="W17" s="1575">
        <f t="shared" si="2"/>
        <v>100</v>
      </c>
      <c r="X17" s="1568"/>
      <c r="Y17" s="340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10"/>
      <c r="Q18" s="1573"/>
      <c r="R18" s="1574"/>
      <c r="S18" s="1575"/>
      <c r="T18" s="1574"/>
      <c r="U18" s="1575"/>
      <c r="V18" s="1574"/>
      <c r="W18" s="1575"/>
      <c r="X18" s="1568"/>
      <c r="Y18" s="341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0"/>
      <c r="Q19" s="1573" t="str">
        <f>B19</f>
        <v>交通便捷度</v>
      </c>
      <c r="R19" s="1574" t="s">
        <v>8</v>
      </c>
      <c r="S19" s="1575">
        <f>F19</f>
        <v>100</v>
      </c>
      <c r="T19" s="1574" t="s">
        <v>8</v>
      </c>
      <c r="U19" s="1575">
        <f>H19</f>
        <v>100</v>
      </c>
      <c r="V19" s="1574" t="s">
        <v>8</v>
      </c>
      <c r="W19" s="1575">
        <f>J19</f>
        <v>100</v>
      </c>
      <c r="X19" s="1568"/>
      <c r="Y19" s="341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10"/>
      <c r="Q20" s="1573"/>
      <c r="R20" s="1574"/>
      <c r="S20" s="1575"/>
      <c r="T20" s="1574"/>
      <c r="U20" s="1575"/>
      <c r="V20" s="1574"/>
      <c r="W20" s="1575"/>
      <c r="X20" s="1568"/>
      <c r="Y20" s="341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10"/>
      <c r="Q21" s="1573" t="str">
        <f t="shared" ref="Q21:Q35" si="8">B21</f>
        <v>区域土地利用方向</v>
      </c>
      <c r="R21" s="1574" t="s">
        <v>8</v>
      </c>
      <c r="S21" s="1575">
        <f>F21</f>
        <v>100</v>
      </c>
      <c r="T21" s="1574" t="s">
        <v>8</v>
      </c>
      <c r="U21" s="1575">
        <f>H21</f>
        <v>100</v>
      </c>
      <c r="V21" s="1574" t="s">
        <v>8</v>
      </c>
      <c r="W21" s="1575">
        <f>J21</f>
        <v>100</v>
      </c>
      <c r="X21" s="1568"/>
      <c r="Y21" s="341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10"/>
      <c r="Q22" s="1573"/>
      <c r="R22" s="1574"/>
      <c r="S22" s="1575"/>
      <c r="T22" s="1574"/>
      <c r="U22" s="1575"/>
      <c r="V22" s="1574"/>
      <c r="W22" s="1575"/>
      <c r="X22" s="1568"/>
      <c r="Y22" s="341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0"/>
      <c r="Q23" s="1573" t="str">
        <f t="shared" si="8"/>
        <v>环境状况</v>
      </c>
      <c r="R23" s="1574" t="s">
        <v>8</v>
      </c>
      <c r="S23" s="1575">
        <f>F23</f>
        <v>100</v>
      </c>
      <c r="T23" s="1574" t="s">
        <v>8</v>
      </c>
      <c r="U23" s="1575">
        <f>H23</f>
        <v>100</v>
      </c>
      <c r="V23" s="1574" t="s">
        <v>8</v>
      </c>
      <c r="W23" s="1575">
        <f>J23</f>
        <v>100</v>
      </c>
      <c r="X23" s="1568"/>
      <c r="Y23" s="341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10"/>
      <c r="Q24" s="1573"/>
      <c r="R24" s="1574"/>
      <c r="S24" s="1575"/>
      <c r="T24" s="1574"/>
      <c r="U24" s="1575"/>
      <c r="V24" s="1574"/>
      <c r="W24" s="1575"/>
      <c r="X24" s="1568"/>
      <c r="Y24" s="3410"/>
      <c r="Z24" s="1576"/>
      <c r="AA24" s="1577">
        <v>1</v>
      </c>
      <c r="AB24" s="1577">
        <v>1</v>
      </c>
      <c r="AC24" s="1577">
        <v>1</v>
      </c>
    </row>
    <row r="25" spans="1:29" s="1220"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0"/>
      <c r="Q25" s="1151" t="str">
        <f t="shared" si="8"/>
        <v>公共配套设施</v>
      </c>
      <c r="R25" s="1569" t="s">
        <v>8</v>
      </c>
      <c r="S25" s="1570">
        <f>F25</f>
        <v>100</v>
      </c>
      <c r="T25" s="1569" t="s">
        <v>8</v>
      </c>
      <c r="U25" s="1570">
        <f>H25</f>
        <v>100</v>
      </c>
      <c r="V25" s="1569" t="s">
        <v>8</v>
      </c>
      <c r="W25" s="1570">
        <f>J25</f>
        <v>100</v>
      </c>
      <c r="X25" s="1571"/>
      <c r="Y25" s="3410"/>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410"/>
      <c r="Q26" s="1151"/>
      <c r="R26" s="1569"/>
      <c r="S26" s="1570"/>
      <c r="T26" s="1569"/>
      <c r="U26" s="1570"/>
      <c r="V26" s="1569"/>
      <c r="W26" s="1570"/>
      <c r="X26" s="1571"/>
      <c r="Y26" s="3410"/>
      <c r="Z26" s="1150"/>
      <c r="AA26" s="1572">
        <v>1</v>
      </c>
      <c r="AB26" s="1572">
        <v>1</v>
      </c>
      <c r="AC26" s="1572">
        <v>1</v>
      </c>
    </row>
    <row r="27" spans="1:29" s="1220"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0"/>
      <c r="Q27" s="2578" t="str">
        <f t="shared" ref="Q27" si="9">B27</f>
        <v>基础设施水平</v>
      </c>
      <c r="R27" s="1569" t="s">
        <v>8</v>
      </c>
      <c r="S27" s="1570">
        <f>F27</f>
        <v>100</v>
      </c>
      <c r="T27" s="1569" t="s">
        <v>8</v>
      </c>
      <c r="U27" s="1570">
        <f>H27</f>
        <v>100</v>
      </c>
      <c r="V27" s="1569" t="s">
        <v>8</v>
      </c>
      <c r="W27" s="1570">
        <f>J27</f>
        <v>100</v>
      </c>
      <c r="X27" s="1571"/>
      <c r="Y27" s="3410"/>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410"/>
      <c r="Q28" s="2578"/>
      <c r="R28" s="1569"/>
      <c r="S28" s="1570"/>
      <c r="T28" s="1569"/>
      <c r="U28" s="1570"/>
      <c r="V28" s="1569"/>
      <c r="W28" s="1570"/>
      <c r="X28" s="1571"/>
      <c r="Y28" s="3410"/>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0"/>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0"/>
      <c r="Q30" s="1573" t="str">
        <f t="shared" si="8"/>
        <v>毗邻道路的类型与等级</v>
      </c>
      <c r="R30" s="1574" t="s">
        <v>8</v>
      </c>
      <c r="S30" s="1575">
        <f t="shared" si="10"/>
        <v>100</v>
      </c>
      <c r="T30" s="1574" t="s">
        <v>8</v>
      </c>
      <c r="U30" s="1575">
        <f t="shared" si="11"/>
        <v>100</v>
      </c>
      <c r="V30" s="1574" t="s">
        <v>8</v>
      </c>
      <c r="W30" s="1575">
        <f t="shared" si="12"/>
        <v>100</v>
      </c>
      <c r="X30" s="1568"/>
      <c r="Y30" s="341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10"/>
      <c r="Q31" s="1573"/>
      <c r="R31" s="1574"/>
      <c r="S31" s="1575"/>
      <c r="T31" s="1574"/>
      <c r="U31" s="1575"/>
      <c r="V31" s="1574"/>
      <c r="W31" s="1575"/>
      <c r="X31" s="1568"/>
      <c r="Y31" s="3410"/>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0"/>
      <c r="Q32" s="1573" t="str">
        <f t="shared" si="8"/>
        <v>土地级别</v>
      </c>
      <c r="R32" s="1574" t="s">
        <v>8</v>
      </c>
      <c r="S32" s="1575">
        <f t="shared" si="10"/>
        <v>100</v>
      </c>
      <c r="T32" s="1574" t="s">
        <v>8</v>
      </c>
      <c r="U32" s="1575">
        <f t="shared" si="11"/>
        <v>100</v>
      </c>
      <c r="V32" s="1574" t="s">
        <v>8</v>
      </c>
      <c r="W32" s="1575">
        <f t="shared" si="12"/>
        <v>100</v>
      </c>
      <c r="X32" s="1568"/>
      <c r="Y32" s="341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0"/>
      <c r="Q33" s="1573">
        <f t="shared" si="8"/>
        <v>111</v>
      </c>
      <c r="R33" s="1574" t="s">
        <v>8</v>
      </c>
      <c r="S33" s="1575">
        <f t="shared" si="10"/>
        <v>100</v>
      </c>
      <c r="T33" s="1574" t="s">
        <v>8</v>
      </c>
      <c r="U33" s="1575">
        <f t="shared" si="11"/>
        <v>100</v>
      </c>
      <c r="V33" s="1574" t="s">
        <v>8</v>
      </c>
      <c r="W33" s="1575">
        <f t="shared" si="12"/>
        <v>100</v>
      </c>
      <c r="X33" s="1568"/>
      <c r="Y33" s="341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1" t="s">
        <v>550</v>
      </c>
      <c r="Q34" s="1573">
        <f t="shared" si="8"/>
        <v>111</v>
      </c>
      <c r="R34" s="1574" t="s">
        <v>8</v>
      </c>
      <c r="S34" s="1575">
        <f t="shared" si="10"/>
        <v>100</v>
      </c>
      <c r="T34" s="1574" t="s">
        <v>8</v>
      </c>
      <c r="U34" s="1575">
        <f t="shared" si="11"/>
        <v>100</v>
      </c>
      <c r="V34" s="1574" t="s">
        <v>8</v>
      </c>
      <c r="W34" s="1575">
        <f t="shared" si="12"/>
        <v>100</v>
      </c>
      <c r="X34" s="1568"/>
      <c r="Y34" s="3412"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2"/>
      <c r="Q35" s="1573">
        <f t="shared" si="8"/>
        <v>111</v>
      </c>
      <c r="R35" s="1578" t="s">
        <v>8</v>
      </c>
      <c r="S35" s="1579">
        <f t="shared" si="10"/>
        <v>100</v>
      </c>
      <c r="T35" s="1578" t="s">
        <v>8</v>
      </c>
      <c r="U35" s="1579">
        <f t="shared" si="11"/>
        <v>100</v>
      </c>
      <c r="V35" s="1578" t="s">
        <v>8</v>
      </c>
      <c r="W35" s="1579">
        <f t="shared" si="12"/>
        <v>100</v>
      </c>
      <c r="X35" s="1580"/>
      <c r="Y35" s="3412"/>
      <c r="Z35" s="1581">
        <f t="shared" si="13"/>
        <v>111</v>
      </c>
      <c r="AA35" s="1577">
        <f t="shared" si="3"/>
        <v>1</v>
      </c>
      <c r="AB35" s="1577">
        <f t="shared" si="4"/>
        <v>1</v>
      </c>
      <c r="AC35" s="1577">
        <f t="shared" si="5"/>
        <v>1</v>
      </c>
    </row>
    <row r="36" spans="1:29" ht="15">
      <c r="A36" s="2907"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2"/>
      <c r="Q36" s="1573" t="str">
        <f>B36</f>
        <v>宗地面积</v>
      </c>
      <c r="R36" s="1574" t="s">
        <v>8</v>
      </c>
      <c r="S36" s="1575" t="e">
        <f t="shared" si="10"/>
        <v>#N/A</v>
      </c>
      <c r="T36" s="1574" t="s">
        <v>8</v>
      </c>
      <c r="U36" s="1575" t="e">
        <f t="shared" si="11"/>
        <v>#N/A</v>
      </c>
      <c r="V36" s="1574" t="s">
        <v>8</v>
      </c>
      <c r="W36" s="1575" t="e">
        <f t="shared" si="12"/>
        <v>#N/A</v>
      </c>
      <c r="X36" s="1568"/>
      <c r="Y36" s="341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2"/>
      <c r="Q37" s="1573" t="str">
        <f t="shared" ref="Q37:Q42" si="14">B37</f>
        <v>宗地形状</v>
      </c>
      <c r="R37" s="1574" t="s">
        <v>8</v>
      </c>
      <c r="S37" s="1575">
        <f t="shared" si="10"/>
        <v>100</v>
      </c>
      <c r="T37" s="1574" t="s">
        <v>8</v>
      </c>
      <c r="U37" s="1575">
        <f t="shared" si="11"/>
        <v>100</v>
      </c>
      <c r="V37" s="1574" t="s">
        <v>8</v>
      </c>
      <c r="W37" s="1575">
        <f t="shared" si="12"/>
        <v>100</v>
      </c>
      <c r="X37" s="1568"/>
      <c r="Y37" s="3412"/>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2"/>
      <c r="Q38" s="1573" t="str">
        <f t="shared" si="14"/>
        <v>宗地开发程度</v>
      </c>
      <c r="R38" s="1569" t="s">
        <v>8</v>
      </c>
      <c r="S38" s="1570">
        <f t="shared" si="10"/>
        <v>100</v>
      </c>
      <c r="T38" s="1569" t="s">
        <v>8</v>
      </c>
      <c r="U38" s="1570">
        <f t="shared" si="11"/>
        <v>100</v>
      </c>
      <c r="V38" s="1569" t="s">
        <v>8</v>
      </c>
      <c r="W38" s="1570">
        <f t="shared" si="12"/>
        <v>100</v>
      </c>
      <c r="X38" s="1571"/>
      <c r="Y38" s="341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2" t="s">
        <v>601</v>
      </c>
      <c r="Q39" s="1573" t="str">
        <f t="shared" si="14"/>
        <v>工程地质条件</v>
      </c>
      <c r="R39" s="1574" t="s">
        <v>8</v>
      </c>
      <c r="S39" s="1575">
        <f t="shared" si="10"/>
        <v>100</v>
      </c>
      <c r="T39" s="1574" t="s">
        <v>8</v>
      </c>
      <c r="U39" s="1575">
        <f t="shared" si="11"/>
        <v>100</v>
      </c>
      <c r="V39" s="1574" t="s">
        <v>8</v>
      </c>
      <c r="W39" s="1575">
        <f t="shared" si="12"/>
        <v>100</v>
      </c>
      <c r="X39" s="1568"/>
      <c r="Y39" s="341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2"/>
      <c r="Q40" s="1573">
        <f t="shared" si="14"/>
        <v>111</v>
      </c>
      <c r="R40" s="1574" t="s">
        <v>8</v>
      </c>
      <c r="S40" s="1575">
        <f t="shared" si="10"/>
        <v>100</v>
      </c>
      <c r="T40" s="1574" t="s">
        <v>8</v>
      </c>
      <c r="U40" s="1575">
        <f t="shared" si="11"/>
        <v>100</v>
      </c>
      <c r="V40" s="1574" t="s">
        <v>8</v>
      </c>
      <c r="W40" s="1575">
        <f t="shared" si="12"/>
        <v>100</v>
      </c>
      <c r="X40" s="1568"/>
      <c r="Y40" s="341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2"/>
      <c r="Q41" s="1573">
        <f t="shared" si="14"/>
        <v>111</v>
      </c>
      <c r="R41" s="1574" t="s">
        <v>8</v>
      </c>
      <c r="S41" s="1575">
        <f t="shared" si="10"/>
        <v>100</v>
      </c>
      <c r="T41" s="1574" t="s">
        <v>8</v>
      </c>
      <c r="U41" s="1575">
        <f t="shared" si="11"/>
        <v>100</v>
      </c>
      <c r="V41" s="1574" t="s">
        <v>8</v>
      </c>
      <c r="W41" s="1575">
        <f t="shared" si="12"/>
        <v>100</v>
      </c>
      <c r="X41" s="1568"/>
      <c r="Y41" s="341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2"/>
      <c r="Q42" s="1573">
        <f t="shared" si="14"/>
        <v>111</v>
      </c>
      <c r="R42" s="1578" t="s">
        <v>8</v>
      </c>
      <c r="S42" s="1579">
        <f t="shared" si="10"/>
        <v>100</v>
      </c>
      <c r="T42" s="1578" t="s">
        <v>8</v>
      </c>
      <c r="U42" s="1579">
        <f t="shared" si="11"/>
        <v>100</v>
      </c>
      <c r="V42" s="1578" t="s">
        <v>8</v>
      </c>
      <c r="W42" s="1579">
        <f t="shared" si="12"/>
        <v>100</v>
      </c>
      <c r="X42" s="1580"/>
      <c r="Y42" s="3412"/>
      <c r="Z42" s="1581">
        <f t="shared" si="13"/>
        <v>111</v>
      </c>
      <c r="AA42" s="1577">
        <f t="shared" si="3"/>
        <v>1</v>
      </c>
      <c r="AB42" s="1577">
        <f t="shared" si="4"/>
        <v>1</v>
      </c>
      <c r="AC42" s="1577">
        <f t="shared" si="5"/>
        <v>1</v>
      </c>
    </row>
    <row r="43" spans="1:29" ht="15">
      <c r="A43" s="607" t="s">
        <v>556</v>
      </c>
      <c r="B43" s="608" t="s">
        <v>2933</v>
      </c>
      <c r="C43" s="609" t="s">
        <v>1</v>
      </c>
      <c r="D43" s="610"/>
      <c r="E43" s="611"/>
      <c r="F43" s="612"/>
      <c r="G43" s="613"/>
      <c r="H43" s="614"/>
      <c r="I43" s="611"/>
      <c r="J43" s="614"/>
      <c r="K43" s="1340"/>
      <c r="L43" s="2144"/>
      <c r="M43" s="2134"/>
      <c r="N43" s="2134"/>
      <c r="O43" s="2145"/>
      <c r="P43" s="3375" t="str">
        <f>A43</f>
        <v>成交单价</v>
      </c>
      <c r="Q43" s="3375"/>
      <c r="R43" s="3376">
        <f>E43</f>
        <v>0</v>
      </c>
      <c r="S43" s="3376"/>
      <c r="T43" s="3376">
        <f>G43</f>
        <v>0</v>
      </c>
      <c r="U43" s="3376"/>
      <c r="V43" s="3376">
        <f>I43</f>
        <v>0</v>
      </c>
      <c r="W43" s="3376"/>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4"/>
      <c r="M44" s="2134"/>
      <c r="N44" s="2134"/>
      <c r="O44" s="2145"/>
      <c r="P44" s="3375" t="str">
        <f>A44</f>
        <v>比较价格（元/平方米）</v>
      </c>
      <c r="Q44" s="3375"/>
      <c r="R44" s="3377" t="e">
        <f>ROUND(PRODUCT(R43,AA9:AA42),0)</f>
        <v>#DIV/0!</v>
      </c>
      <c r="S44" s="3377"/>
      <c r="T44" s="3377" t="e">
        <f>ROUND(PRODUCT(T43,AB9:AB42),0)</f>
        <v>#DIV/0!</v>
      </c>
      <c r="U44" s="3377"/>
      <c r="V44" s="3377" t="e">
        <f>ROUND(PRODUCT(V43,AC9:AC42),0)</f>
        <v>#DIV/0!</v>
      </c>
      <c r="W44" s="3377"/>
      <c r="X44" s="1560"/>
      <c r="Y44" s="1560"/>
      <c r="Z44" s="1560"/>
      <c r="AA44" s="1560"/>
      <c r="AB44" s="1560"/>
      <c r="AC44" s="1560"/>
    </row>
    <row r="45" spans="1:29" ht="15.75" thickBot="1">
      <c r="A45" s="621" t="s">
        <v>2934</v>
      </c>
      <c r="B45" s="622"/>
      <c r="C45" s="623" t="e">
        <f>R45</f>
        <v>#DIV/0!</v>
      </c>
      <c r="D45" s="623"/>
      <c r="E45" s="623"/>
      <c r="F45" s="623"/>
      <c r="G45" s="623"/>
      <c r="H45" s="623"/>
      <c r="I45" s="623"/>
      <c r="J45" s="623"/>
      <c r="K45" s="1342"/>
      <c r="L45" s="2144"/>
      <c r="M45" s="2134"/>
      <c r="N45" s="2134"/>
      <c r="O45" s="2145"/>
      <c r="P45" s="3372" t="str">
        <f>A45</f>
        <v>估价对象XX用房的比较价格（楼面单价，元/平方米）</v>
      </c>
      <c r="Q45" s="3373"/>
      <c r="R45" s="3374" t="e">
        <f>ROUND(AVERAGE(R44:V44),0)</f>
        <v>#DIV/0!</v>
      </c>
      <c r="S45" s="3374"/>
      <c r="T45" s="3374"/>
      <c r="U45" s="3374"/>
      <c r="V45" s="3374"/>
      <c r="W45" s="3374"/>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1724</v>
      </c>
      <c r="D52" s="2227" t="s">
        <v>2295</v>
      </c>
      <c r="E52" s="631" t="s">
        <v>562</v>
      </c>
      <c r="F52" s="1953" t="s">
        <v>563</v>
      </c>
      <c r="G52" s="3420" t="s">
        <v>2286</v>
      </c>
      <c r="H52" s="3421"/>
      <c r="I52" s="1954" t="s">
        <v>1947</v>
      </c>
      <c r="J52" s="1556">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22380</v>
      </c>
      <c r="F53" s="1952" t="e">
        <f t="shared" ref="F53:F62" si="15">ROUND(B53*E53/10000,0)</f>
        <v>#DIV/0!</v>
      </c>
      <c r="G53" s="3422"/>
      <c r="H53" s="3423"/>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24" t="s">
        <v>2287</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24"/>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24"/>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24"/>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2330</v>
      </c>
      <c r="B58" s="638" t="e">
        <f t="shared" si="17"/>
        <v>#DIV/0!</v>
      </c>
      <c r="C58" s="378">
        <f t="shared" si="16"/>
        <v>0</v>
      </c>
      <c r="D58" s="2229">
        <v>0.25</v>
      </c>
      <c r="E58" s="641">
        <f>'数据-汇总表'!E11</f>
        <v>0</v>
      </c>
      <c r="F58" s="1952" t="e">
        <f t="shared" si="15"/>
        <v>#DIV/0!</v>
      </c>
      <c r="G58" s="1958" t="s">
        <v>2288</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2287</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2288</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2296</v>
      </c>
      <c r="E63" s="643">
        <f>IF(B43="楼面地价",SUM(E53:E62),'数据-汇总表'!D3)</f>
        <v>7460.31</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2018-11-1</v>
      </c>
      <c r="D65" s="2799">
        <f>EDATE(C65,-3)</f>
        <v>43313</v>
      </c>
      <c r="E65" s="2799">
        <f t="shared" ref="E65:N65" si="18">EDATE(D65,-3)</f>
        <v>43221</v>
      </c>
      <c r="F65" s="2799">
        <f t="shared" si="18"/>
        <v>43132</v>
      </c>
      <c r="G65" s="2799">
        <f t="shared" si="18"/>
        <v>43040</v>
      </c>
      <c r="H65" s="2799">
        <f t="shared" si="18"/>
        <v>42948</v>
      </c>
      <c r="I65" s="2799">
        <f t="shared" si="18"/>
        <v>42856</v>
      </c>
      <c r="J65" s="2799">
        <f t="shared" si="18"/>
        <v>42767</v>
      </c>
      <c r="K65" s="2799">
        <f t="shared" si="18"/>
        <v>42675</v>
      </c>
      <c r="L65" s="2799">
        <f t="shared" si="18"/>
        <v>42583</v>
      </c>
      <c r="M65" s="2799">
        <f t="shared" si="18"/>
        <v>42491</v>
      </c>
      <c r="N65" s="2799">
        <f t="shared" si="18"/>
        <v>42401</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2427</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2"/>
      <c r="G1" s="1402"/>
      <c r="H1" s="1402"/>
      <c r="I1" s="1402"/>
      <c r="J1" s="1402"/>
      <c r="K1" s="1402"/>
      <c r="L1" s="1884" t="s">
        <v>2240</v>
      </c>
      <c r="M1" s="1885">
        <f>SUMPRODUCT((区片价!B5:B9=I2)*(区片价!C3:F3=E2)*(区片价!C5:F9))</f>
        <v>0</v>
      </c>
      <c r="N1" s="1886">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2" t="s">
        <v>1687</v>
      </c>
      <c r="B3" s="1038" t="e">
        <f>ROUND(B2*10000/D1,0)</f>
        <v>#DIV/0!</v>
      </c>
      <c r="C3" s="1408" t="s">
        <v>926</v>
      </c>
      <c r="D3" s="1409" t="s">
        <v>927</v>
      </c>
      <c r="E3" s="1413"/>
      <c r="F3" s="1414" t="s">
        <v>2935</v>
      </c>
      <c r="G3" s="1039">
        <f>IF(F3="宗地容积率",'数据-汇总表'!I4,IF(F3="估价对象容积率",'数据-汇总表'!I6,'数据-汇总表'!I7))</f>
        <v>3</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3" t="s">
        <v>2282</v>
      </c>
      <c r="B4" s="2453"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75" thickBot="1">
      <c r="A5" s="1639" t="s">
        <v>1823</v>
      </c>
      <c r="B5" s="1416" t="s">
        <v>930</v>
      </c>
      <c r="C5" s="1041" t="e">
        <f>ROUND(IF(E2="商业",IF(F16="增加",C6*C7+C16,C6*C7-C16),IF(E2="住宅",IF(F16="增加",C6*C12+C16,C6*C12-C16),IF(F16="增加",C6+C16,C6-C16))),0)</f>
        <v>#DIV/0!</v>
      </c>
      <c r="D5" s="3118">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34"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3</v>
      </c>
      <c r="AA7" s="2192"/>
      <c r="AB7" s="2192"/>
      <c r="AC7" s="2193"/>
      <c r="AD7" s="2929"/>
      <c r="AE7" s="2929"/>
      <c r="AF7" s="2929"/>
      <c r="AG7" s="2929"/>
      <c r="AH7" s="2929"/>
      <c r="AI7" s="2929"/>
      <c r="AJ7" s="2930"/>
    </row>
    <row r="8" spans="1:39" ht="15">
      <c r="A8" s="3435"/>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26" t="s">
        <v>2785</v>
      </c>
      <c r="X8" s="3427"/>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35"/>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25" t="s">
        <v>2781</v>
      </c>
      <c r="X9" s="2931" t="s">
        <v>2782</v>
      </c>
      <c r="Y9" s="3096"/>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35"/>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2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35"/>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25" t="s">
        <v>2783</v>
      </c>
      <c r="X11" s="1048" t="s">
        <v>2768</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34"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25"/>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36"/>
      <c r="B13" s="1445" t="s">
        <v>1696</v>
      </c>
      <c r="C13" s="1446" t="s">
        <v>1697</v>
      </c>
      <c r="D13" s="1089" t="s">
        <v>1698</v>
      </c>
      <c r="E13" s="1089" t="s">
        <v>1699</v>
      </c>
      <c r="F13" s="1447" t="s">
        <v>947</v>
      </c>
      <c r="G13" s="1448" t="s">
        <v>1642</v>
      </c>
      <c r="H13" s="1449" t="s">
        <v>1642</v>
      </c>
      <c r="I13" s="1450" t="s">
        <v>1642</v>
      </c>
      <c r="J13" s="1451" t="s">
        <v>1642</v>
      </c>
      <c r="K13" s="1402"/>
      <c r="L13" s="2189"/>
      <c r="M13" s="2189"/>
      <c r="N13" s="2189"/>
      <c r="O13" s="2189"/>
      <c r="P13" s="2189"/>
      <c r="Q13" s="2189"/>
      <c r="R13" s="2937">
        <v>12</v>
      </c>
      <c r="S13" s="2926"/>
      <c r="T13" s="2937" t="e">
        <f t="shared" si="0"/>
        <v>#DIV/0!</v>
      </c>
      <c r="U13" s="2926"/>
      <c r="V13" s="2937" t="e">
        <f t="shared" si="1"/>
        <v>#DIV/0!</v>
      </c>
      <c r="W13" s="3425"/>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36"/>
      <c r="B14" s="1452"/>
      <c r="C14" s="1453"/>
      <c r="D14" s="1454"/>
      <c r="E14" s="1454"/>
      <c r="F14" s="1455"/>
      <c r="G14" s="1456" t="s">
        <v>948</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37"/>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89"/>
      <c r="R15" s="2937">
        <v>14</v>
      </c>
      <c r="S15" s="2926"/>
      <c r="T15" s="2937" t="e">
        <f t="shared" si="0"/>
        <v>#DIV/0!</v>
      </c>
      <c r="U15" s="2926"/>
      <c r="V15" s="2937" t="e">
        <f t="shared" si="1"/>
        <v>#DIV/0!</v>
      </c>
      <c r="W15" s="2189"/>
      <c r="X15" s="2189"/>
      <c r="Y15" s="2189"/>
      <c r="Z15" s="2189"/>
      <c r="AA15" s="2189"/>
      <c r="AB15" s="2189"/>
      <c r="AC15" s="2190"/>
    </row>
    <row r="16" spans="1:39" ht="24">
      <c r="A16" s="3434"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35"/>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1829</v>
      </c>
      <c r="B18" s="2772" t="s">
        <v>955</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ROUND(IF(H19="按公示增长率计算",SUMPRODUCT((地价!A3:A23=YEAR(G19)&amp;"-"&amp;ROUNDUP(MONTH(G19)/3,0))*(地价!X2:AB2=E2)*(地价!X3:AB23)),IF(H19="地价指数",M20/M19,(1+I19)^O19)),4)</f>
        <v>#DIV/0!</v>
      </c>
      <c r="D19" s="1475" t="s">
        <v>957</v>
      </c>
      <c r="E19" s="1058">
        <v>41640</v>
      </c>
      <c r="F19" s="1475" t="s">
        <v>958</v>
      </c>
      <c r="G19" s="1059">
        <f>'数据-取费表'!B2</f>
        <v>43418</v>
      </c>
      <c r="H19" s="1476" t="s">
        <v>2936</v>
      </c>
      <c r="I19" s="2784" t="str">
        <f>IF(H19="季度增幅（自定义）",SUMIF(N21:N24,E2,O21:O24),"")</f>
        <v/>
      </c>
      <c r="J19" s="1472"/>
      <c r="K19" s="1482"/>
      <c r="L19" s="3039" t="s">
        <v>2843</v>
      </c>
      <c r="M19" s="3040">
        <f>ROUND(SUMIF(地价!B2:F2,E2,地价!B23:F23),0)</f>
        <v>0</v>
      </c>
      <c r="N19" s="2786" t="s">
        <v>1676</v>
      </c>
      <c r="O19" s="2785">
        <f>ROUNDDOWN(DATEDIF(E19,G19,"M")/3,0)</f>
        <v>19</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8" t="s">
        <v>1836</v>
      </c>
      <c r="B20" s="2779" t="s">
        <v>971</v>
      </c>
      <c r="C20" s="2780" t="e">
        <f>ROUND(POWER(1+G20,J20-I20)*(POWER(1+G20,I20)-1)/(POWER(1+G20,J20)-1),4)</f>
        <v>#DIV/0!</v>
      </c>
      <c r="D20" s="2781" t="s">
        <v>972</v>
      </c>
      <c r="E20" s="3093">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2"/>
      <c r="L20" s="3041" t="s">
        <v>2844</v>
      </c>
      <c r="M20" s="3042">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69">
        <f>SUMPRODUCT((地价!A3:A23=YEAR(G19)&amp;"-"&amp;ROUNDUP(MONTH(G19)/3,0))*(地价!AD2:AH2=N21)*(地价!AD3:AH23))</f>
        <v>0</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69">
        <f>SUMPRODUCT((地价!A3:A23=YEAR(G19)&amp;"-"&amp;ROUNDUP(MONTH(G19)/3,0))*(地价!AD2:AH2=N22)*(地价!AD3:AH23))</f>
        <v>0</v>
      </c>
      <c r="R22" s="2925"/>
      <c r="S22" s="2925"/>
      <c r="T22" s="2925"/>
      <c r="U22" s="2925"/>
      <c r="V22" s="2925"/>
      <c r="W22" s="2195"/>
      <c r="X22" s="2195"/>
      <c r="Y22" s="2195"/>
      <c r="Z22" s="2195"/>
      <c r="AA22" s="2195"/>
      <c r="AB22" s="2195"/>
      <c r="AC22" s="2195"/>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69">
        <f>SUMPRODUCT((地价!A3:A23=YEAR(G19)&amp;"-"&amp;ROUNDUP(MONTH(G19)/3,0))*(地价!AD2:AH2=N23)*(地价!AD3:AH23))</f>
        <v>0</v>
      </c>
      <c r="R23" s="2925"/>
      <c r="S23" s="2925"/>
      <c r="T23" s="2925"/>
      <c r="U23" s="2925"/>
      <c r="V23" s="2925"/>
      <c r="W23" s="2195"/>
      <c r="X23" s="2195"/>
      <c r="Y23" s="2195"/>
      <c r="Z23" s="2195"/>
      <c r="AA23" s="2195"/>
      <c r="AB23" s="2195"/>
      <c r="AC23" s="2195"/>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SUMPRODUCT((地价!A3:A23=YEAR(G19)&amp;"-"&amp;ROUNDUP(MONTH(G19)/3,0))*(地价!AD2:AH2=N24)*(地价!AD3:AH23))</f>
        <v>0</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5"/>
      <c r="M25" s="2195"/>
      <c r="N25" s="2797" t="s">
        <v>2650</v>
      </c>
      <c r="O25" s="2195"/>
      <c r="P25" s="1542">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90"/>
      <c r="B26" s="1484" t="s">
        <v>986</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25">
      <c r="A28" s="1486"/>
      <c r="B28" s="1499" t="s">
        <v>989</v>
      </c>
      <c r="C28" s="1500" t="s">
        <v>990</v>
      </c>
      <c r="D28" s="1500" t="s">
        <v>991</v>
      </c>
      <c r="E28" s="1501" t="s">
        <v>992</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40" t="s">
        <v>2961</v>
      </c>
      <c r="B33" s="1525" t="s">
        <v>999</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41"/>
      <c r="B34" s="1446" t="s">
        <v>1000</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41"/>
      <c r="B35" s="1446" t="s">
        <v>1001</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42"/>
      <c r="B36" s="1446" t="s">
        <v>1002</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1003</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1703</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1004</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1705</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1005</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1704</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1006</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4" t="s">
        <v>1007</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1020</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1021</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1022</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1023</v>
      </c>
      <c r="B50" s="3095" t="s">
        <v>2938</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1024</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1025</v>
      </c>
      <c r="B52" s="3094" t="s">
        <v>2937</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1026</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1027</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1" t="s">
        <v>1028</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1029</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1030</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1021</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1022</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1023</v>
      </c>
      <c r="B61" s="3095" t="s">
        <v>2939</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1024</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1025</v>
      </c>
      <c r="B63" s="3094" t="s">
        <v>2937</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1026</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1027</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1" t="s">
        <v>1028</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4" t="s">
        <v>1031</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1032</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1033</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1022</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1034</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1026</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1027</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1025</v>
      </c>
      <c r="B75" s="3094" t="s">
        <v>2937</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1028</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1" t="s">
        <v>1035</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1036</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6"/>
      <c r="AD79" s="1405"/>
      <c r="AJ79" s="1404"/>
      <c r="AN79" s="1405"/>
    </row>
    <row r="80" spans="1:40" ht="36">
      <c r="A80" s="1067" t="s">
        <v>1037</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1033</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1022</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1034</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1026</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1027</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1025</v>
      </c>
      <c r="B86" s="3094" t="s">
        <v>2937</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1038</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38" t="s">
        <v>1633</v>
      </c>
      <c r="B90" s="3438"/>
      <c r="C90" s="3438"/>
      <c r="D90" s="3438"/>
      <c r="E90" s="3438"/>
      <c r="F90" s="3438"/>
      <c r="G90" s="3438"/>
      <c r="H90" s="3438"/>
      <c r="I90" s="3438"/>
      <c r="J90" s="3438"/>
      <c r="K90" s="2450"/>
      <c r="L90" s="2450"/>
      <c r="M90" s="2450"/>
      <c r="N90" s="2450"/>
    </row>
    <row r="91" spans="1:40">
      <c r="A91" s="3439" t="s">
        <v>1443</v>
      </c>
      <c r="B91" s="3439" t="s">
        <v>1634</v>
      </c>
      <c r="C91" s="1140" t="s">
        <v>1635</v>
      </c>
      <c r="D91" s="1141"/>
      <c r="E91" s="1141"/>
      <c r="F91" s="1141"/>
      <c r="G91" s="1141"/>
      <c r="H91" s="1141"/>
      <c r="I91" s="1141"/>
      <c r="J91" s="1142"/>
      <c r="K91" s="1134"/>
      <c r="L91" s="1134"/>
      <c r="M91" s="1134"/>
      <c r="N91" s="1134"/>
    </row>
    <row r="92" spans="1:40">
      <c r="A92" s="3439"/>
      <c r="B92" s="3439"/>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2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9"/>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8" t="s">
        <v>1637</v>
      </c>
      <c r="B101" s="1147" t="s">
        <v>905</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29"/>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29"/>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29"/>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29"/>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29"/>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29"/>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29"/>
      <c r="B108" s="3431"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0"/>
      <c r="B109" s="3432"/>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33" t="s">
        <v>1639</v>
      </c>
      <c r="B110" s="3433"/>
      <c r="C110" s="3433"/>
      <c r="D110" s="3433"/>
      <c r="E110" s="3433"/>
      <c r="F110" s="3433"/>
      <c r="G110" s="3433"/>
      <c r="H110" s="3433"/>
      <c r="I110" s="3433"/>
      <c r="J110" s="3433"/>
      <c r="K110" s="2448"/>
      <c r="L110" s="2448"/>
      <c r="M110" s="2448"/>
      <c r="N110" s="2448"/>
    </row>
    <row r="112" spans="1:14" ht="12.75" thickBot="1"/>
    <row r="113" spans="1:13" ht="25.5" thickBot="1">
      <c r="A113" s="1016" t="s">
        <v>895</v>
      </c>
      <c r="B113" s="2451">
        <f>G3</f>
        <v>3</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900</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901</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902</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39" t="s">
        <v>1007</v>
      </c>
      <c r="B18" s="1154" t="s">
        <v>1446</v>
      </c>
      <c r="C18" s="1131" t="s">
        <v>1447</v>
      </c>
      <c r="D18" s="1132"/>
      <c r="E18" s="1154">
        <v>1</v>
      </c>
      <c r="F18" s="1133" t="s">
        <v>1448</v>
      </c>
      <c r="G18" s="1134"/>
      <c r="H18" s="1105"/>
      <c r="I18" s="1105"/>
    </row>
    <row r="19" spans="1:9" s="1600" customFormat="1" ht="19.5" customHeight="1">
      <c r="A19" s="3439"/>
      <c r="B19" s="3439" t="s">
        <v>1449</v>
      </c>
      <c r="C19" s="1131" t="s">
        <v>1450</v>
      </c>
      <c r="D19" s="1132"/>
      <c r="E19" s="1154">
        <v>0.9</v>
      </c>
      <c r="F19" s="1133" t="s">
        <v>1451</v>
      </c>
      <c r="G19" s="1134"/>
      <c r="H19" s="1105"/>
      <c r="I19" s="1105"/>
    </row>
    <row r="20" spans="1:9" s="1600" customFormat="1" ht="19.5" customHeight="1">
      <c r="A20" s="3439"/>
      <c r="B20" s="3439"/>
      <c r="C20" s="1131" t="s">
        <v>1452</v>
      </c>
      <c r="D20" s="1132"/>
      <c r="E20" s="1154">
        <v>1.1000000000000001</v>
      </c>
      <c r="F20" s="1133" t="s">
        <v>1453</v>
      </c>
      <c r="G20" s="1134"/>
      <c r="H20" s="1105"/>
      <c r="I20" s="1105"/>
    </row>
    <row r="21" spans="1:9" s="1600" customFormat="1" ht="19.5" customHeight="1">
      <c r="A21" s="3439"/>
      <c r="B21" s="3439"/>
      <c r="C21" s="1131" t="s">
        <v>1454</v>
      </c>
      <c r="D21" s="1132"/>
      <c r="E21" s="1154">
        <v>0.8</v>
      </c>
      <c r="F21" s="1133" t="s">
        <v>1455</v>
      </c>
      <c r="G21" s="1134"/>
      <c r="H21" s="1105"/>
      <c r="I21" s="1105"/>
    </row>
    <row r="22" spans="1:9" s="1600" customFormat="1" ht="19.5" customHeight="1">
      <c r="A22" s="3439"/>
      <c r="B22" s="3439"/>
      <c r="C22" s="1131" t="s">
        <v>1456</v>
      </c>
      <c r="D22" s="1132"/>
      <c r="E22" s="1154">
        <v>0.5</v>
      </c>
      <c r="F22" s="1133"/>
      <c r="G22" s="1134"/>
      <c r="H22" s="1105"/>
      <c r="I22" s="1105"/>
    </row>
    <row r="23" spans="1:9" s="1600" customFormat="1" ht="19.5" customHeight="1">
      <c r="A23" s="3439" t="s">
        <v>1029</v>
      </c>
      <c r="B23" s="1154" t="s">
        <v>1446</v>
      </c>
      <c r="C23" s="1131" t="s">
        <v>1457</v>
      </c>
      <c r="D23" s="1132"/>
      <c r="E23" s="1154">
        <v>1</v>
      </c>
      <c r="F23" s="1133" t="s">
        <v>1458</v>
      </c>
      <c r="G23" s="1134"/>
      <c r="H23" s="1105"/>
      <c r="I23" s="1105"/>
    </row>
    <row r="24" spans="1:9" s="1600" customFormat="1" ht="19.5" customHeight="1">
      <c r="A24" s="3439"/>
      <c r="B24" s="3439" t="s">
        <v>1449</v>
      </c>
      <c r="C24" s="1131" t="s">
        <v>1459</v>
      </c>
      <c r="D24" s="1132"/>
      <c r="E24" s="1154">
        <v>0.5</v>
      </c>
      <c r="F24" s="1133"/>
      <c r="G24" s="1134"/>
      <c r="H24" s="1105"/>
      <c r="I24" s="1105"/>
    </row>
    <row r="25" spans="1:9" s="1600" customFormat="1" ht="19.5" customHeight="1">
      <c r="A25" s="3439"/>
      <c r="B25" s="3439"/>
      <c r="C25" s="1131" t="s">
        <v>1460</v>
      </c>
      <c r="D25" s="1132"/>
      <c r="E25" s="1154">
        <v>1.1000000000000001</v>
      </c>
      <c r="F25" s="1133"/>
      <c r="G25" s="1134"/>
      <c r="H25" s="1105"/>
      <c r="I25" s="1105"/>
    </row>
    <row r="26" spans="1:9" s="1600" customFormat="1" ht="19.5" customHeight="1">
      <c r="A26" s="3439"/>
      <c r="B26" s="3439"/>
      <c r="C26" s="1131" t="s">
        <v>1461</v>
      </c>
      <c r="D26" s="1132"/>
      <c r="E26" s="1154">
        <v>1.1000000000000001</v>
      </c>
      <c r="F26" s="1133"/>
      <c r="G26" s="1134"/>
      <c r="H26" s="1105"/>
      <c r="I26" s="1105"/>
    </row>
    <row r="27" spans="1:9" s="1600" customFormat="1" ht="19.5" customHeight="1">
      <c r="A27" s="3439"/>
      <c r="B27" s="3439"/>
      <c r="C27" s="1131" t="s">
        <v>1462</v>
      </c>
      <c r="D27" s="1132"/>
      <c r="E27" s="1154">
        <v>0.9</v>
      </c>
      <c r="F27" s="1133" t="s">
        <v>1463</v>
      </c>
      <c r="G27" s="1134"/>
      <c r="H27" s="1105"/>
      <c r="I27" s="1105"/>
    </row>
    <row r="28" spans="1:9" s="1600" customFormat="1" ht="19.5" customHeight="1">
      <c r="A28" s="3439"/>
      <c r="B28" s="3439"/>
      <c r="C28" s="1131" t="s">
        <v>1464</v>
      </c>
      <c r="D28" s="1132"/>
      <c r="E28" s="1154">
        <v>0.9</v>
      </c>
      <c r="F28" s="1133" t="s">
        <v>1465</v>
      </c>
      <c r="G28" s="1134"/>
      <c r="H28" s="1105"/>
      <c r="I28" s="1105"/>
    </row>
    <row r="29" spans="1:9" s="1600" customFormat="1" ht="19.5" customHeight="1">
      <c r="A29" s="3439"/>
      <c r="B29" s="3439"/>
      <c r="C29" s="1131" t="s">
        <v>1466</v>
      </c>
      <c r="D29" s="1132"/>
      <c r="E29" s="1154">
        <v>0.9</v>
      </c>
      <c r="F29" s="1133" t="s">
        <v>1467</v>
      </c>
      <c r="G29" s="1134"/>
      <c r="H29" s="1105"/>
      <c r="I29" s="1105"/>
    </row>
    <row r="30" spans="1:9" s="1600" customFormat="1" ht="19.5" customHeight="1">
      <c r="A30" s="3439"/>
      <c r="B30" s="3439"/>
      <c r="C30" s="1131" t="s">
        <v>1468</v>
      </c>
      <c r="D30" s="1132"/>
      <c r="E30" s="1154">
        <v>0.9</v>
      </c>
      <c r="F30" s="1133" t="s">
        <v>1469</v>
      </c>
      <c r="G30" s="1134"/>
      <c r="H30" s="1105"/>
      <c r="I30" s="1105"/>
    </row>
    <row r="31" spans="1:9" s="1600" customFormat="1" ht="19.5" customHeight="1">
      <c r="A31" s="3439"/>
      <c r="B31" s="3439"/>
      <c r="C31" s="1131" t="s">
        <v>1470</v>
      </c>
      <c r="D31" s="1132"/>
      <c r="E31" s="1154">
        <v>0.8</v>
      </c>
      <c r="F31" s="1133" t="s">
        <v>1471</v>
      </c>
      <c r="G31" s="1134"/>
      <c r="H31" s="1105"/>
      <c r="I31" s="1105"/>
    </row>
    <row r="32" spans="1:9" s="1600" customFormat="1" ht="19.5" customHeight="1">
      <c r="A32" s="3439"/>
      <c r="B32" s="3439"/>
      <c r="C32" s="1131" t="s">
        <v>1472</v>
      </c>
      <c r="D32" s="1132"/>
      <c r="E32" s="1154">
        <v>0.8</v>
      </c>
      <c r="F32" s="1133" t="s">
        <v>1473</v>
      </c>
      <c r="G32" s="1134"/>
      <c r="H32" s="1105"/>
      <c r="I32" s="1105"/>
    </row>
    <row r="33" spans="1:9" s="1600" customFormat="1" ht="19.5" customHeight="1">
      <c r="A33" s="3439" t="s">
        <v>1474</v>
      </c>
      <c r="B33" s="1154" t="s">
        <v>1446</v>
      </c>
      <c r="C33" s="1131" t="s">
        <v>1475</v>
      </c>
      <c r="D33" s="1132"/>
      <c r="E33" s="1154">
        <v>1</v>
      </c>
      <c r="F33" s="1133" t="s">
        <v>1476</v>
      </c>
      <c r="G33" s="1134"/>
      <c r="H33" s="1105"/>
      <c r="I33" s="1105"/>
    </row>
    <row r="34" spans="1:9" s="1600" customFormat="1" ht="19.5" customHeight="1">
      <c r="A34" s="3439"/>
      <c r="B34" s="1154" t="s">
        <v>1449</v>
      </c>
      <c r="C34" s="1131" t="s">
        <v>1477</v>
      </c>
      <c r="D34" s="1132"/>
      <c r="E34" s="1154">
        <v>1.5</v>
      </c>
      <c r="F34" s="1133" t="s">
        <v>1478</v>
      </c>
      <c r="G34" s="1134"/>
      <c r="H34" s="1105"/>
      <c r="I34" s="1105"/>
    </row>
    <row r="35" spans="1:9" s="1600" customFormat="1" ht="19.5" customHeight="1">
      <c r="A35" s="3439" t="s">
        <v>1432</v>
      </c>
      <c r="B35" s="1154" t="s">
        <v>1446</v>
      </c>
      <c r="C35" s="1131" t="s">
        <v>1479</v>
      </c>
      <c r="D35" s="1132"/>
      <c r="E35" s="1154">
        <v>1</v>
      </c>
      <c r="F35" s="1133" t="s">
        <v>1480</v>
      </c>
      <c r="G35" s="1134"/>
      <c r="H35" s="1105"/>
      <c r="I35" s="1105"/>
    </row>
    <row r="36" spans="1:9" s="1600" customFormat="1" ht="19.5" customHeight="1">
      <c r="A36" s="3439"/>
      <c r="B36" s="3439" t="s">
        <v>1449</v>
      </c>
      <c r="C36" s="1131" t="s">
        <v>1481</v>
      </c>
      <c r="D36" s="1132"/>
      <c r="E36" s="1154">
        <v>1</v>
      </c>
      <c r="F36" s="1133" t="s">
        <v>1482</v>
      </c>
      <c r="G36" s="1134"/>
      <c r="H36" s="1105"/>
      <c r="I36" s="1105"/>
    </row>
    <row r="37" spans="1:9" s="1600" customFormat="1" ht="19.5" customHeight="1">
      <c r="A37" s="3439"/>
      <c r="B37" s="3439"/>
      <c r="C37" s="1131" t="s">
        <v>1483</v>
      </c>
      <c r="D37" s="1132"/>
      <c r="E37" s="1154">
        <v>1.5</v>
      </c>
      <c r="F37" s="1133" t="s">
        <v>1484</v>
      </c>
      <c r="G37" s="1134"/>
      <c r="H37" s="1105"/>
      <c r="I37" s="1105"/>
    </row>
    <row r="38" spans="1:9" s="1600" customFormat="1" ht="19.5" customHeight="1">
      <c r="A38" s="3439"/>
      <c r="B38" s="3439"/>
      <c r="C38" s="1131" t="s">
        <v>1485</v>
      </c>
      <c r="D38" s="1132"/>
      <c r="E38" s="1154">
        <v>1</v>
      </c>
      <c r="F38" s="1133" t="s">
        <v>1486</v>
      </c>
      <c r="G38" s="1134"/>
      <c r="H38" s="1105"/>
      <c r="I38" s="1105"/>
    </row>
    <row r="39" spans="1:9" s="1600" customFormat="1" ht="19.5" customHeight="1">
      <c r="A39" s="3439"/>
      <c r="B39" s="3439"/>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39" t="s">
        <v>1501</v>
      </c>
      <c r="C61" s="1068" t="s">
        <v>1502</v>
      </c>
      <c r="D61" s="1068" t="s">
        <v>1503</v>
      </c>
      <c r="E61" s="1139">
        <v>0.5</v>
      </c>
      <c r="F61" s="1154">
        <v>80</v>
      </c>
      <c r="H61" s="1105">
        <f>SUMIF(C59:C119,基准地价!C8,E59:E119)</f>
        <v>0</v>
      </c>
    </row>
    <row r="62" spans="1:8" s="1105" customFormat="1" ht="24">
      <c r="A62" s="1154">
        <v>2</v>
      </c>
      <c r="B62" s="3439"/>
      <c r="C62" s="1068" t="s">
        <v>1504</v>
      </c>
      <c r="D62" s="1068" t="s">
        <v>1505</v>
      </c>
      <c r="E62" s="1139">
        <v>0.5</v>
      </c>
      <c r="F62" s="1154">
        <v>80</v>
      </c>
    </row>
    <row r="63" spans="1:8" s="1105" customFormat="1" ht="36">
      <c r="A63" s="1154">
        <v>3</v>
      </c>
      <c r="B63" s="3439"/>
      <c r="C63" s="1068" t="s">
        <v>1506</v>
      </c>
      <c r="D63" s="1068" t="s">
        <v>1507</v>
      </c>
      <c r="E63" s="1139">
        <v>0.5</v>
      </c>
      <c r="F63" s="1154">
        <v>80</v>
      </c>
    </row>
    <row r="64" spans="1:8" s="1105" customFormat="1" ht="36">
      <c r="A64" s="1154">
        <v>4</v>
      </c>
      <c r="B64" s="3439"/>
      <c r="C64" s="1068" t="s">
        <v>1508</v>
      </c>
      <c r="D64" s="1068" t="s">
        <v>1509</v>
      </c>
      <c r="E64" s="1139">
        <v>0.4</v>
      </c>
      <c r="F64" s="1154">
        <v>60</v>
      </c>
    </row>
    <row r="65" spans="1:6" s="1105" customFormat="1" ht="36">
      <c r="A65" s="1154">
        <v>5</v>
      </c>
      <c r="B65" s="3439"/>
      <c r="C65" s="1068" t="s">
        <v>1510</v>
      </c>
      <c r="D65" s="1068" t="s">
        <v>1511</v>
      </c>
      <c r="E65" s="1139">
        <v>0.2</v>
      </c>
      <c r="F65" s="1154">
        <v>30</v>
      </c>
    </row>
    <row r="66" spans="1:6" s="1105" customFormat="1" ht="36">
      <c r="A66" s="1154">
        <v>6</v>
      </c>
      <c r="B66" s="3439"/>
      <c r="C66" s="1068" t="s">
        <v>1512</v>
      </c>
      <c r="D66" s="1068" t="s">
        <v>1513</v>
      </c>
      <c r="E66" s="1139">
        <v>0.3</v>
      </c>
      <c r="F66" s="1154">
        <v>50</v>
      </c>
    </row>
    <row r="67" spans="1:6" s="1105" customFormat="1" ht="36">
      <c r="A67" s="1154">
        <v>7</v>
      </c>
      <c r="B67" s="3439"/>
      <c r="C67" s="1068" t="s">
        <v>1514</v>
      </c>
      <c r="D67" s="1068" t="s">
        <v>1515</v>
      </c>
      <c r="E67" s="1139">
        <v>0.2</v>
      </c>
      <c r="F67" s="1154">
        <v>30</v>
      </c>
    </row>
    <row r="68" spans="1:6" s="1105" customFormat="1" ht="36">
      <c r="A68" s="1154">
        <v>8</v>
      </c>
      <c r="B68" s="3439"/>
      <c r="C68" s="1068" t="s">
        <v>1516</v>
      </c>
      <c r="D68" s="1068" t="s">
        <v>1517</v>
      </c>
      <c r="E68" s="1139">
        <v>0.2</v>
      </c>
      <c r="F68" s="1154">
        <v>30</v>
      </c>
    </row>
    <row r="69" spans="1:6" s="1105" customFormat="1" ht="36">
      <c r="A69" s="1154">
        <v>9</v>
      </c>
      <c r="B69" s="3439"/>
      <c r="C69" s="1068" t="s">
        <v>1518</v>
      </c>
      <c r="D69" s="1068" t="s">
        <v>1519</v>
      </c>
      <c r="E69" s="1139">
        <v>0.2</v>
      </c>
      <c r="F69" s="1154">
        <v>30</v>
      </c>
    </row>
    <row r="70" spans="1:6" s="1105" customFormat="1" ht="48">
      <c r="A70" s="1154">
        <v>10</v>
      </c>
      <c r="B70" s="3439"/>
      <c r="C70" s="1068" t="s">
        <v>1520</v>
      </c>
      <c r="D70" s="1068" t="s">
        <v>1521</v>
      </c>
      <c r="E70" s="1139">
        <v>0.2</v>
      </c>
      <c r="F70" s="1154">
        <v>30</v>
      </c>
    </row>
    <row r="71" spans="1:6" s="1105" customFormat="1" ht="48">
      <c r="A71" s="1154">
        <v>11</v>
      </c>
      <c r="B71" s="3439"/>
      <c r="C71" s="1068" t="s">
        <v>1522</v>
      </c>
      <c r="D71" s="1068" t="s">
        <v>1523</v>
      </c>
      <c r="E71" s="1139">
        <v>0.2</v>
      </c>
      <c r="F71" s="1154">
        <v>30</v>
      </c>
    </row>
    <row r="72" spans="1:6" s="1105" customFormat="1" ht="36">
      <c r="A72" s="1154">
        <v>12</v>
      </c>
      <c r="B72" s="3439"/>
      <c r="C72" s="1068" t="s">
        <v>1524</v>
      </c>
      <c r="D72" s="1068" t="s">
        <v>1525</v>
      </c>
      <c r="E72" s="1139">
        <v>0.5</v>
      </c>
      <c r="F72" s="1154">
        <v>80</v>
      </c>
    </row>
    <row r="73" spans="1:6" s="1105" customFormat="1" ht="24">
      <c r="A73" s="1154">
        <v>13</v>
      </c>
      <c r="B73" s="3439"/>
      <c r="C73" s="1068" t="s">
        <v>1526</v>
      </c>
      <c r="D73" s="1068" t="s">
        <v>1527</v>
      </c>
      <c r="E73" s="1139">
        <v>0.4</v>
      </c>
      <c r="F73" s="1154">
        <v>60</v>
      </c>
    </row>
    <row r="74" spans="1:6" s="1105" customFormat="1" ht="24">
      <c r="A74" s="1154">
        <v>14</v>
      </c>
      <c r="B74" s="3439"/>
      <c r="C74" s="1068" t="s">
        <v>1528</v>
      </c>
      <c r="D74" s="1068" t="s">
        <v>1529</v>
      </c>
      <c r="E74" s="1139">
        <v>0.2</v>
      </c>
      <c r="F74" s="1154">
        <v>30</v>
      </c>
    </row>
    <row r="75" spans="1:6" s="1105" customFormat="1" ht="24">
      <c r="A75" s="1154">
        <v>15</v>
      </c>
      <c r="B75" s="3439"/>
      <c r="C75" s="1068" t="s">
        <v>1530</v>
      </c>
      <c r="D75" s="1068" t="s">
        <v>1531</v>
      </c>
      <c r="E75" s="1139">
        <v>0.2</v>
      </c>
      <c r="F75" s="1154">
        <v>30</v>
      </c>
    </row>
    <row r="76" spans="1:6" s="1105" customFormat="1" ht="24">
      <c r="A76" s="1154">
        <v>16</v>
      </c>
      <c r="B76" s="3439" t="s">
        <v>1532</v>
      </c>
      <c r="C76" s="1068" t="s">
        <v>1533</v>
      </c>
      <c r="D76" s="1068" t="s">
        <v>1534</v>
      </c>
      <c r="E76" s="1139">
        <v>0.5</v>
      </c>
      <c r="F76" s="1154">
        <v>80</v>
      </c>
    </row>
    <row r="77" spans="1:6" s="1105" customFormat="1" ht="24">
      <c r="A77" s="1154">
        <v>17</v>
      </c>
      <c r="B77" s="3439"/>
      <c r="C77" s="1068" t="s">
        <v>1535</v>
      </c>
      <c r="D77" s="1068" t="s">
        <v>1536</v>
      </c>
      <c r="E77" s="1139">
        <v>0.5</v>
      </c>
      <c r="F77" s="1154">
        <v>80</v>
      </c>
    </row>
    <row r="78" spans="1:6" s="1105" customFormat="1" ht="24">
      <c r="A78" s="1154">
        <v>18</v>
      </c>
      <c r="B78" s="3439"/>
      <c r="C78" s="1068" t="s">
        <v>1537</v>
      </c>
      <c r="D78" s="1068" t="s">
        <v>1538</v>
      </c>
      <c r="E78" s="1139">
        <v>0.2</v>
      </c>
      <c r="F78" s="1154">
        <v>30</v>
      </c>
    </row>
    <row r="79" spans="1:6" s="1105" customFormat="1" ht="24">
      <c r="A79" s="1154">
        <v>19</v>
      </c>
      <c r="B79" s="3439"/>
      <c r="C79" s="1068" t="s">
        <v>1539</v>
      </c>
      <c r="D79" s="1068" t="s">
        <v>1540</v>
      </c>
      <c r="E79" s="1139">
        <v>0.5</v>
      </c>
      <c r="F79" s="1154">
        <v>80</v>
      </c>
    </row>
    <row r="80" spans="1:6" s="1105" customFormat="1" ht="36">
      <c r="A80" s="1154">
        <v>20</v>
      </c>
      <c r="B80" s="3439"/>
      <c r="C80" s="1068" t="s">
        <v>1541</v>
      </c>
      <c r="D80" s="1068" t="s">
        <v>1542</v>
      </c>
      <c r="E80" s="1139">
        <v>0.2</v>
      </c>
      <c r="F80" s="1154">
        <v>30</v>
      </c>
    </row>
    <row r="81" spans="1:6" s="1105" customFormat="1" ht="36">
      <c r="A81" s="1154">
        <v>21</v>
      </c>
      <c r="B81" s="3439"/>
      <c r="C81" s="1068" t="s">
        <v>1543</v>
      </c>
      <c r="D81" s="1068" t="s">
        <v>1544</v>
      </c>
      <c r="E81" s="1139">
        <v>0.2</v>
      </c>
      <c r="F81" s="1154">
        <v>30</v>
      </c>
    </row>
    <row r="82" spans="1:6" s="1105" customFormat="1" ht="48">
      <c r="A82" s="1154">
        <v>22</v>
      </c>
      <c r="B82" s="3439"/>
      <c r="C82" s="1068" t="s">
        <v>1545</v>
      </c>
      <c r="D82" s="1068" t="s">
        <v>1546</v>
      </c>
      <c r="E82" s="1139">
        <v>0.2</v>
      </c>
      <c r="F82" s="1154">
        <v>30</v>
      </c>
    </row>
    <row r="83" spans="1:6" s="1105" customFormat="1" ht="48">
      <c r="A83" s="1154">
        <v>23</v>
      </c>
      <c r="B83" s="3439"/>
      <c r="C83" s="1068" t="s">
        <v>1547</v>
      </c>
      <c r="D83" s="1068" t="s">
        <v>1548</v>
      </c>
      <c r="E83" s="1139">
        <v>0.2</v>
      </c>
      <c r="F83" s="1154">
        <v>30</v>
      </c>
    </row>
    <row r="84" spans="1:6" s="1105" customFormat="1" ht="36">
      <c r="A84" s="1154">
        <v>24</v>
      </c>
      <c r="B84" s="3439"/>
      <c r="C84" s="1068" t="s">
        <v>1549</v>
      </c>
      <c r="D84" s="1068" t="s">
        <v>1550</v>
      </c>
      <c r="E84" s="1139">
        <v>0.2</v>
      </c>
      <c r="F84" s="1154">
        <v>30</v>
      </c>
    </row>
    <row r="85" spans="1:6" s="1105" customFormat="1" ht="36">
      <c r="A85" s="1154">
        <v>25</v>
      </c>
      <c r="B85" s="3439"/>
      <c r="C85" s="1068" t="s">
        <v>1551</v>
      </c>
      <c r="D85" s="1068" t="s">
        <v>1552</v>
      </c>
      <c r="E85" s="1139">
        <v>0.5</v>
      </c>
      <c r="F85" s="1154">
        <v>80</v>
      </c>
    </row>
    <row r="86" spans="1:6" s="1105" customFormat="1" ht="36">
      <c r="A86" s="1154">
        <v>26</v>
      </c>
      <c r="B86" s="3439"/>
      <c r="C86" s="1068" t="s">
        <v>1553</v>
      </c>
      <c r="D86" s="1068" t="s">
        <v>1554</v>
      </c>
      <c r="E86" s="1139">
        <v>0.2</v>
      </c>
      <c r="F86" s="1154">
        <v>30</v>
      </c>
    </row>
    <row r="87" spans="1:6" s="1105" customFormat="1" ht="36">
      <c r="A87" s="1154">
        <v>27</v>
      </c>
      <c r="B87" s="3439"/>
      <c r="C87" s="1068" t="s">
        <v>1555</v>
      </c>
      <c r="D87" s="1068" t="s">
        <v>1556</v>
      </c>
      <c r="E87" s="1139">
        <v>0.2</v>
      </c>
      <c r="F87" s="1154">
        <v>30</v>
      </c>
    </row>
    <row r="88" spans="1:6" s="1105" customFormat="1" ht="36">
      <c r="A88" s="1154">
        <v>28</v>
      </c>
      <c r="B88" s="3439"/>
      <c r="C88" s="1068" t="s">
        <v>1557</v>
      </c>
      <c r="D88" s="1068" t="s">
        <v>1558</v>
      </c>
      <c r="E88" s="1139">
        <v>0.2</v>
      </c>
      <c r="F88" s="1154">
        <v>30</v>
      </c>
    </row>
    <row r="89" spans="1:6" s="1105" customFormat="1" ht="24">
      <c r="A89" s="1154">
        <v>29</v>
      </c>
      <c r="B89" s="3439"/>
      <c r="C89" s="1068" t="s">
        <v>1559</v>
      </c>
      <c r="D89" s="1068" t="s">
        <v>1560</v>
      </c>
      <c r="E89" s="1139">
        <v>0.2</v>
      </c>
      <c r="F89" s="1154">
        <v>30</v>
      </c>
    </row>
    <row r="90" spans="1:6" s="1105" customFormat="1" ht="24">
      <c r="A90" s="1154">
        <v>30</v>
      </c>
      <c r="B90" s="3439"/>
      <c r="C90" s="1068" t="s">
        <v>1561</v>
      </c>
      <c r="D90" s="1068" t="s">
        <v>1562</v>
      </c>
      <c r="E90" s="1139">
        <v>0.2</v>
      </c>
      <c r="F90" s="1154">
        <v>30</v>
      </c>
    </row>
    <row r="91" spans="1:6" s="1105" customFormat="1" ht="36">
      <c r="A91" s="1154">
        <v>31</v>
      </c>
      <c r="B91" s="3439"/>
      <c r="C91" s="1068" t="s">
        <v>1563</v>
      </c>
      <c r="D91" s="1068" t="s">
        <v>1564</v>
      </c>
      <c r="E91" s="1139">
        <v>0.2</v>
      </c>
      <c r="F91" s="1154">
        <v>30</v>
      </c>
    </row>
    <row r="92" spans="1:6" s="1105" customFormat="1" ht="24">
      <c r="A92" s="1154">
        <v>32</v>
      </c>
      <c r="B92" s="3439" t="s">
        <v>1565</v>
      </c>
      <c r="C92" s="1154" t="s">
        <v>1566</v>
      </c>
      <c r="D92" s="1068" t="s">
        <v>1567</v>
      </c>
      <c r="E92" s="1139">
        <v>0.2</v>
      </c>
      <c r="F92" s="1154">
        <v>30</v>
      </c>
    </row>
    <row r="93" spans="1:6" s="1105" customFormat="1" ht="36">
      <c r="A93" s="1154">
        <v>33</v>
      </c>
      <c r="B93" s="3439"/>
      <c r="C93" s="1154" t="s">
        <v>1568</v>
      </c>
      <c r="D93" s="1068" t="s">
        <v>1569</v>
      </c>
      <c r="E93" s="1139">
        <v>0.2</v>
      </c>
      <c r="F93" s="1154">
        <v>30</v>
      </c>
    </row>
    <row r="94" spans="1:6" s="1105" customFormat="1" ht="48">
      <c r="A94" s="1154">
        <v>34</v>
      </c>
      <c r="B94" s="3439"/>
      <c r="C94" s="1154" t="s">
        <v>1570</v>
      </c>
      <c r="D94" s="1068" t="s">
        <v>1571</v>
      </c>
      <c r="E94" s="1139">
        <v>0.2</v>
      </c>
      <c r="F94" s="1154">
        <v>30</v>
      </c>
    </row>
    <row r="95" spans="1:6" s="1105" customFormat="1" ht="36">
      <c r="A95" s="1154">
        <v>35</v>
      </c>
      <c r="B95" s="3439"/>
      <c r="C95" s="1154" t="s">
        <v>1572</v>
      </c>
      <c r="D95" s="1068" t="s">
        <v>1573</v>
      </c>
      <c r="E95" s="1139">
        <v>0.2</v>
      </c>
      <c r="F95" s="1154">
        <v>30</v>
      </c>
    </row>
    <row r="96" spans="1:6" s="1105" customFormat="1" ht="48">
      <c r="A96" s="1154">
        <v>36</v>
      </c>
      <c r="B96" s="3439"/>
      <c r="C96" s="1068" t="s">
        <v>1574</v>
      </c>
      <c r="D96" s="1068" t="s">
        <v>1575</v>
      </c>
      <c r="E96" s="1139">
        <v>0.2</v>
      </c>
      <c r="F96" s="1154">
        <v>30</v>
      </c>
    </row>
    <row r="97" spans="1:6" s="1105" customFormat="1" ht="36">
      <c r="A97" s="1154">
        <v>37</v>
      </c>
      <c r="B97" s="3439"/>
      <c r="C97" s="1154" t="s">
        <v>1576</v>
      </c>
      <c r="D97" s="1068" t="s">
        <v>1577</v>
      </c>
      <c r="E97" s="1139">
        <v>0.2</v>
      </c>
      <c r="F97" s="1154">
        <v>30</v>
      </c>
    </row>
    <row r="98" spans="1:6" s="1105" customFormat="1" ht="36">
      <c r="A98" s="1154">
        <v>38</v>
      </c>
      <c r="B98" s="3439"/>
      <c r="C98" s="1154" t="s">
        <v>1578</v>
      </c>
      <c r="D98" s="1068" t="s">
        <v>1579</v>
      </c>
      <c r="E98" s="1139">
        <v>0.2</v>
      </c>
      <c r="F98" s="1154">
        <v>30</v>
      </c>
    </row>
    <row r="99" spans="1:6" s="1105" customFormat="1" ht="36">
      <c r="A99" s="1154">
        <v>39</v>
      </c>
      <c r="B99" s="3439" t="s">
        <v>1580</v>
      </c>
      <c r="C99" s="1154" t="s">
        <v>1581</v>
      </c>
      <c r="D99" s="1068" t="s">
        <v>1582</v>
      </c>
      <c r="E99" s="1139">
        <v>0.3</v>
      </c>
      <c r="F99" s="1154">
        <v>50</v>
      </c>
    </row>
    <row r="100" spans="1:6" s="1105" customFormat="1" ht="24">
      <c r="A100" s="1154">
        <v>40</v>
      </c>
      <c r="B100" s="3439"/>
      <c r="C100" s="1154" t="s">
        <v>1583</v>
      </c>
      <c r="D100" s="1068" t="s">
        <v>1584</v>
      </c>
      <c r="E100" s="1139">
        <v>0.2</v>
      </c>
      <c r="F100" s="1154">
        <v>30</v>
      </c>
    </row>
    <row r="101" spans="1:6" s="1105" customFormat="1" ht="36">
      <c r="A101" s="1154">
        <v>41</v>
      </c>
      <c r="B101" s="3439"/>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39" t="s">
        <v>1595</v>
      </c>
      <c r="C105" s="1154" t="s">
        <v>1596</v>
      </c>
      <c r="D105" s="1068" t="s">
        <v>1597</v>
      </c>
      <c r="E105" s="1139">
        <v>0.2</v>
      </c>
      <c r="F105" s="1154">
        <v>30</v>
      </c>
    </row>
    <row r="106" spans="1:6" s="1105" customFormat="1" ht="36">
      <c r="A106" s="1154">
        <v>46</v>
      </c>
      <c r="B106" s="3439"/>
      <c r="C106" s="1154" t="s">
        <v>1598</v>
      </c>
      <c r="D106" s="1068" t="s">
        <v>1599</v>
      </c>
      <c r="E106" s="1139">
        <v>0.2</v>
      </c>
      <c r="F106" s="1154">
        <v>30</v>
      </c>
    </row>
    <row r="107" spans="1:6" s="1105" customFormat="1" ht="36">
      <c r="A107" s="1154">
        <v>47</v>
      </c>
      <c r="B107" s="3439" t="s">
        <v>1600</v>
      </c>
      <c r="C107" s="1154" t="s">
        <v>1601</v>
      </c>
      <c r="D107" s="1068" t="s">
        <v>1602</v>
      </c>
      <c r="E107" s="1139">
        <v>0.3</v>
      </c>
      <c r="F107" s="1154">
        <v>50</v>
      </c>
    </row>
    <row r="108" spans="1:6" s="1105" customFormat="1" ht="36">
      <c r="A108" s="1154">
        <v>48</v>
      </c>
      <c r="B108" s="3439"/>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39" t="s">
        <v>1611</v>
      </c>
      <c r="C111" s="1154" t="s">
        <v>1612</v>
      </c>
      <c r="D111" s="1068" t="s">
        <v>1613</v>
      </c>
      <c r="E111" s="1139">
        <v>0.2</v>
      </c>
      <c r="F111" s="1154">
        <v>30</v>
      </c>
    </row>
    <row r="112" spans="1:6" s="1105" customFormat="1" ht="24">
      <c r="A112" s="1154">
        <v>52</v>
      </c>
      <c r="B112" s="3439"/>
      <c r="C112" s="1154" t="s">
        <v>1614</v>
      </c>
      <c r="D112" s="1068" t="s">
        <v>1615</v>
      </c>
      <c r="E112" s="1139">
        <v>0.2</v>
      </c>
      <c r="F112" s="1154">
        <v>30</v>
      </c>
    </row>
    <row r="113" spans="1:14" s="1105" customFormat="1" ht="24">
      <c r="A113" s="1154">
        <v>53</v>
      </c>
      <c r="B113" s="3439"/>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39" t="s">
        <v>1624</v>
      </c>
      <c r="C116" s="1154" t="s">
        <v>1625</v>
      </c>
      <c r="D116" s="1068" t="s">
        <v>1626</v>
      </c>
      <c r="E116" s="1139">
        <v>0.2</v>
      </c>
      <c r="F116" s="1154">
        <v>30</v>
      </c>
    </row>
    <row r="117" spans="1:14" ht="36">
      <c r="A117" s="1154">
        <v>57</v>
      </c>
      <c r="B117" s="3439"/>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38" t="s">
        <v>1633</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3" t="s">
        <v>1039</v>
      </c>
      <c r="B1" s="3443"/>
      <c r="C1" s="3443"/>
      <c r="D1" s="3443"/>
      <c r="E1" s="3443"/>
      <c r="F1" s="3443"/>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44" t="s">
        <v>1052</v>
      </c>
      <c r="B2" s="3444"/>
      <c r="C2" s="3444"/>
      <c r="D2" s="3444"/>
      <c r="E2" s="3444"/>
      <c r="F2" s="3444"/>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45"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46"/>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7" t="s">
        <v>2081</v>
      </c>
      <c r="B1" s="3447"/>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2949</v>
      </c>
      <c r="B1" s="3103"/>
      <c r="C1" s="3103"/>
      <c r="D1" s="3103"/>
      <c r="E1" s="3103"/>
      <c r="F1" s="3103"/>
    </row>
    <row r="2" spans="1:6" ht="14.25">
      <c r="A2" s="3104" t="s">
        <v>2944</v>
      </c>
      <c r="B2" s="3105" t="e">
        <f ca="1">SUMIF(B7:B14,"&lt;&gt;#ref!",B7:B14)</f>
        <v>#DIV/0!</v>
      </c>
      <c r="C2" s="3104" t="s">
        <v>2945</v>
      </c>
      <c r="D2" s="3103"/>
      <c r="E2" s="3103"/>
      <c r="F2" s="3103"/>
    </row>
    <row r="3" spans="1:6" ht="14.25">
      <c r="A3" s="3104" t="s">
        <v>2978</v>
      </c>
      <c r="B3" s="3105" t="e">
        <f ca="1">ROUND(B2*10000/E3,0)</f>
        <v>#DIV/0!</v>
      </c>
      <c r="C3" s="3104" t="s">
        <v>2080</v>
      </c>
      <c r="D3" s="3104" t="s">
        <v>2946</v>
      </c>
      <c r="E3" s="3105">
        <f ca="1">SUMIF(E7:E14,"&lt;&gt;#ref!",E7:E14)</f>
        <v>0</v>
      </c>
      <c r="F3" s="3103"/>
    </row>
    <row r="4" spans="1:6" ht="14.25">
      <c r="A4" s="3104" t="s">
        <v>2953</v>
      </c>
      <c r="B4" s="3105" t="e">
        <f ca="1">ROUND(B2*10000/E4,0)</f>
        <v>#DIV/0!</v>
      </c>
      <c r="C4" s="3104" t="s">
        <v>2080</v>
      </c>
      <c r="D4" s="3104" t="s">
        <v>2954</v>
      </c>
      <c r="E4" s="3105">
        <f ca="1">SUMIF(F7:F14,"&lt;&gt;#ref!",F7:F14)</f>
        <v>0</v>
      </c>
      <c r="F4" s="3103"/>
    </row>
    <row r="5" spans="1:6" ht="14.25">
      <c r="A5" s="3106"/>
      <c r="B5" s="1883"/>
      <c r="C5" s="1883"/>
      <c r="D5" s="1883"/>
      <c r="E5" s="1883"/>
      <c r="F5" s="3103"/>
    </row>
    <row r="6" spans="1:6" ht="28.5">
      <c r="A6" s="3107" t="s">
        <v>2950</v>
      </c>
      <c r="B6" s="3104" t="s">
        <v>2947</v>
      </c>
      <c r="C6" s="3105"/>
      <c r="D6" s="1883"/>
      <c r="E6" s="3104" t="s">
        <v>2948</v>
      </c>
      <c r="F6" s="3104" t="s">
        <v>2952</v>
      </c>
    </row>
    <row r="7" spans="1:6" ht="14.25">
      <c r="A7" s="260" t="s">
        <v>2951</v>
      </c>
      <c r="B7" s="3108" t="e">
        <f ca="1">SUMIF(INDIRECT("'"&amp;A7&amp;"'"&amp;"!A:A"),"总价",INDIRECT("'"&amp;A7&amp;"'"&amp;"!B:B"))</f>
        <v>#DIV/0!</v>
      </c>
      <c r="C7" s="3104" t="s">
        <v>2945</v>
      </c>
      <c r="D7" s="1883"/>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2945</v>
      </c>
      <c r="D8" s="1883"/>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2945</v>
      </c>
      <c r="D9" s="1883"/>
      <c r="E9" s="3109" t="e">
        <f t="shared" ca="1" si="1"/>
        <v>#REF!</v>
      </c>
      <c r="F9" s="3109" t="e">
        <f t="shared" ca="1" si="2"/>
        <v>#REF!</v>
      </c>
    </row>
    <row r="10" spans="1:6" ht="14.25">
      <c r="A10" s="260"/>
      <c r="B10" s="3108" t="e">
        <f t="shared" ca="1" si="0"/>
        <v>#REF!</v>
      </c>
      <c r="C10" s="3104" t="s">
        <v>2945</v>
      </c>
      <c r="D10" s="1883"/>
      <c r="E10" s="3109" t="e">
        <f t="shared" ca="1" si="1"/>
        <v>#REF!</v>
      </c>
      <c r="F10" s="3109" t="e">
        <f t="shared" ca="1" si="2"/>
        <v>#REF!</v>
      </c>
    </row>
    <row r="11" spans="1:6" ht="14.25">
      <c r="A11" s="260"/>
      <c r="B11" s="3108" t="e">
        <f t="shared" ca="1" si="0"/>
        <v>#REF!</v>
      </c>
      <c r="C11" s="3104" t="s">
        <v>2945</v>
      </c>
      <c r="D11" s="1883"/>
      <c r="E11" s="3109" t="e">
        <f t="shared" ca="1" si="1"/>
        <v>#REF!</v>
      </c>
      <c r="F11" s="3109" t="e">
        <f t="shared" ca="1" si="2"/>
        <v>#REF!</v>
      </c>
    </row>
    <row r="12" spans="1:6" ht="14.25">
      <c r="A12" s="260"/>
      <c r="B12" s="3108" t="e">
        <f t="shared" ca="1" si="0"/>
        <v>#REF!</v>
      </c>
      <c r="C12" s="3104" t="s">
        <v>2945</v>
      </c>
      <c r="D12" s="1883"/>
      <c r="E12" s="3109" t="e">
        <f t="shared" ca="1" si="1"/>
        <v>#REF!</v>
      </c>
      <c r="F12" s="3109" t="e">
        <f t="shared" ca="1" si="2"/>
        <v>#REF!</v>
      </c>
    </row>
    <row r="13" spans="1:6" ht="14.25">
      <c r="A13" s="260"/>
      <c r="B13" s="3108" t="e">
        <f t="shared" ca="1" si="0"/>
        <v>#REF!</v>
      </c>
      <c r="C13" s="3104" t="s">
        <v>2945</v>
      </c>
      <c r="D13" s="1883"/>
      <c r="E13" s="3109" t="e">
        <f t="shared" ca="1" si="1"/>
        <v>#REF!</v>
      </c>
      <c r="F13" s="3109" t="e">
        <f t="shared" ca="1" si="2"/>
        <v>#REF!</v>
      </c>
    </row>
    <row r="14" spans="1:6" ht="14.25">
      <c r="A14" s="3102"/>
      <c r="B14" s="3108" t="e">
        <f t="shared" ca="1" si="0"/>
        <v>#REF!</v>
      </c>
      <c r="C14" s="3104" t="s">
        <v>2945</v>
      </c>
      <c r="D14" s="1883"/>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2376</v>
      </c>
      <c r="F1" s="2388">
        <f ca="1">J54</f>
        <v>-1.5</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1686</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6" t="s">
        <v>2463</v>
      </c>
      <c r="E7" s="2490"/>
      <c r="F7" s="2491"/>
      <c r="G7" s="1593"/>
      <c r="H7" s="781">
        <v>1</v>
      </c>
      <c r="I7" s="782" t="s">
        <v>2460</v>
      </c>
      <c r="J7" s="53">
        <f ca="1">J8+J12+J14</f>
        <v>0</v>
      </c>
      <c r="K7" s="2496" t="s">
        <v>2463</v>
      </c>
      <c r="L7" s="2490"/>
      <c r="M7" s="2491"/>
    </row>
    <row r="8" spans="1:25" ht="18" customHeight="1">
      <c r="A8" s="1832" t="s">
        <v>1824</v>
      </c>
      <c r="B8" s="3449" t="s">
        <v>2465</v>
      </c>
      <c r="C8" s="1827">
        <f ca="1">ROUND(F8*F10*F9*(1-F11)/10000,0)</f>
        <v>0</v>
      </c>
      <c r="D8" s="1824" t="s">
        <v>2536</v>
      </c>
      <c r="E8" s="61" t="s">
        <v>637</v>
      </c>
      <c r="F8" s="785">
        <f ca="1">INDIRECT("'数据-取费表'!u"&amp;$G$1)</f>
        <v>0</v>
      </c>
      <c r="G8" s="1593"/>
      <c r="H8" s="2504" t="s">
        <v>1824</v>
      </c>
      <c r="I8" s="3449" t="s">
        <v>2465</v>
      </c>
      <c r="J8" s="783">
        <f ca="1">ROUND(M8*M10*M9*(1-M11)/10000,0)</f>
        <v>0</v>
      </c>
      <c r="K8" s="341" t="s">
        <v>2536</v>
      </c>
      <c r="L8" s="784" t="s">
        <v>1738</v>
      </c>
      <c r="M8" s="785">
        <f ca="1">INDIRECT("'数据-取费表'!z"&amp;$G$1)</f>
        <v>0</v>
      </c>
    </row>
    <row r="9" spans="1:25" ht="18" customHeight="1">
      <c r="A9" s="2500"/>
      <c r="B9" s="3450"/>
      <c r="C9" s="1828"/>
      <c r="D9" s="1825"/>
      <c r="E9" s="61" t="s">
        <v>638</v>
      </c>
      <c r="F9" s="785">
        <f ca="1">IF(INDIRECT("'数据-取费表'!ah"&amp;$G$1)="",INDIRECT("'数据-取费表'!k"&amp;$G$1),INDIRECT("'数据-取费表'!ah"&amp;$G$1))</f>
        <v>0</v>
      </c>
      <c r="G9" s="1593"/>
      <c r="H9" s="2489"/>
      <c r="I9" s="3450"/>
      <c r="J9" s="788"/>
      <c r="K9" s="789"/>
      <c r="L9" s="784" t="s">
        <v>1739</v>
      </c>
      <c r="M9" s="785">
        <f ca="1">F9</f>
        <v>0</v>
      </c>
    </row>
    <row r="10" spans="1:25" ht="18" customHeight="1">
      <c r="A10" s="2493"/>
      <c r="B10" s="3451"/>
      <c r="C10" s="1828"/>
      <c r="D10" s="1825"/>
      <c r="E10" s="61" t="s">
        <v>639</v>
      </c>
      <c r="F10" s="785">
        <f ca="1">INDIRECT("'数据-取费表'!ai"&amp;$G$1)</f>
        <v>0</v>
      </c>
      <c r="G10" s="1593"/>
      <c r="H10" s="2489"/>
      <c r="I10" s="3451"/>
      <c r="J10" s="788"/>
      <c r="K10" s="789"/>
      <c r="L10" s="784" t="s">
        <v>1740</v>
      </c>
      <c r="M10" s="785">
        <f ca="1">INDIRECT("'数据-取费表'!ai"&amp;$G$1)</f>
        <v>0</v>
      </c>
    </row>
    <row r="11" spans="1:25" ht="18" customHeight="1">
      <c r="A11" s="786"/>
      <c r="B11" s="3452"/>
      <c r="C11" s="1828"/>
      <c r="D11" s="1825"/>
      <c r="E11" s="61" t="s">
        <v>640</v>
      </c>
      <c r="F11" s="794">
        <f ca="1">INDIRECT("'数据-取费表'!w"&amp;$G$1)</f>
        <v>0</v>
      </c>
      <c r="G11" s="1593"/>
      <c r="H11" s="2505"/>
      <c r="I11" s="3451"/>
      <c r="J11" s="788"/>
      <c r="K11" s="789"/>
      <c r="L11" s="795" t="s">
        <v>1741</v>
      </c>
      <c r="M11" s="796">
        <f ca="1">INDIRECT("'数据-取费表'!ab"&amp;$G$1)</f>
        <v>0</v>
      </c>
    </row>
    <row r="12" spans="1:25" ht="18" customHeight="1">
      <c r="A12" s="1832" t="s">
        <v>1825</v>
      </c>
      <c r="B12" s="2494" t="s">
        <v>2461</v>
      </c>
      <c r="C12" s="799">
        <f ca="1">ROUND(IF(F12="押一",C8/12*F13,IF(F12="押二",C8/12*2*F13,IF(F12="押三",C8/12*3*F13,C13*F13))),0)</f>
        <v>0</v>
      </c>
      <c r="D12" s="2501" t="s">
        <v>2974</v>
      </c>
      <c r="E12" s="2498" t="s">
        <v>2466</v>
      </c>
      <c r="F12" s="2621"/>
      <c r="G12" s="1593"/>
      <c r="H12" s="2561" t="s">
        <v>1825</v>
      </c>
      <c r="I12" s="2566" t="s">
        <v>2461</v>
      </c>
      <c r="J12" s="783">
        <f ca="1">ROUND(IF(M12="押一",J8/12*M13,IF(M12="押二",J8/12*2*M13,IF(M12="押三",J8/12*3*M13,J13*M13))),0)</f>
        <v>0</v>
      </c>
      <c r="K12" s="2501" t="s">
        <v>2974</v>
      </c>
      <c r="L12" s="2498" t="s">
        <v>2466</v>
      </c>
      <c r="M12" s="2621"/>
    </row>
    <row r="13" spans="1:25" ht="18" customHeight="1">
      <c r="A13" s="790"/>
      <c r="B13" s="2495" t="s">
        <v>2575</v>
      </c>
      <c r="C13" s="2499"/>
      <c r="D13" s="789"/>
      <c r="E13" s="2498" t="s">
        <v>2458</v>
      </c>
      <c r="F13" s="796">
        <f ca="1">'数据-取费表'!B39</f>
        <v>1.4999999999999999E-2</v>
      </c>
      <c r="G13" s="1593"/>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3"/>
      <c r="H14" s="2551" t="s">
        <v>2469</v>
      </c>
      <c r="I14" s="2564" t="s">
        <v>2462</v>
      </c>
      <c r="J14" s="2565"/>
      <c r="K14" s="2540"/>
      <c r="L14" s="2541"/>
      <c r="M14" s="2554"/>
    </row>
    <row r="15" spans="1:25" ht="18" customHeight="1" thickTop="1">
      <c r="A15" s="1831" t="s">
        <v>1874</v>
      </c>
      <c r="B15" s="1829" t="s">
        <v>641</v>
      </c>
      <c r="C15" s="792">
        <f ca="1">ROUND(C31*F15,0)</f>
        <v>0</v>
      </c>
      <c r="D15" s="1836" t="s">
        <v>642</v>
      </c>
      <c r="E15" s="795" t="s">
        <v>643</v>
      </c>
      <c r="F15" s="800">
        <f ca="1">INDIRECT("'数据-取费表'!y"&amp;$G$1)</f>
        <v>0</v>
      </c>
      <c r="G15" s="1593"/>
      <c r="H15" s="1831" t="s">
        <v>1826</v>
      </c>
      <c r="I15" s="1829" t="s">
        <v>644</v>
      </c>
      <c r="J15" s="1821">
        <f ca="1">ROUND(J16*J17,0)</f>
        <v>0</v>
      </c>
      <c r="K15" s="1823" t="s">
        <v>642</v>
      </c>
      <c r="L15" s="801"/>
      <c r="M15" s="802"/>
    </row>
    <row r="16" spans="1:25" ht="18" customHeight="1">
      <c r="A16" s="803" t="s">
        <v>1875</v>
      </c>
      <c r="B16" s="784" t="s">
        <v>645</v>
      </c>
      <c r="C16" s="804">
        <f ca="1">INDIRECT("'数据-取费表'!m"&amp;$G$1)+INDIRECT("'数据-取费表'!t"&amp;$G$1)</f>
        <v>0</v>
      </c>
      <c r="D16" s="1979" t="s">
        <v>646</v>
      </c>
      <c r="E16" s="1980"/>
      <c r="F16" s="805"/>
      <c r="G16" s="1593"/>
      <c r="H16" s="803" t="s">
        <v>2071</v>
      </c>
      <c r="I16" s="2231" t="s">
        <v>2827</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4"/>
      <c r="H17" s="803" t="s">
        <v>2072</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3"/>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4"/>
      <c r="H20" s="803" t="s">
        <v>1831</v>
      </c>
      <c r="I20" s="784" t="s">
        <v>660</v>
      </c>
      <c r="J20" s="53">
        <f ca="1">ROUND(J7*M20/1.05,1)</f>
        <v>0</v>
      </c>
      <c r="K20" s="1977" t="s">
        <v>661</v>
      </c>
      <c r="L20" s="784" t="s">
        <v>649</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1" t="s">
        <v>663</v>
      </c>
      <c r="E21" s="1982"/>
      <c r="F21" s="56"/>
      <c r="G21" s="1593"/>
      <c r="H21" s="1832"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0.02</v>
      </c>
      <c r="G22" s="1594"/>
      <c r="H22" s="1834" t="s">
        <v>1850</v>
      </c>
      <c r="I22" s="1824" t="s">
        <v>668</v>
      </c>
      <c r="J22" s="54">
        <f ca="1">ROUND(M22*M23/10000,0)</f>
        <v>0</v>
      </c>
      <c r="K22" s="814" t="s">
        <v>669</v>
      </c>
      <c r="L22" s="784" t="s">
        <v>670</v>
      </c>
      <c r="M22" s="640">
        <f>'数据-取费表'!B52</f>
        <v>5</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72" t="str">
        <f>IF(F25&lt;=1,"单利计息。","复利计息。")&amp;"建造成本、管理费用、销售费用产生的利息。"</f>
        <v>复利计息。建造成本、管理费用、销售费用产生的利息。</v>
      </c>
      <c r="E24" s="1982"/>
      <c r="F24" s="56"/>
      <c r="G24" s="1593"/>
      <c r="H24" s="1833" t="s">
        <v>2072</v>
      </c>
      <c r="I24" s="784" t="s">
        <v>676</v>
      </c>
      <c r="J24" s="53">
        <f ca="1">ROUND(J16*M24,0)</f>
        <v>0</v>
      </c>
      <c r="K24" s="1977" t="s">
        <v>677</v>
      </c>
      <c r="L24" s="784" t="s">
        <v>649</v>
      </c>
      <c r="M24" s="817">
        <f ca="1">INDIRECT("'数据-取费表'!Ak"&amp;$G$1)</f>
        <v>0</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1.5</v>
      </c>
      <c r="G25" s="1594"/>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6.9999999999999999E-4</v>
      </c>
      <c r="D26" s="2571" t="str">
        <f>IF(F25&lt;=1,"销售费用×利率×(建设周期÷2)","销售费用×((1+利率)^(建设周期÷2)-1)")</f>
        <v>销售费用×((1+利率)^(建设周期÷2)-1)</v>
      </c>
      <c r="E26" s="784" t="s">
        <v>682</v>
      </c>
      <c r="F26" s="819">
        <f ca="1">'数据-取费表'!B40</f>
        <v>4.7500000000000001E-2</v>
      </c>
      <c r="G26" s="1594"/>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1" t="s">
        <v>685</v>
      </c>
      <c r="E27" s="1982"/>
      <c r="F27" s="56"/>
      <c r="G27" s="1593"/>
      <c r="H27" s="797" t="s">
        <v>1828</v>
      </c>
      <c r="I27" s="3011" t="s">
        <v>2824</v>
      </c>
      <c r="J27" s="799">
        <f ca="1">J7-J18</f>
        <v>0</v>
      </c>
      <c r="K27" s="1979" t="s">
        <v>700</v>
      </c>
      <c r="L27" s="1981"/>
      <c r="M27" s="820"/>
    </row>
    <row r="28" spans="1:25" ht="18" customHeight="1">
      <c r="A28" s="803" t="s">
        <v>1875</v>
      </c>
      <c r="B28" s="784" t="s">
        <v>2440</v>
      </c>
      <c r="C28" s="53">
        <f ca="1">ROUND((C21+C22)*F28,0)</f>
        <v>0</v>
      </c>
      <c r="D28" s="812" t="s">
        <v>701</v>
      </c>
      <c r="E28" s="795" t="s">
        <v>702</v>
      </c>
      <c r="F28" s="794">
        <f ca="1">INDIRECT("'数据-取费表'!q"&amp;$G$1)</f>
        <v>0</v>
      </c>
      <c r="G28" s="1593"/>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5.2400000000000002E-2</v>
      </c>
      <c r="D30" s="812" t="s">
        <v>709</v>
      </c>
      <c r="E30" s="784" t="s">
        <v>649</v>
      </c>
      <c r="F30" s="809">
        <f>'数据-取费表'!B41</f>
        <v>5.5000000000000007E-2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4"/>
      <c r="H31" s="823" t="s">
        <v>1872</v>
      </c>
      <c r="I31" s="3012" t="s">
        <v>2826</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7"/>
      <c r="F32" s="2491"/>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5.5000000000000007E-2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1" t="s">
        <v>668</v>
      </c>
      <c r="C36" s="54">
        <f ca="1">ROUND(F36*F37/10000,1)</f>
        <v>0</v>
      </c>
      <c r="D36" s="814" t="s">
        <v>669</v>
      </c>
      <c r="E36" s="784" t="s">
        <v>670</v>
      </c>
      <c r="F36" s="640">
        <f>'数据-取费表'!B52</f>
        <v>5</v>
      </c>
      <c r="G36" s="2062"/>
      <c r="H36" s="2065"/>
      <c r="I36" s="3448"/>
      <c r="J36" s="2079"/>
      <c r="K36" s="2080"/>
      <c r="L36" s="2079"/>
      <c r="M36" s="2079"/>
    </row>
    <row r="37" spans="1:18" ht="18" customHeight="1">
      <c r="A37" s="815"/>
      <c r="B37" s="793"/>
      <c r="C37" s="69"/>
      <c r="D37" s="816"/>
      <c r="E37" s="784" t="s">
        <v>674</v>
      </c>
      <c r="F37" s="785">
        <f ca="1">INDIRECT("'数据-取费表'!r"&amp;$G$1)</f>
        <v>0</v>
      </c>
      <c r="G37" s="2062"/>
      <c r="H37" s="2065"/>
      <c r="I37" s="3448"/>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1879</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6" t="s">
        <v>712</v>
      </c>
      <c r="E43" s="3120" t="s">
        <v>2962</v>
      </c>
      <c r="F43" s="3121">
        <f ca="1">INDIRECT("'数据-取费表'!j"&amp;$G$1)</f>
        <v>0</v>
      </c>
      <c r="G43" s="2062"/>
      <c r="H43" s="2062"/>
      <c r="I43" s="2062"/>
      <c r="J43" s="2062"/>
      <c r="K43" s="2083"/>
      <c r="L43" s="2062"/>
      <c r="M43" s="2062"/>
    </row>
    <row r="44" spans="1:18" ht="18" customHeight="1">
      <c r="A44" s="803" t="s">
        <v>1878</v>
      </c>
      <c r="B44" s="835" t="s">
        <v>713</v>
      </c>
      <c r="C44" s="1357">
        <f ca="1">C42-C43</f>
        <v>0</v>
      </c>
      <c r="D44" s="463" t="s">
        <v>714</v>
      </c>
      <c r="E44" s="464"/>
      <c r="F44" s="465"/>
      <c r="G44" s="2062"/>
      <c r="H44" s="2062"/>
      <c r="I44" s="2062"/>
      <c r="J44" s="2062"/>
      <c r="K44" s="2083"/>
      <c r="L44" s="2062"/>
      <c r="M44" s="2062"/>
    </row>
    <row r="45" spans="1:18" ht="18" customHeight="1">
      <c r="A45" s="803" t="s">
        <v>1879</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2" t="s">
        <v>2965</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2345</v>
      </c>
      <c r="J47" s="2379"/>
      <c r="K47" s="2380"/>
      <c r="L47" s="3158" t="str">
        <f ca="1">IF(M48="住宅",0,IF(L49&gt;J52,L61,J61))</f>
        <v>0</v>
      </c>
      <c r="O47" s="2394" t="s">
        <v>2412</v>
      </c>
      <c r="P47" s="1593"/>
      <c r="Q47" s="1605"/>
      <c r="R47" s="1593"/>
    </row>
    <row r="48" spans="1:18" s="2059" customFormat="1" ht="18" customHeight="1" thickBot="1">
      <c r="A48" s="2084"/>
      <c r="C48" s="2087"/>
      <c r="D48" s="2088"/>
      <c r="E48" s="2088"/>
      <c r="F48" s="2089"/>
      <c r="G48" s="2090"/>
      <c r="I48" s="3148" t="s">
        <v>2346</v>
      </c>
      <c r="J48" s="2381"/>
      <c r="K48" s="3155" t="s">
        <v>2351</v>
      </c>
      <c r="L48" s="3159">
        <f ca="1">INDIRECT("'数据-取费表'!d"&amp;$G$1)</f>
        <v>0</v>
      </c>
      <c r="M48" s="3119"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4" t="s">
        <v>2347</v>
      </c>
      <c r="J49" s="2382"/>
      <c r="K49" s="3156" t="s">
        <v>2353</v>
      </c>
      <c r="L49" s="1910">
        <f ca="1">INDIRECT("'数据-取费表'!f"&amp;$G$1)</f>
        <v>0</v>
      </c>
      <c r="O49" s="2398" t="s">
        <v>2381</v>
      </c>
      <c r="P49" s="2399" t="s">
        <v>2407</v>
      </c>
      <c r="Q49" s="2400">
        <f ca="1">C41+J31</f>
        <v>0</v>
      </c>
      <c r="R49" s="2399" t="s">
        <v>2382</v>
      </c>
    </row>
    <row r="50" spans="1:18" s="2059" customFormat="1" ht="18" customHeight="1" thickBot="1">
      <c r="A50" s="2084"/>
      <c r="D50" s="2094"/>
      <c r="E50" s="2094"/>
      <c r="F50" s="2088"/>
      <c r="G50" s="2095"/>
      <c r="H50" s="2093"/>
      <c r="I50" s="3124" t="s">
        <v>2348</v>
      </c>
      <c r="J50" s="2383"/>
      <c r="K50" s="3157"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4" t="s">
        <v>2349</v>
      </c>
      <c r="J51" s="3152">
        <f>SUMPRODUCT((I64:I66=J48)*(J63:L63=J49)*(J64:L66))</f>
        <v>0</v>
      </c>
      <c r="K51" s="3157" t="s">
        <v>2355</v>
      </c>
      <c r="L51" s="2384"/>
      <c r="O51" s="2401" t="s">
        <v>2385</v>
      </c>
      <c r="P51" s="2399" t="s">
        <v>2409</v>
      </c>
      <c r="Q51" s="2400">
        <f ca="1">C31</f>
        <v>0</v>
      </c>
      <c r="R51" s="2399" t="s">
        <v>2382</v>
      </c>
    </row>
    <row r="52" spans="1:18" s="2059" customFormat="1" ht="18" customHeight="1" thickBot="1">
      <c r="A52" s="2096"/>
      <c r="F52" s="2085"/>
      <c r="I52" s="3149" t="s">
        <v>2350</v>
      </c>
      <c r="J52" s="3153">
        <f>IF(J50="",J51,J50+J51-YEAR('数据-取费表'!B3))</f>
        <v>0</v>
      </c>
      <c r="K52" s="3124" t="s">
        <v>2356</v>
      </c>
      <c r="L52" s="3160">
        <f ca="1">ROUND(-PV(INDIRECT("'数据-取费表'!h"&amp;$G$1),L49,(C40-C14*J36),0),0)</f>
        <v>0</v>
      </c>
      <c r="O52" s="2401" t="s">
        <v>2386</v>
      </c>
      <c r="P52" s="2399" t="s">
        <v>2387</v>
      </c>
      <c r="Q52" s="2402" t="e">
        <f ca="1">J59</f>
        <v>#VALUE!</v>
      </c>
      <c r="R52" s="2403"/>
    </row>
    <row r="53" spans="1:18" s="2059" customFormat="1" ht="18" customHeight="1" thickBot="1">
      <c r="A53" s="2096"/>
      <c r="F53" s="2085"/>
      <c r="I53" s="3150" t="s">
        <v>2423</v>
      </c>
      <c r="J53" s="2385"/>
      <c r="K53" s="3150" t="s">
        <v>2422</v>
      </c>
      <c r="L53" s="2385"/>
      <c r="O53" s="2401" t="s">
        <v>2388</v>
      </c>
      <c r="P53" s="2399" t="s">
        <v>2389</v>
      </c>
      <c r="Q53" s="2402">
        <f>J53</f>
        <v>0</v>
      </c>
      <c r="R53" s="2403"/>
    </row>
    <row r="54" spans="1:18" s="2059" customFormat="1" ht="29.25" thickBot="1">
      <c r="A54" s="2096"/>
      <c r="I54" s="3151" t="s">
        <v>2979</v>
      </c>
      <c r="J54" s="3154">
        <f ca="1">IF(M48="住宅",MAX(J52,L49-'数据-取费表'!B20),MIN(J52,L49-'数据-取费表'!B20))</f>
        <v>-1.5</v>
      </c>
      <c r="K54" s="3453"/>
      <c r="L54" s="3454"/>
      <c r="O54" s="2401" t="s">
        <v>2390</v>
      </c>
      <c r="P54" s="2399" t="s">
        <v>2391</v>
      </c>
      <c r="Q54" s="2400">
        <f ca="1">J54</f>
        <v>-1.5</v>
      </c>
      <c r="R54" s="2399" t="s">
        <v>2392</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2393</v>
      </c>
      <c r="P55" s="2399" t="s">
        <v>2410</v>
      </c>
      <c r="Q55" s="2400">
        <f ca="1">Q49+Q50</f>
        <v>0</v>
      </c>
      <c r="R55" s="2403" t="s">
        <v>2394</v>
      </c>
    </row>
    <row r="56" spans="1:18" s="2059" customFormat="1" ht="16.5" thickBot="1">
      <c r="A56" s="2096"/>
      <c r="B56" s="2097"/>
      <c r="C56" s="2097"/>
      <c r="I56" s="3163" t="s">
        <v>2357</v>
      </c>
      <c r="J56" s="3099" t="e">
        <f ca="1">ROUND(IF(J48="钢混",J58/J51,1-(1-2%)*(J51-J58)/J51),3)</f>
        <v>#VALUE!</v>
      </c>
      <c r="K56" s="3164" t="s">
        <v>2358</v>
      </c>
      <c r="L56" s="2386"/>
      <c r="O56" s="2404" t="s">
        <v>2413</v>
      </c>
      <c r="P56" s="1593"/>
      <c r="Q56" s="1605"/>
      <c r="R56" s="1593"/>
    </row>
    <row r="57" spans="1:18" s="2059" customFormat="1" ht="43.5" thickBot="1">
      <c r="A57" s="2096"/>
      <c r="B57" s="2097"/>
      <c r="C57" s="2097"/>
      <c r="I57" s="3165" t="s">
        <v>2359</v>
      </c>
      <c r="J57" s="3175" t="s">
        <v>1678</v>
      </c>
      <c r="K57" s="3124" t="s">
        <v>2364</v>
      </c>
      <c r="L57" s="1910">
        <f ca="1">IF(L49&lt;J52,"——",L49-J52)</f>
        <v>0</v>
      </c>
      <c r="O57" s="2395" t="s">
        <v>2377</v>
      </c>
      <c r="P57" s="2396" t="s">
        <v>2378</v>
      </c>
      <c r="Q57" s="2397" t="s">
        <v>2379</v>
      </c>
      <c r="R57" s="2396" t="s">
        <v>2380</v>
      </c>
    </row>
    <row r="58" spans="1:18" s="2059" customFormat="1" ht="29.25" thickBot="1">
      <c r="A58" s="2096"/>
      <c r="B58" s="2097"/>
      <c r="C58" s="2097"/>
      <c r="I58" s="3166" t="s">
        <v>2360</v>
      </c>
      <c r="J58" s="3167" t="str">
        <f ca="1">IF(OR(M48="住宅",J52&lt;L49,J57="是"),"——",J52-L49)</f>
        <v>——</v>
      </c>
      <c r="K58" s="3124" t="s">
        <v>2365</v>
      </c>
      <c r="L58" s="1910">
        <f ca="1">IF(L49&lt;J52,"——",IF(L56="比较法",L50,IF(L56="基准地价",L51,L52)))</f>
        <v>0</v>
      </c>
      <c r="O58" s="2398" t="s">
        <v>2381</v>
      </c>
      <c r="P58" s="2399" t="s">
        <v>2407</v>
      </c>
      <c r="Q58" s="2400">
        <f ca="1">C41+J31</f>
        <v>0</v>
      </c>
      <c r="R58" s="2399" t="s">
        <v>2382</v>
      </c>
    </row>
    <row r="59" spans="1:18" s="2059" customFormat="1" ht="29.25" thickBot="1">
      <c r="A59" s="2096"/>
      <c r="B59" s="2097"/>
      <c r="C59" s="2097"/>
      <c r="I59" s="3166" t="s">
        <v>2361</v>
      </c>
      <c r="J59" s="3100" t="e">
        <f ca="1">IF(J56&lt;0.4,0.4,J56)</f>
        <v>#VALUE!</v>
      </c>
      <c r="K59" s="3124" t="s">
        <v>2366</v>
      </c>
      <c r="L59" s="1910">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6" t="s">
        <v>2362</v>
      </c>
      <c r="J60" s="3167" t="str">
        <f ca="1">IF(OR(M48="住宅",J52&lt;L49,J57="是"),"——",ROUND(C30*J59,0))</f>
        <v>——</v>
      </c>
      <c r="K60" s="3124" t="s">
        <v>2367</v>
      </c>
      <c r="L60" s="1910">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68" t="s">
        <v>2363</v>
      </c>
      <c r="J61" s="3169" t="str">
        <f ca="1">IF(OR(M48="住宅",J52&lt;L49,J57="是"),"0",ROUND(J60/(1+J53)^J54,0))</f>
        <v>0</v>
      </c>
      <c r="K61" s="3170" t="s">
        <v>2368</v>
      </c>
      <c r="L61" s="3169"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1" t="s">
        <v>2369</v>
      </c>
      <c r="J63" s="3172" t="s">
        <v>2370</v>
      </c>
      <c r="K63" s="3172" t="s">
        <v>2371</v>
      </c>
      <c r="L63" s="3172" t="s">
        <v>2352</v>
      </c>
      <c r="M63" s="3173" t="s">
        <v>2942</v>
      </c>
      <c r="O63" s="2401" t="s">
        <v>2390</v>
      </c>
      <c r="P63" s="2399" t="s">
        <v>2398</v>
      </c>
      <c r="Q63" s="2400">
        <f ca="1">L60</f>
        <v>0</v>
      </c>
      <c r="R63" s="2403" t="s">
        <v>2399</v>
      </c>
    </row>
    <row r="64" spans="1:18" s="2059" customFormat="1" ht="15.75" thickBot="1">
      <c r="A64" s="2096"/>
      <c r="B64" s="2097"/>
      <c r="C64" s="2097"/>
      <c r="I64" s="3171" t="s">
        <v>2372</v>
      </c>
      <c r="J64" s="3172">
        <v>70</v>
      </c>
      <c r="K64" s="3172">
        <v>50</v>
      </c>
      <c r="L64" s="3172">
        <v>80</v>
      </c>
      <c r="M64" s="3174">
        <v>0.02</v>
      </c>
      <c r="O64" s="2398" t="s">
        <v>2393</v>
      </c>
      <c r="P64" s="2399" t="s">
        <v>2410</v>
      </c>
      <c r="Q64" s="2400" t="e">
        <f ca="1">Q58+Q59</f>
        <v>#DIV/0!</v>
      </c>
      <c r="R64" s="2403" t="s">
        <v>2394</v>
      </c>
    </row>
    <row r="65" spans="1:18" s="2059" customFormat="1" ht="16.5" thickBot="1">
      <c r="A65" s="2096"/>
      <c r="B65" s="2097"/>
      <c r="C65" s="2097"/>
      <c r="I65" s="3171" t="s">
        <v>2373</v>
      </c>
      <c r="J65" s="3172">
        <v>50</v>
      </c>
      <c r="K65" s="3172">
        <v>35</v>
      </c>
      <c r="L65" s="3172">
        <v>60</v>
      </c>
      <c r="M65" s="846">
        <v>0</v>
      </c>
      <c r="O65" s="2404" t="s">
        <v>2417</v>
      </c>
      <c r="P65" s="1593"/>
      <c r="Q65" s="1605"/>
      <c r="R65" s="1593"/>
    </row>
    <row r="66" spans="1:18" s="2059" customFormat="1" ht="15.75" thickBot="1">
      <c r="A66" s="2096"/>
      <c r="B66" s="2097"/>
      <c r="C66" s="2097"/>
      <c r="I66" s="3171" t="s">
        <v>2374</v>
      </c>
      <c r="J66" s="3172">
        <v>40</v>
      </c>
      <c r="K66" s="3172">
        <v>30</v>
      </c>
      <c r="L66" s="3172">
        <v>50</v>
      </c>
      <c r="M66" s="3174">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f ca="1">C41+J31</f>
        <v>0</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0</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#DIV/0!</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28"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61" t="s">
        <v>2578</v>
      </c>
      <c r="C1" s="3461"/>
      <c r="D1" s="3461"/>
      <c r="E1" s="3461"/>
      <c r="F1" s="3461"/>
      <c r="G1" s="3460" t="s">
        <v>2579</v>
      </c>
      <c r="H1" s="3460"/>
      <c r="I1" s="3460"/>
      <c r="J1" s="3460"/>
      <c r="K1" s="3460"/>
      <c r="L1" s="3460"/>
      <c r="N1" s="3460" t="s">
        <v>2580</v>
      </c>
      <c r="O1" s="3460"/>
      <c r="P1" s="3460"/>
      <c r="Q1" s="3460"/>
      <c r="R1" s="2654"/>
      <c r="S1" s="3460" t="s">
        <v>2581</v>
      </c>
      <c r="T1" s="3460"/>
      <c r="U1" s="3460"/>
      <c r="V1" s="3460"/>
      <c r="X1" s="3459" t="s">
        <v>2641</v>
      </c>
      <c r="Y1" s="3460"/>
      <c r="Z1" s="3460"/>
      <c r="AA1" s="3460"/>
      <c r="AB1" s="3460"/>
      <c r="AD1" s="3459" t="s">
        <v>2645</v>
      </c>
      <c r="AE1" s="3460"/>
      <c r="AF1" s="3460"/>
      <c r="AG1" s="3460"/>
      <c r="AH1" s="3460"/>
    </row>
    <row r="2" spans="1:34" s="2756" customFormat="1" ht="14.25" thickBot="1">
      <c r="B2" s="2764" t="s">
        <v>2582</v>
      </c>
      <c r="C2" s="2764" t="s">
        <v>2643</v>
      </c>
      <c r="D2" s="2757" t="s">
        <v>1644</v>
      </c>
      <c r="E2" s="2757" t="s">
        <v>1951</v>
      </c>
      <c r="F2" s="2764" t="s">
        <v>2644</v>
      </c>
      <c r="G2" s="2760"/>
      <c r="H2" s="2759"/>
      <c r="I2" s="2764" t="s">
        <v>2956</v>
      </c>
      <c r="J2" s="2757" t="s">
        <v>2958</v>
      </c>
      <c r="K2" s="2757" t="s">
        <v>2959</v>
      </c>
      <c r="L2" s="2764" t="s">
        <v>2960</v>
      </c>
      <c r="N2" s="2764" t="s">
        <v>2582</v>
      </c>
      <c r="O2" s="2757" t="s">
        <v>2957</v>
      </c>
      <c r="P2" s="2757" t="s">
        <v>1951</v>
      </c>
      <c r="Q2" s="2764" t="s">
        <v>2644</v>
      </c>
      <c r="R2" s="2758"/>
      <c r="S2" s="2764" t="s">
        <v>2582</v>
      </c>
      <c r="T2" s="2757" t="s">
        <v>2957</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2" customFormat="1" ht="14.25">
      <c r="A3" s="3144" t="s">
        <v>2969</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2980</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2970</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2981</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2976</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2967</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2971</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58">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5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5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5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5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5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5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5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5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5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5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5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6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6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6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6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5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5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5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5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5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5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5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5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5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5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5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5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5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5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5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5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5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5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5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5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5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5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5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5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5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5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5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5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5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5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5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5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5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5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5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5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55">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56">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56">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57">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55">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56">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56">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5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7460.31平方米。根据《建设工程规划许可证》[]、《出让合同》[]，估价对象规划建筑面积为22380平方米。</v>
      </c>
    </row>
    <row r="7" spans="1:4" ht="56.25">
      <c r="A7" s="1797" t="s">
        <v>2749</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2018年11月14日（评估专业人员勘察现场之日）</v>
      </c>
    </row>
    <row r="12" spans="1:4" ht="18.75">
      <c r="A12" s="1799" t="s">
        <v>2027</v>
      </c>
    </row>
    <row r="13" spans="1:4" ht="18.75">
      <c r="A13" s="1793" t="s">
        <v>2941</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根据《国有土地使用证》[]，估价对象（分摊）出让国有建设用地使用权面积为7460.31平方米。根据《建设工程规划许可证》[]、《出让合同》[]，估价对象规划建筑面积为22380平方米。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本次估价对象为出让国有建设用地使用权，《国有土地使用证》[]证载土地终止日期为住宅2087年6月14日、商业2057年6月14日。截至估价期日，出让国有建设用地使用权剩余土地使用年限为。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14日，在规划利用条件下、设定土地开发程度为红线外“七通”、宗地内场地平整，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I33" sqref="I3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2983</v>
      </c>
      <c r="D1" s="3123" t="s">
        <v>3169</v>
      </c>
      <c r="E1" s="2387" t="s">
        <v>2376</v>
      </c>
      <c r="F1" s="2388">
        <f ca="1">J53</f>
        <v>37.1</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2076</v>
      </c>
      <c r="C2" s="2057"/>
      <c r="D2" s="2055"/>
      <c r="E2" s="2056"/>
      <c r="F2" s="2056"/>
      <c r="G2" s="1591"/>
      <c r="H2" s="2057"/>
      <c r="I2" s="2057"/>
      <c r="J2" s="2057"/>
      <c r="K2" s="2058"/>
      <c r="L2" s="2057"/>
      <c r="M2" s="2057"/>
    </row>
    <row r="3" spans="1:33" ht="18" customHeight="1" thickBot="1">
      <c r="A3" s="833" t="s">
        <v>1727</v>
      </c>
      <c r="B3" s="834">
        <f ca="1">IF(ISERROR(B2*10000/F43),0,ROUND(B2*10000/F43,0))</f>
        <v>9276</v>
      </c>
      <c r="C3" s="2057"/>
      <c r="D3" s="2055"/>
      <c r="E3" s="2056"/>
      <c r="F3" s="2056"/>
      <c r="G3" s="1591"/>
      <c r="H3" s="776" t="s">
        <v>695</v>
      </c>
      <c r="I3" s="1363"/>
      <c r="J3" s="1363"/>
      <c r="K3" s="1592"/>
      <c r="L3" s="1363"/>
      <c r="M3" s="1363"/>
    </row>
    <row r="4" spans="1:33" ht="18" customHeight="1">
      <c r="A4" s="777" t="s">
        <v>1728</v>
      </c>
      <c r="B4" s="778" t="s">
        <v>1729</v>
      </c>
      <c r="C4" s="778" t="s">
        <v>1730</v>
      </c>
      <c r="D4" s="778" t="s">
        <v>633</v>
      </c>
      <c r="E4" s="779" t="s">
        <v>1731</v>
      </c>
      <c r="F4" s="780"/>
      <c r="G4" s="1593"/>
      <c r="H4" s="777" t="s">
        <v>1732</v>
      </c>
      <c r="I4" s="778" t="s">
        <v>1733</v>
      </c>
      <c r="J4" s="778" t="s">
        <v>1734</v>
      </c>
      <c r="K4" s="778" t="s">
        <v>1735</v>
      </c>
      <c r="L4" s="779" t="s">
        <v>1736</v>
      </c>
      <c r="M4" s="780"/>
    </row>
    <row r="5" spans="1:33" ht="18" customHeight="1">
      <c r="A5" s="781">
        <v>1</v>
      </c>
      <c r="B5" s="782" t="s">
        <v>2460</v>
      </c>
      <c r="C5" s="55">
        <f ca="1">C6+C10+C12</f>
        <v>143</v>
      </c>
      <c r="D5" s="2496" t="s">
        <v>2463</v>
      </c>
      <c r="E5" s="2490"/>
      <c r="F5" s="2491"/>
      <c r="G5" s="1593"/>
      <c r="H5" s="781">
        <v>1</v>
      </c>
      <c r="I5" s="782" t="s">
        <v>2460</v>
      </c>
      <c r="J5" s="55">
        <f ca="1">J6+J10+J12</f>
        <v>0</v>
      </c>
      <c r="K5" s="2496" t="s">
        <v>2463</v>
      </c>
      <c r="L5" s="2490"/>
      <c r="M5" s="2491"/>
    </row>
    <row r="6" spans="1:33" ht="18" customHeight="1">
      <c r="A6" s="1832" t="s">
        <v>1824</v>
      </c>
      <c r="B6" s="3449" t="s">
        <v>2465</v>
      </c>
      <c r="C6" s="783">
        <f ca="1">ROUND(F6*F8*F7*(1-F9)/10000,0)</f>
        <v>143</v>
      </c>
      <c r="D6" s="2497" t="s">
        <v>2464</v>
      </c>
      <c r="E6" s="784" t="s">
        <v>1738</v>
      </c>
      <c r="F6" s="785">
        <f ca="1">INDIRECT("'数据-取费表'!u"&amp;$G$1)</f>
        <v>1.95</v>
      </c>
      <c r="G6" s="1593"/>
      <c r="H6" s="2504" t="s">
        <v>2470</v>
      </c>
      <c r="I6" s="3449" t="s">
        <v>2465</v>
      </c>
      <c r="J6" s="783">
        <f ca="1">ROUND(M6*M8*M7*(1-M9)/10000,0)</f>
        <v>0</v>
      </c>
      <c r="K6" s="341" t="s">
        <v>1737</v>
      </c>
      <c r="L6" s="784" t="s">
        <v>1738</v>
      </c>
      <c r="M6" s="785">
        <f ca="1">INDIRECT("'数据-取费表'!z"&amp;$G$1)</f>
        <v>0</v>
      </c>
    </row>
    <row r="7" spans="1:33" ht="18" customHeight="1">
      <c r="A7" s="2500"/>
      <c r="B7" s="3450"/>
      <c r="C7" s="788"/>
      <c r="D7" s="789"/>
      <c r="E7" s="784" t="s">
        <v>1739</v>
      </c>
      <c r="F7" s="785">
        <f ca="1">IF(INDIRECT("'数据-取费表'!ah"&amp;$G$1)="",INDIRECT("'数据-取费表'!k"&amp;$G$1),INDIRECT("'数据-取费表'!ah"&amp;$G$1))</f>
        <v>2238</v>
      </c>
      <c r="G7" s="1593"/>
      <c r="H7" s="2489"/>
      <c r="I7" s="3450"/>
      <c r="J7" s="788"/>
      <c r="K7" s="789"/>
      <c r="L7" s="784" t="s">
        <v>1739</v>
      </c>
      <c r="M7" s="785">
        <f ca="1">F7</f>
        <v>2238</v>
      </c>
    </row>
    <row r="8" spans="1:33" ht="18" customHeight="1">
      <c r="A8" s="2493"/>
      <c r="B8" s="3451"/>
      <c r="C8" s="788"/>
      <c r="D8" s="789"/>
      <c r="E8" s="784" t="s">
        <v>1740</v>
      </c>
      <c r="F8" s="785">
        <f ca="1">INDIRECT("'数据-取费表'!ai"&amp;$G$1)</f>
        <v>365</v>
      </c>
      <c r="G8" s="1593"/>
      <c r="H8" s="2489"/>
      <c r="I8" s="3451"/>
      <c r="J8" s="788"/>
      <c r="K8" s="789"/>
      <c r="L8" s="784" t="s">
        <v>1740</v>
      </c>
      <c r="M8" s="785">
        <f ca="1">INDIRECT("'数据-取费表'!ai"&amp;$G$1)</f>
        <v>365</v>
      </c>
    </row>
    <row r="9" spans="1:33" ht="18" customHeight="1">
      <c r="A9" s="786"/>
      <c r="B9" s="3452"/>
      <c r="C9" s="788"/>
      <c r="D9" s="789"/>
      <c r="E9" s="784" t="s">
        <v>1741</v>
      </c>
      <c r="F9" s="794">
        <f ca="1">INDIRECT("'数据-取费表'!w"&amp;$G$1)</f>
        <v>0.1</v>
      </c>
      <c r="G9" s="1593"/>
      <c r="H9" s="2505"/>
      <c r="I9" s="3451"/>
      <c r="J9" s="788"/>
      <c r="K9" s="789"/>
      <c r="L9" s="795" t="s">
        <v>1741</v>
      </c>
      <c r="M9" s="796">
        <f ca="1">INDIRECT("'数据-取费表'!ab"&amp;$G$1)</f>
        <v>0</v>
      </c>
    </row>
    <row r="10" spans="1:33" ht="18" customHeight="1">
      <c r="A10" s="1832" t="s">
        <v>2468</v>
      </c>
      <c r="B10" s="2494" t="s">
        <v>2461</v>
      </c>
      <c r="C10" s="799">
        <f ca="1">ROUND(IF(F10="押一",C6/12*F11,IF(F10="押二",C6/12*2*F11,IF(F10="押三",C6/12*3*F11,C11*F11))),0)</f>
        <v>0</v>
      </c>
      <c r="D10" s="2501" t="s">
        <v>2974</v>
      </c>
      <c r="E10" s="2498" t="s">
        <v>2466</v>
      </c>
      <c r="F10" s="2621" t="s">
        <v>3082</v>
      </c>
      <c r="G10" s="1593"/>
      <c r="H10" s="2561" t="s">
        <v>2471</v>
      </c>
      <c r="I10" s="2566" t="s">
        <v>2461</v>
      </c>
      <c r="J10" s="783">
        <f ca="1">ROUND(IF(M10="押一",J6/12*M11,IF(M10="押二",J6/12*2*M11,IF(M10="押三",J6/12*3*M11,J11*M11))),0)</f>
        <v>0</v>
      </c>
      <c r="K10" s="2501" t="s">
        <v>2974</v>
      </c>
      <c r="L10" s="2498" t="s">
        <v>2466</v>
      </c>
      <c r="M10" s="2621"/>
    </row>
    <row r="11" spans="1:33" ht="18" customHeight="1">
      <c r="A11" s="790"/>
      <c r="B11" s="2495" t="s">
        <v>2575</v>
      </c>
      <c r="C11" s="2499"/>
      <c r="D11" s="789"/>
      <c r="E11" s="2498" t="s">
        <v>2467</v>
      </c>
      <c r="F11" s="796">
        <f ca="1">'数据-取费表'!B39</f>
        <v>1.4999999999999999E-2</v>
      </c>
      <c r="G11" s="1593"/>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3"/>
      <c r="H12" s="2551" t="s">
        <v>2472</v>
      </c>
      <c r="I12" s="2564" t="s">
        <v>2462</v>
      </c>
      <c r="J12" s="2565"/>
      <c r="K12" s="2540"/>
      <c r="L12" s="2541"/>
      <c r="M12" s="2554"/>
    </row>
    <row r="13" spans="1:33" ht="18" customHeight="1" thickTop="1">
      <c r="A13" s="1831">
        <v>2</v>
      </c>
      <c r="B13" s="1829" t="s">
        <v>1742</v>
      </c>
      <c r="C13" s="792">
        <f ca="1">ROUND(C29*F13,0)</f>
        <v>795</v>
      </c>
      <c r="D13" s="1836" t="s">
        <v>2299</v>
      </c>
      <c r="E13" s="1836" t="s">
        <v>1744</v>
      </c>
      <c r="F13" s="2536">
        <f ca="1">INDIRECT("'数据-取费表'!y"&amp;$G$1)</f>
        <v>1</v>
      </c>
      <c r="G13" s="1593"/>
      <c r="H13" s="1831">
        <v>2</v>
      </c>
      <c r="I13" s="1829" t="s">
        <v>1742</v>
      </c>
      <c r="J13" s="1821">
        <f ca="1">ROUND(J14*J15,0)</f>
        <v>0</v>
      </c>
      <c r="K13" s="1823" t="s">
        <v>1743</v>
      </c>
      <c r="L13" s="2552"/>
      <c r="M13" s="2553"/>
    </row>
    <row r="14" spans="1:33" ht="18" customHeight="1">
      <c r="A14" s="1649" t="s">
        <v>1884</v>
      </c>
      <c r="B14" s="784" t="s">
        <v>645</v>
      </c>
      <c r="C14" s="804">
        <f ca="1">INDIRECT("'数据-取费表'!m"&amp;$G$1)+INDIRECT("'数据-取费表'!t"&amp;$G$1)</f>
        <v>492</v>
      </c>
      <c r="D14" s="1979" t="s">
        <v>1745</v>
      </c>
      <c r="E14" s="1980"/>
      <c r="F14" s="805"/>
      <c r="G14" s="1593"/>
      <c r="H14" s="1650" t="s">
        <v>1830</v>
      </c>
      <c r="I14" s="2231" t="s">
        <v>2828</v>
      </c>
      <c r="J14" s="53">
        <f ca="1">C29</f>
        <v>795</v>
      </c>
      <c r="K14" s="26"/>
      <c r="L14" s="801"/>
      <c r="M14" s="802"/>
    </row>
    <row r="15" spans="1:33" s="2064" customFormat="1" ht="18" customHeight="1" thickBot="1">
      <c r="A15" s="1649" t="s">
        <v>1885</v>
      </c>
      <c r="B15" s="784" t="s">
        <v>647</v>
      </c>
      <c r="C15" s="53">
        <f ca="1">ROUND(C14*F15,0)</f>
        <v>15</v>
      </c>
      <c r="D15" s="806" t="s">
        <v>1746</v>
      </c>
      <c r="E15" s="806" t="s">
        <v>1747</v>
      </c>
      <c r="F15" s="807">
        <f>'数据-取费表'!B33</f>
        <v>0.03</v>
      </c>
      <c r="G15" s="1594"/>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1886</v>
      </c>
      <c r="B16" s="784" t="s">
        <v>650</v>
      </c>
      <c r="C16" s="53">
        <f ca="1">ROUND(INDIRECT("'数据-取费表'!m"&amp;$G$1)*F16,0)</f>
        <v>0</v>
      </c>
      <c r="D16" s="784" t="s">
        <v>1746</v>
      </c>
      <c r="E16" s="784" t="s">
        <v>1747</v>
      </c>
      <c r="F16" s="809">
        <f ca="1">IF(INDIRECT("'数据-取费表'!c"&amp;$G$1)="住宅",'数据-取费表'!B34,0)</f>
        <v>0</v>
      </c>
      <c r="G16" s="1593"/>
      <c r="H16" s="1831" t="s">
        <v>1748</v>
      </c>
      <c r="I16" s="1829" t="s">
        <v>1749</v>
      </c>
      <c r="J16" s="792">
        <f ca="1">ROUND(J17+J22+J23+J24,0)</f>
        <v>79</v>
      </c>
      <c r="K16" s="1823" t="s">
        <v>1750</v>
      </c>
      <c r="L16" s="2486"/>
      <c r="M16" s="2491"/>
    </row>
    <row r="17" spans="1:33" s="2064" customFormat="1" ht="18" customHeight="1">
      <c r="A17" s="1649" t="s">
        <v>1887</v>
      </c>
      <c r="B17" s="784" t="s">
        <v>653</v>
      </c>
      <c r="C17" s="53">
        <f ca="1">ROUND(F17*(F43+INDIRECT("'数据-取费表'!S"&amp;$G$1))/10000,0)</f>
        <v>45</v>
      </c>
      <c r="D17" s="784" t="s">
        <v>1751</v>
      </c>
      <c r="E17" s="784" t="s">
        <v>1752</v>
      </c>
      <c r="F17" s="56">
        <f>'数据-取费表'!B35</f>
        <v>200</v>
      </c>
      <c r="G17" s="1594"/>
      <c r="H17" s="1650" t="s">
        <v>1830</v>
      </c>
      <c r="I17" s="784" t="s">
        <v>656</v>
      </c>
      <c r="J17" s="53">
        <f ca="1">ROUND(IF(项目基本情况!B11="自然人",J5*M17,J18+J19+J20),0)</f>
        <v>67</v>
      </c>
      <c r="K17" s="2485" t="s">
        <v>1753</v>
      </c>
      <c r="L17" s="2484" t="s">
        <v>1754</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1888</v>
      </c>
      <c r="B18" s="784" t="s">
        <v>659</v>
      </c>
      <c r="C18" s="53">
        <f ca="1">ROUND(C14*F18,0)</f>
        <v>7</v>
      </c>
      <c r="D18" s="784" t="s">
        <v>1746</v>
      </c>
      <c r="E18" s="784" t="s">
        <v>1747</v>
      </c>
      <c r="F18" s="809">
        <f>'数据-取费表'!B36</f>
        <v>1.4999999999999999E-2</v>
      </c>
      <c r="G18" s="1594"/>
      <c r="H18" s="1649"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1830</v>
      </c>
      <c r="B19" s="784" t="s">
        <v>662</v>
      </c>
      <c r="C19" s="53">
        <f ca="1">SUM(C14:C18)</f>
        <v>559</v>
      </c>
      <c r="D19" s="261" t="s">
        <v>1757</v>
      </c>
      <c r="E19" s="1982"/>
      <c r="F19" s="56"/>
      <c r="G19" s="1593"/>
      <c r="H19" s="1649" t="s">
        <v>1885</v>
      </c>
      <c r="I19" s="784" t="s">
        <v>1758</v>
      </c>
      <c r="J19" s="53">
        <f ca="1">IF(K19="按租金收入计税",ROUND(J5*M19,1),ROUND(C29*F33*0.7,1))</f>
        <v>66.8</v>
      </c>
      <c r="K19" s="811" t="s">
        <v>665</v>
      </c>
      <c r="L19" s="784" t="s">
        <v>1747</v>
      </c>
      <c r="M19" s="809">
        <f>IF(K19="按租金收入计税",'数据-取费表'!B51,'数据-取费表'!B50)</f>
        <v>1.2E-2</v>
      </c>
    </row>
    <row r="20" spans="1:33" s="2064" customFormat="1" ht="18" customHeight="1">
      <c r="A20" s="1650" t="s">
        <v>1889</v>
      </c>
      <c r="B20" s="784" t="s">
        <v>666</v>
      </c>
      <c r="C20" s="53">
        <f ca="1">ROUND(C19*F20,0)</f>
        <v>11</v>
      </c>
      <c r="D20" s="812" t="s">
        <v>1759</v>
      </c>
      <c r="E20" s="784" t="s">
        <v>1747</v>
      </c>
      <c r="F20" s="809">
        <f>'数据-取费表'!B37</f>
        <v>0.02</v>
      </c>
      <c r="G20" s="1594"/>
      <c r="H20" s="1652" t="s">
        <v>1880</v>
      </c>
      <c r="I20" s="341" t="s">
        <v>1760</v>
      </c>
      <c r="J20" s="54">
        <f ca="1">ROUND(M20*M21/10000,0)</f>
        <v>0</v>
      </c>
      <c r="K20" s="814" t="s">
        <v>1761</v>
      </c>
      <c r="L20" s="784" t="s">
        <v>1762</v>
      </c>
      <c r="M20" s="640">
        <f>'数据-取费表'!B52</f>
        <v>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1890</v>
      </c>
      <c r="B21" s="784" t="s">
        <v>1763</v>
      </c>
      <c r="C21" s="53" t="s">
        <v>1764</v>
      </c>
      <c r="D21" s="812" t="s">
        <v>2300</v>
      </c>
      <c r="E21" s="784" t="s">
        <v>1765</v>
      </c>
      <c r="F21" s="809">
        <f>'数据-取费表'!B38</f>
        <v>0.02</v>
      </c>
      <c r="G21" s="1594"/>
      <c r="H21" s="2506"/>
      <c r="I21" s="793"/>
      <c r="J21" s="69"/>
      <c r="K21" s="816"/>
      <c r="L21" s="784" t="s">
        <v>1766</v>
      </c>
      <c r="M21" s="785">
        <f ca="1">INDIRECT("'数据-取费表'!r"&amp;$G$1)</f>
        <v>746.03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1891</v>
      </c>
      <c r="B22" s="784" t="s">
        <v>1767</v>
      </c>
      <c r="C22" s="53"/>
      <c r="D22" s="2572" t="str">
        <f>IF(F23&lt;=1,"单利计息。","复利计息。")&amp;"建造成本、管理费用、销售费用产生的利息。"</f>
        <v>复利计息。建造成本、管理费用、销售费用产生的利息。</v>
      </c>
      <c r="E22" s="1982"/>
      <c r="F22" s="56"/>
      <c r="G22" s="1593"/>
      <c r="H22" s="1650" t="s">
        <v>1889</v>
      </c>
      <c r="I22" s="784" t="s">
        <v>1768</v>
      </c>
      <c r="J22" s="53">
        <f ca="1">ROUND(J14*M22,0)</f>
        <v>12</v>
      </c>
      <c r="K22" s="2484" t="s">
        <v>1769</v>
      </c>
      <c r="L22" s="784" t="s">
        <v>1747</v>
      </c>
      <c r="M22" s="817">
        <f ca="1">INDIRECT("'数据-取费表'!Ak"&amp;$G$1)</f>
        <v>1.4999999999999999E-2</v>
      </c>
    </row>
    <row r="23" spans="1:33" s="2064" customFormat="1" ht="18" customHeight="1">
      <c r="A23" s="1649" t="s">
        <v>1831</v>
      </c>
      <c r="B23" s="784" t="s">
        <v>2537</v>
      </c>
      <c r="C23" s="53">
        <f ca="1">ROUND(IF('数据-取费表'!B22&lt;=1,(C19+C20)*F24*F23/2,(C19+C20)*(POWER((1+F24),F23/2)-1)),0)</f>
        <v>20</v>
      </c>
      <c r="D23" s="2571" t="str">
        <f>IF(F23&lt;=1,"(建造成本+管理费用)×利率×(建设周期÷2)","(建造成本+管理费用)×((1+利率)^(建设周期÷2)-1)")</f>
        <v>(建造成本+管理费用)×((1+利率)^(建设周期÷2)-1)</v>
      </c>
      <c r="E23" s="784" t="s">
        <v>1770</v>
      </c>
      <c r="F23" s="640">
        <f>'数据-取费表'!B20</f>
        <v>1.5</v>
      </c>
      <c r="G23" s="1594"/>
      <c r="H23" s="1650" t="s">
        <v>1890</v>
      </c>
      <c r="I23" s="784" t="s">
        <v>679</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1832</v>
      </c>
      <c r="B24" s="784" t="s">
        <v>1772</v>
      </c>
      <c r="C24" s="53">
        <f ca="1">ROUND(IF('数据-取费表'!B22&lt;=1,F21*F24*F23/2,F21*(POWER((1+F24),F23/2)-1)),4)</f>
        <v>6.9999999999999999E-4</v>
      </c>
      <c r="D24" s="2571" t="str">
        <f>IF(F23&lt;=1,"销售费用×利率×(建设周期÷2)","销售费用×((1+利率)^(建设周期÷2)-1)")</f>
        <v>销售费用×((1+利率)^(建设周期÷2)-1)</v>
      </c>
      <c r="E24" s="784" t="s">
        <v>1773</v>
      </c>
      <c r="F24" s="819">
        <f ca="1">'数据-取费表'!B40</f>
        <v>4.7500000000000001E-2</v>
      </c>
      <c r="G24" s="1594"/>
      <c r="H24" s="2551" t="s">
        <v>1891</v>
      </c>
      <c r="I24" s="2546" t="s">
        <v>666</v>
      </c>
      <c r="J24" s="2544">
        <f ca="1">ROUND(J5*M24,0)</f>
        <v>0</v>
      </c>
      <c r="K24" s="2545" t="s">
        <v>1774</v>
      </c>
      <c r="L24" s="2546" t="s">
        <v>1747</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1840</v>
      </c>
      <c r="B25" s="784" t="s">
        <v>684</v>
      </c>
      <c r="C25" s="53"/>
      <c r="D25" s="261" t="s">
        <v>1775</v>
      </c>
      <c r="E25" s="1982"/>
      <c r="F25" s="56"/>
      <c r="G25" s="1593"/>
      <c r="H25" s="1831" t="s">
        <v>1776</v>
      </c>
      <c r="I25" s="3010" t="s">
        <v>2824</v>
      </c>
      <c r="J25" s="792">
        <f ca="1">J5-J16</f>
        <v>-79</v>
      </c>
      <c r="K25" s="2548" t="s">
        <v>1777</v>
      </c>
      <c r="L25" s="2549"/>
      <c r="M25" s="2550"/>
    </row>
    <row r="26" spans="1:33" ht="18" customHeight="1">
      <c r="A26" s="1649" t="s">
        <v>1831</v>
      </c>
      <c r="B26" s="784" t="s">
        <v>2440</v>
      </c>
      <c r="C26" s="53">
        <f ca="1">ROUND((C19+C20)*F26,0)</f>
        <v>143</v>
      </c>
      <c r="D26" s="812" t="s">
        <v>1778</v>
      </c>
      <c r="E26" s="795" t="s">
        <v>1779</v>
      </c>
      <c r="F26" s="794">
        <f ca="1">INDIRECT("'数据-取费表'!q"&amp;$G$1)</f>
        <v>0.25</v>
      </c>
      <c r="G26" s="1593"/>
      <c r="H26" s="2502" t="s">
        <v>1780</v>
      </c>
      <c r="I26" s="2232" t="s">
        <v>2829</v>
      </c>
      <c r="J26" s="783">
        <f ca="1">IF(J5&lt;&gt;0,ROUND(J25*(1-((1+M28)/(1+M26))^M27)/(M26-M28),0),0)</f>
        <v>0</v>
      </c>
      <c r="K26" s="814" t="s">
        <v>1781</v>
      </c>
      <c r="L26" s="784" t="s">
        <v>2421</v>
      </c>
      <c r="M26" s="794">
        <f ca="1">INDIRECT("'数据-取费表'!I"&amp;$G$1)</f>
        <v>0.06</v>
      </c>
    </row>
    <row r="27" spans="1:33" ht="18" customHeight="1">
      <c r="A27" s="1649" t="s">
        <v>1832</v>
      </c>
      <c r="B27" s="784" t="s">
        <v>686</v>
      </c>
      <c r="C27" s="53">
        <f ca="1">ROUND(F21*F26,4)</f>
        <v>5.0000000000000001E-3</v>
      </c>
      <c r="D27" s="812" t="s">
        <v>1782</v>
      </c>
      <c r="E27" s="806"/>
      <c r="F27" s="807"/>
      <c r="G27" s="1593"/>
      <c r="H27" s="2503"/>
      <c r="I27" s="787"/>
      <c r="J27" s="788"/>
      <c r="K27" s="821" t="s">
        <v>1783</v>
      </c>
      <c r="L27" s="784" t="s">
        <v>1784</v>
      </c>
      <c r="M27" s="822">
        <f ca="1">INDIRECT("'数据-取费表'!ag"&amp;$G$1)</f>
        <v>0</v>
      </c>
    </row>
    <row r="28" spans="1:33" s="2064" customFormat="1" ht="18" customHeight="1">
      <c r="A28" s="1651" t="s">
        <v>1841</v>
      </c>
      <c r="B28" s="784" t="s">
        <v>687</v>
      </c>
      <c r="C28" s="53">
        <f>ROUND(F28/(1+'数据-取费表'!C42),4)</f>
        <v>5.2400000000000002E-2</v>
      </c>
      <c r="D28" s="812" t="s">
        <v>2301</v>
      </c>
      <c r="E28" s="784" t="s">
        <v>1785</v>
      </c>
      <c r="F28" s="809">
        <f>'数据-取费表'!B41</f>
        <v>5.5000000000000007E-2</v>
      </c>
      <c r="G28" s="1594"/>
      <c r="H28" s="1831"/>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795</v>
      </c>
      <c r="D29" s="2545"/>
      <c r="E29" s="2546"/>
      <c r="F29" s="2547"/>
      <c r="G29" s="1594"/>
      <c r="H29" s="823" t="s">
        <v>1787</v>
      </c>
      <c r="I29" s="824" t="s">
        <v>1788</v>
      </c>
      <c r="J29" s="825">
        <f ca="1">ROUND(J26/(1+F40)^F41,0)</f>
        <v>0</v>
      </c>
      <c r="K29" s="826" t="s">
        <v>1789</v>
      </c>
      <c r="L29" s="827"/>
      <c r="M29" s="828">
        <f ca="1">INDIRECT("'数据-取费表'!k"&amp;$G$1)</f>
        <v>2238</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1893</v>
      </c>
      <c r="B30" s="1829" t="s">
        <v>1790</v>
      </c>
      <c r="C30" s="792">
        <f ca="1">ROUND(C31+C36+C37+C38,0)</f>
        <v>41</v>
      </c>
      <c r="D30" s="1823" t="s">
        <v>1791</v>
      </c>
      <c r="E30" s="2486"/>
      <c r="F30" s="2491"/>
      <c r="G30" s="2062"/>
      <c r="H30" s="2065"/>
      <c r="I30" s="2066"/>
      <c r="J30" s="2067"/>
      <c r="K30" s="2068"/>
      <c r="L30" s="2069"/>
      <c r="M30" s="2070"/>
    </row>
    <row r="31" spans="1:33" ht="18" customHeight="1">
      <c r="A31" s="1650" t="s">
        <v>1830</v>
      </c>
      <c r="B31" s="784" t="s">
        <v>656</v>
      </c>
      <c r="C31" s="53">
        <f ca="1">ROUND(IF(项目基本情况!B11="自然人",C5*F31,C32+C33+C34),1)</f>
        <v>25.1</v>
      </c>
      <c r="D31" s="1979" t="s">
        <v>1792</v>
      </c>
      <c r="E31" s="1977" t="s">
        <v>1793</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1831</v>
      </c>
      <c r="B32" s="784" t="s">
        <v>1794</v>
      </c>
      <c r="C32" s="53">
        <f ca="1">ROUND(C5*F32/1.05,1)</f>
        <v>7.5</v>
      </c>
      <c r="D32" s="1977" t="s">
        <v>1795</v>
      </c>
      <c r="E32" s="784" t="s">
        <v>1796</v>
      </c>
      <c r="F32" s="809">
        <f>'数据-取费表'!B41</f>
        <v>5.5000000000000007E-2</v>
      </c>
      <c r="G32" s="2062"/>
      <c r="H32" s="2071"/>
      <c r="I32" s="2072"/>
      <c r="J32" s="2073"/>
      <c r="K32" s="2074"/>
      <c r="L32" s="2075"/>
      <c r="M32" s="2076"/>
    </row>
    <row r="33" spans="1:18" ht="18" customHeight="1">
      <c r="A33" s="1649" t="s">
        <v>1832</v>
      </c>
      <c r="B33" s="784" t="s">
        <v>1797</v>
      </c>
      <c r="C33" s="53">
        <f ca="1">IF(D33="按租金收入计税",ROUND(C5*F33,1),IF(D33="按房产原值计税",ROUND(C29*F33*0.7,1),INDIRECT("'数据-取费表'!Aj"&amp;$G$1)))</f>
        <v>17.2</v>
      </c>
      <c r="D33" s="811" t="s">
        <v>2991</v>
      </c>
      <c r="E33" s="784" t="s">
        <v>1796</v>
      </c>
      <c r="F33" s="809">
        <f>IF(D33="按租金收入计税",'数据-取费表'!B51,'数据-取费表'!B50)</f>
        <v>0.12</v>
      </c>
      <c r="G33" s="2062"/>
      <c r="H33" s="2077"/>
      <c r="I33" s="2077"/>
      <c r="J33" s="2077"/>
      <c r="K33" s="2078"/>
      <c r="L33" s="2077"/>
      <c r="M33" s="2077"/>
    </row>
    <row r="34" spans="1:18" ht="18" customHeight="1">
      <c r="A34" s="1652" t="s">
        <v>1833</v>
      </c>
      <c r="B34" s="341" t="s">
        <v>1798</v>
      </c>
      <c r="C34" s="54">
        <f ca="1">ROUND(F34*F35/10000,1)</f>
        <v>0.4</v>
      </c>
      <c r="D34" s="814" t="s">
        <v>1799</v>
      </c>
      <c r="E34" s="784" t="s">
        <v>1800</v>
      </c>
      <c r="F34" s="640">
        <f>'数据-取费表'!B52</f>
        <v>5</v>
      </c>
      <c r="G34" s="2062"/>
      <c r="H34" s="2065"/>
      <c r="I34" s="835" t="s">
        <v>1813</v>
      </c>
      <c r="J34" s="836"/>
      <c r="K34" s="2080"/>
      <c r="L34" s="2079"/>
      <c r="M34" s="2079"/>
    </row>
    <row r="35" spans="1:18" ht="18" customHeight="1">
      <c r="A35" s="815"/>
      <c r="B35" s="793"/>
      <c r="C35" s="69"/>
      <c r="D35" s="816"/>
      <c r="E35" s="784" t="s">
        <v>1801</v>
      </c>
      <c r="F35" s="785">
        <f ca="1">INDIRECT("'数据-取费表'!r"&amp;$G$1)</f>
        <v>746.03</v>
      </c>
      <c r="G35" s="2062"/>
      <c r="H35" s="2065"/>
      <c r="I35" s="837" t="s">
        <v>1814</v>
      </c>
      <c r="J35" s="838">
        <f ca="1">ROUND(C13*J36,0)</f>
        <v>68</v>
      </c>
      <c r="K35" s="2078"/>
      <c r="L35" s="2077"/>
      <c r="M35" s="2077"/>
    </row>
    <row r="36" spans="1:18" ht="18" customHeight="1">
      <c r="A36" s="1650" t="s">
        <v>1889</v>
      </c>
      <c r="B36" s="784" t="s">
        <v>1802</v>
      </c>
      <c r="C36" s="53">
        <f ca="1">ROUND(C29*F36,1)</f>
        <v>11.9</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50" t="s">
        <v>1890</v>
      </c>
      <c r="B37" s="784" t="s">
        <v>679</v>
      </c>
      <c r="C37" s="53">
        <f ca="1">ROUND(C13*F37,1)</f>
        <v>1.2</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666</v>
      </c>
      <c r="C38" s="2544">
        <f ca="1">ROUND(C5*F38,1)</f>
        <v>2.9</v>
      </c>
      <c r="D38" s="2545" t="s">
        <v>1805</v>
      </c>
      <c r="E38" s="2546" t="s">
        <v>1796</v>
      </c>
      <c r="F38" s="2542">
        <f ca="1">INDIRECT("'数据-取费表'!Am"&amp;$G$1)</f>
        <v>0.02</v>
      </c>
      <c r="G38" s="2062"/>
      <c r="H38" s="2077"/>
      <c r="I38" s="843" t="s">
        <v>1817</v>
      </c>
      <c r="J38" s="844"/>
      <c r="K38" s="2083"/>
      <c r="L38" s="2077"/>
      <c r="M38" s="2077"/>
    </row>
    <row r="39" spans="1:18" ht="24.6" customHeight="1" thickTop="1">
      <c r="A39" s="1831" t="s">
        <v>1894</v>
      </c>
      <c r="B39" s="3010" t="s">
        <v>2824</v>
      </c>
      <c r="C39" s="792">
        <f ca="1">C5-C30</f>
        <v>102</v>
      </c>
      <c r="D39" s="2548" t="s">
        <v>1806</v>
      </c>
      <c r="E39" s="2549"/>
      <c r="F39" s="2550"/>
      <c r="G39" s="2062"/>
      <c r="H39" s="2077"/>
      <c r="I39" s="837" t="s">
        <v>1818</v>
      </c>
      <c r="J39" s="845">
        <f ca="1">ROUND(J35/C39,3)</f>
        <v>0.66700000000000004</v>
      </c>
      <c r="K39" s="2083"/>
      <c r="L39" s="2077"/>
      <c r="M39" s="2077"/>
    </row>
    <row r="40" spans="1:18" ht="18" customHeight="1">
      <c r="A40" s="781" t="s">
        <v>1895</v>
      </c>
      <c r="B40" s="2232" t="s">
        <v>2303</v>
      </c>
      <c r="C40" s="783">
        <f ca="1">ROUND(C39*(1-((1+F42)/(1+F40))^F41)/(F40-F42),0)</f>
        <v>2076</v>
      </c>
      <c r="D40" s="814" t="s">
        <v>1807</v>
      </c>
      <c r="E40" s="784" t="s">
        <v>2421</v>
      </c>
      <c r="F40" s="794">
        <f ca="1">INDIRECT("'数据-取费表'!I"&amp;$G$1)</f>
        <v>0.06</v>
      </c>
      <c r="G40" s="2062"/>
      <c r="H40" s="2062"/>
      <c r="I40" s="837" t="s">
        <v>1819</v>
      </c>
      <c r="J40" s="845">
        <f ca="1">1-J39</f>
        <v>0.33299999999999996</v>
      </c>
      <c r="K40" s="2083"/>
      <c r="L40" s="2062"/>
      <c r="M40" s="2062"/>
    </row>
    <row r="41" spans="1:18" ht="18" customHeight="1">
      <c r="A41" s="786"/>
      <c r="B41" s="787"/>
      <c r="C41" s="788"/>
      <c r="D41" s="821" t="s">
        <v>1808</v>
      </c>
      <c r="E41" s="784" t="s">
        <v>2964</v>
      </c>
      <c r="F41" s="822">
        <f ca="1">IF(INDIRECT("'数据-取费表'!af"&amp;$G$1)=0,INDIRECT("'数据-取费表'!ae"&amp;$G$1),INDIRECT("'数据-取费表'!af"&amp;$G$1))</f>
        <v>37.1</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0.38300000000000001</v>
      </c>
      <c r="K42" s="2082"/>
      <c r="L42" s="1988"/>
      <c r="M42" s="1988"/>
    </row>
    <row r="43" spans="1:18" ht="18" customHeight="1" thickBot="1">
      <c r="A43" s="823" t="s">
        <v>1787</v>
      </c>
      <c r="B43" s="824" t="s">
        <v>1810</v>
      </c>
      <c r="C43" s="825">
        <f ca="1">ROUND(C40*10000/F43,0)</f>
        <v>9276</v>
      </c>
      <c r="D43" s="826" t="s">
        <v>1811</v>
      </c>
      <c r="E43" s="827" t="s">
        <v>1812</v>
      </c>
      <c r="F43" s="828">
        <f ca="1">INDIRECT("'数据-取费表'!k"&amp;$G$1)</f>
        <v>2238</v>
      </c>
      <c r="G43" s="2062"/>
      <c r="H43" s="1988"/>
      <c r="I43" s="847" t="s">
        <v>1822</v>
      </c>
      <c r="J43" s="848">
        <f ca="1">1-J42</f>
        <v>0.61699999999999999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-2282</v>
      </c>
      <c r="D46" s="2085"/>
      <c r="E46" s="2085"/>
      <c r="F46" s="2085"/>
      <c r="I46" s="2378" t="s">
        <v>2345</v>
      </c>
      <c r="J46" s="2379"/>
      <c r="K46" s="2380"/>
      <c r="L46" s="3158">
        <f>IF(OR(M47="住宅",D1="土地（套用方法）"),0,IF(L48&gt;J51,L60,J60))</f>
        <v>0</v>
      </c>
      <c r="O46" s="2394" t="s">
        <v>2412</v>
      </c>
      <c r="P46" s="1593"/>
      <c r="Q46" s="1605"/>
      <c r="R46" s="1593"/>
    </row>
    <row r="47" spans="1:18" s="2059" customFormat="1" ht="18" customHeight="1" thickBot="1">
      <c r="A47" s="2372">
        <v>1</v>
      </c>
      <c r="B47" s="2373" t="s">
        <v>635</v>
      </c>
      <c r="C47" s="2574">
        <f ca="1">C48+C52+C54</f>
        <v>0</v>
      </c>
      <c r="D47" s="2085"/>
      <c r="E47" s="2085"/>
      <c r="F47" s="2085"/>
      <c r="I47" s="3148" t="s">
        <v>2346</v>
      </c>
      <c r="J47" s="2381" t="s">
        <v>2992</v>
      </c>
      <c r="K47" s="3155" t="s">
        <v>2351</v>
      </c>
      <c r="L47" s="3159">
        <f ca="1">INDIRECT("'数据-取费表'!d"&amp;$G$1)</f>
        <v>40</v>
      </c>
      <c r="M47" s="1605"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636</v>
      </c>
      <c r="E48" s="2376" t="s">
        <v>2298</v>
      </c>
      <c r="F48" s="2377"/>
      <c r="G48" s="2090"/>
      <c r="I48" s="3124" t="s">
        <v>2347</v>
      </c>
      <c r="J48" s="2382" t="s">
        <v>2352</v>
      </c>
      <c r="K48" s="3156" t="s">
        <v>2353</v>
      </c>
      <c r="L48" s="1910">
        <f ca="1">INDIRECT("'数据-取费表'!f"&amp;$G$1)</f>
        <v>38.6</v>
      </c>
      <c r="O48" s="2398" t="s">
        <v>2381</v>
      </c>
      <c r="P48" s="2399" t="s">
        <v>2407</v>
      </c>
      <c r="Q48" s="2400">
        <f ca="1">C40+J29</f>
        <v>2076</v>
      </c>
      <c r="R48" s="2399" t="s">
        <v>2382</v>
      </c>
    </row>
    <row r="49" spans="1:18" s="2059" customFormat="1" ht="18" customHeight="1" thickBot="1">
      <c r="A49" s="786"/>
      <c r="B49" s="787"/>
      <c r="C49" s="788"/>
      <c r="D49" s="789"/>
      <c r="E49" s="784" t="s">
        <v>1739</v>
      </c>
      <c r="F49" s="785">
        <f ca="1">F7</f>
        <v>2238</v>
      </c>
      <c r="G49" s="2090"/>
      <c r="H49" s="2093"/>
      <c r="I49" s="3124" t="s">
        <v>2348</v>
      </c>
      <c r="J49" s="2383"/>
      <c r="K49" s="3157" t="s">
        <v>2354</v>
      </c>
      <c r="L49" s="2384"/>
      <c r="O49" s="2398" t="s">
        <v>2383</v>
      </c>
      <c r="P49" s="2399" t="s">
        <v>2408</v>
      </c>
      <c r="Q49" s="2400" t="str">
        <f ca="1">J60</f>
        <v>0</v>
      </c>
      <c r="R49" s="2399" t="s">
        <v>2384</v>
      </c>
    </row>
    <row r="50" spans="1:18" s="2059" customFormat="1" ht="18" customHeight="1" thickBot="1">
      <c r="A50" s="786"/>
      <c r="B50" s="787"/>
      <c r="C50" s="788"/>
      <c r="D50" s="789"/>
      <c r="E50" s="784" t="s">
        <v>1740</v>
      </c>
      <c r="F50" s="785">
        <f ca="1">F8</f>
        <v>365</v>
      </c>
      <c r="G50" s="2095"/>
      <c r="H50" s="2093"/>
      <c r="I50" s="3124" t="s">
        <v>2349</v>
      </c>
      <c r="J50" s="3152">
        <f>SUMPRODUCT((I63:I65=J47)*(J62:L62=J48)*(J63:L65))</f>
        <v>60</v>
      </c>
      <c r="K50" s="3157" t="s">
        <v>2355</v>
      </c>
      <c r="L50" s="2384"/>
      <c r="O50" s="2401" t="s">
        <v>2385</v>
      </c>
      <c r="P50" s="2399" t="s">
        <v>2409</v>
      </c>
      <c r="Q50" s="2400">
        <f ca="1">C29</f>
        <v>795</v>
      </c>
      <c r="R50" s="2399" t="s">
        <v>2382</v>
      </c>
    </row>
    <row r="51" spans="1:18" s="2059" customFormat="1" ht="18" customHeight="1" thickBot="1">
      <c r="A51" s="786"/>
      <c r="B51" s="787"/>
      <c r="C51" s="788"/>
      <c r="D51" s="789"/>
      <c r="E51" s="784" t="s">
        <v>640</v>
      </c>
      <c r="F51" s="2371"/>
      <c r="H51" s="2093"/>
      <c r="I51" s="3149" t="s">
        <v>2350</v>
      </c>
      <c r="J51" s="3153">
        <f>IF(J49="",J50,J49+J50-YEAR('数据-取费表'!B2))</f>
        <v>60</v>
      </c>
      <c r="K51" s="3124" t="s">
        <v>2356</v>
      </c>
      <c r="L51" s="3160">
        <f ca="1">ROUND(-PV(INDIRECT("'数据-取费表'!h"&amp;$G$1),L48,(C39-C13*J36),0),0)</f>
        <v>584</v>
      </c>
      <c r="O51" s="2401" t="s">
        <v>2386</v>
      </c>
      <c r="P51" s="2399" t="s">
        <v>2387</v>
      </c>
      <c r="Q51" s="2402" t="e">
        <f ca="1">J58</f>
        <v>#VALUE!</v>
      </c>
      <c r="R51" s="2403"/>
    </row>
    <row r="52" spans="1:18" s="2059" customFormat="1" ht="18" customHeight="1" thickBot="1">
      <c r="A52" s="781" t="s">
        <v>2538</v>
      </c>
      <c r="B52" s="2494" t="s">
        <v>2461</v>
      </c>
      <c r="C52" s="799">
        <f ca="1">ROUND(IF(F52="押一",C48/12*F11,IF(F52="押二",C48/12*2*F11,IF(F52="押三",C48/12*3*F11,C53*F11))),0)</f>
        <v>0</v>
      </c>
      <c r="D52" s="2501" t="s">
        <v>2975</v>
      </c>
      <c r="E52" s="2498" t="s">
        <v>2466</v>
      </c>
      <c r="F52" s="2621"/>
      <c r="I52" s="3150" t="s">
        <v>2423</v>
      </c>
      <c r="J52" s="2385"/>
      <c r="K52" s="3150" t="s">
        <v>2422</v>
      </c>
      <c r="L52" s="2385"/>
      <c r="O52" s="2401" t="s">
        <v>2388</v>
      </c>
      <c r="P52" s="2399" t="s">
        <v>2389</v>
      </c>
      <c r="Q52" s="2402">
        <f>J52</f>
        <v>0</v>
      </c>
      <c r="R52" s="2403"/>
    </row>
    <row r="53" spans="1:18" s="2059" customFormat="1" ht="39.75" customHeight="1" thickBot="1">
      <c r="A53" s="786"/>
      <c r="B53" s="2495" t="s">
        <v>2575</v>
      </c>
      <c r="C53" s="2499"/>
      <c r="D53" s="2501"/>
      <c r="E53" s="2498"/>
      <c r="F53" s="800"/>
      <c r="I53" s="3151" t="s">
        <v>2979</v>
      </c>
      <c r="J53" s="3154">
        <f ca="1">IF(M47="住宅",IF(D1="——",MAX(J51,L48),MAX(J51,L48-'数据-取费表'!B20)),IF(D1="——",MIN(J51,L48),MIN(J51,L48-'数据-取费表'!B20)))</f>
        <v>37.1</v>
      </c>
      <c r="K53" s="3465" t="s">
        <v>2966</v>
      </c>
      <c r="L53" s="3466"/>
      <c r="O53" s="2401" t="s">
        <v>2390</v>
      </c>
      <c r="P53" s="2399" t="s">
        <v>2391</v>
      </c>
      <c r="Q53" s="2400">
        <f ca="1">J53</f>
        <v>37.1</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2076</v>
      </c>
      <c r="R54" s="2403" t="s">
        <v>2394</v>
      </c>
    </row>
    <row r="55" spans="1:18" s="2059" customFormat="1" ht="18" customHeight="1" thickTop="1" thickBot="1">
      <c r="A55" s="797">
        <v>2</v>
      </c>
      <c r="B55" s="798" t="s">
        <v>644</v>
      </c>
      <c r="C55" s="799">
        <f ca="1">C13</f>
        <v>795</v>
      </c>
      <c r="D55" s="795"/>
      <c r="E55" s="795"/>
      <c r="F55" s="800"/>
      <c r="I55" s="3163" t="s">
        <v>2357</v>
      </c>
      <c r="J55" s="3099" t="e">
        <f ca="1">ROUND(IF(J47="钢混",J57/J50,1-(1-2%)*(J50-J57)/J50),3)</f>
        <v>#VALUE!</v>
      </c>
      <c r="K55" s="3164" t="s">
        <v>2358</v>
      </c>
      <c r="L55" s="2386"/>
      <c r="O55" s="2404" t="s">
        <v>2413</v>
      </c>
      <c r="P55" s="1593"/>
      <c r="Q55" s="1605"/>
      <c r="R55" s="1593"/>
    </row>
    <row r="56" spans="1:18" s="2059" customFormat="1" ht="42.75" customHeight="1" thickBot="1">
      <c r="A56" s="1651"/>
      <c r="B56" s="2231" t="s">
        <v>2304</v>
      </c>
      <c r="C56" s="53">
        <f ca="1">C29</f>
        <v>795</v>
      </c>
      <c r="D56" s="2639"/>
      <c r="E56" s="784"/>
      <c r="F56" s="809"/>
      <c r="I56" s="3165" t="s">
        <v>2359</v>
      </c>
      <c r="J56" s="3175" t="s">
        <v>1678</v>
      </c>
      <c r="K56" s="3124" t="s">
        <v>2364</v>
      </c>
      <c r="L56" s="1910" t="str">
        <f ca="1">IF(L48&lt;J51,"——",L48-J51)</f>
        <v>——</v>
      </c>
      <c r="O56" s="2395" t="s">
        <v>2377</v>
      </c>
      <c r="P56" s="2396" t="s">
        <v>2378</v>
      </c>
      <c r="Q56" s="2397" t="s">
        <v>2379</v>
      </c>
      <c r="R56" s="2396" t="s">
        <v>2380</v>
      </c>
    </row>
    <row r="57" spans="1:18" s="2059" customFormat="1" ht="28.5" customHeight="1" thickBot="1">
      <c r="A57" s="797" t="s">
        <v>1748</v>
      </c>
      <c r="B57" s="798" t="s">
        <v>651</v>
      </c>
      <c r="C57" s="799">
        <f ca="1">ROUND(C58+C63+C64+C65,0)</f>
        <v>14</v>
      </c>
      <c r="D57" s="26" t="s">
        <v>1750</v>
      </c>
      <c r="E57" s="2640"/>
      <c r="F57" s="56"/>
      <c r="I57" s="3166" t="s">
        <v>2360</v>
      </c>
      <c r="J57" s="3167" t="str">
        <f ca="1">IF(OR(M47="住宅",J51&lt;L48,J56="是"),"——",J51-L48)</f>
        <v>——</v>
      </c>
      <c r="K57" s="3124" t="s">
        <v>2365</v>
      </c>
      <c r="L57" s="1910" t="str">
        <f ca="1">IF(L48&lt;J51,"——",IF(L55="比较法",L49,IF(L55="基准地价",L50,L51)))</f>
        <v>——</v>
      </c>
      <c r="O57" s="2398" t="s">
        <v>2381</v>
      </c>
      <c r="P57" s="2399" t="s">
        <v>2411</v>
      </c>
      <c r="Q57" s="2400">
        <f ca="1">C40+J29</f>
        <v>2076</v>
      </c>
      <c r="R57" s="2399" t="s">
        <v>2382</v>
      </c>
    </row>
    <row r="58" spans="1:18" s="2059" customFormat="1" ht="28.5" customHeight="1" thickBot="1">
      <c r="A58" s="1650" t="s">
        <v>1824</v>
      </c>
      <c r="B58" s="784" t="s">
        <v>656</v>
      </c>
      <c r="C58" s="53">
        <f ca="1">ROUND(IF(项目基本情况!B11="自然人",C47*F58,C59+C60+C61),1)</f>
        <v>0.4</v>
      </c>
      <c r="D58" s="2638" t="s">
        <v>657</v>
      </c>
      <c r="E58" s="2639" t="s">
        <v>690</v>
      </c>
      <c r="F58" s="810">
        <f ca="1">IF(项目基本情况!B11="企业","",IF(INDIRECT("'数据-取费表'!c"&amp;$G$1)="住宅",5%,IF(F48*F49*F50/12/(1+'数据-取费表'!C42)&gt;20000,12%,7%)))</f>
        <v>7.0000000000000007E-2</v>
      </c>
      <c r="I58" s="3166" t="s">
        <v>2361</v>
      </c>
      <c r="J58" s="3100" t="e">
        <f ca="1">IF(J55&lt;0.4,0.4,J55)</f>
        <v>#VALUE!</v>
      </c>
      <c r="K58" s="3124" t="s">
        <v>2366</v>
      </c>
      <c r="L58" s="1910" t="e">
        <f ca="1">ROUND(POWER(1+L52,L47-L48)*(POWER(1+L52,L48)-1)/(POWER(1+L52,L47)-1),4)</f>
        <v>#DIV/0!</v>
      </c>
      <c r="O58" s="2398" t="s">
        <v>2383</v>
      </c>
      <c r="P58" s="2399" t="s">
        <v>2414</v>
      </c>
      <c r="Q58" s="2400">
        <f ca="1">L60</f>
        <v>0</v>
      </c>
      <c r="R58" s="2403" t="s">
        <v>2416</v>
      </c>
    </row>
    <row r="59" spans="1:18" s="2059" customFormat="1" ht="28.5" customHeight="1" thickBot="1">
      <c r="A59" s="1649" t="s">
        <v>1831</v>
      </c>
      <c r="B59" s="784" t="s">
        <v>660</v>
      </c>
      <c r="C59" s="53">
        <f ca="1">ROUND(C47*F59/1.05,1)</f>
        <v>0</v>
      </c>
      <c r="D59" s="2639" t="s">
        <v>1756</v>
      </c>
      <c r="E59" s="784" t="s">
        <v>1747</v>
      </c>
      <c r="F59" s="809">
        <f t="shared" ref="F59:F65" si="0">F32</f>
        <v>5.5000000000000007E-2</v>
      </c>
      <c r="I59" s="3166" t="s">
        <v>2362</v>
      </c>
      <c r="J59" s="3167" t="str">
        <f ca="1">IF(OR(M47="住宅",J51&lt;L48,J56="是"),"——",ROUND(C29*J58,0))</f>
        <v>——</v>
      </c>
      <c r="K59" s="3124"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9"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68" t="s">
        <v>2363</v>
      </c>
      <c r="J60" s="3169" t="str">
        <f ca="1">IF(OR(M47="住宅",J51&lt;L48,J56="是"),"0",ROUND(J59/(1+J52)^J53,0))</f>
        <v>0</v>
      </c>
      <c r="K60" s="3170" t="s">
        <v>2368</v>
      </c>
      <c r="L60" s="3169">
        <f ca="1">IF(OR(M47="住宅",L48&lt;J51),0,ROUND(L57*(L58/L59-1),0))</f>
        <v>0</v>
      </c>
      <c r="O60" s="2401" t="s">
        <v>2386</v>
      </c>
      <c r="P60" s="2399" t="s">
        <v>2395</v>
      </c>
      <c r="Q60" s="2402">
        <f>L52</f>
        <v>0</v>
      </c>
      <c r="R60" s="2403"/>
    </row>
    <row r="61" spans="1:18" s="2059" customFormat="1" ht="18" customHeight="1" thickBot="1">
      <c r="A61" s="1652" t="s">
        <v>1833</v>
      </c>
      <c r="B61" s="341" t="s">
        <v>668</v>
      </c>
      <c r="C61" s="54">
        <f ca="1">ROUND(F61*F62/10000,1)</f>
        <v>0.4</v>
      </c>
      <c r="D61" s="814" t="s">
        <v>669</v>
      </c>
      <c r="E61" s="784" t="s">
        <v>670</v>
      </c>
      <c r="F61" s="640">
        <f t="shared" si="0"/>
        <v>5</v>
      </c>
      <c r="K61" s="2086"/>
      <c r="O61" s="2401" t="s">
        <v>2388</v>
      </c>
      <c r="P61" s="2399" t="s">
        <v>2396</v>
      </c>
      <c r="Q61" s="2400" t="e">
        <f ca="1">L58</f>
        <v>#DIV/0!</v>
      </c>
      <c r="R61" s="2403" t="s">
        <v>2397</v>
      </c>
    </row>
    <row r="62" spans="1:18" s="2059" customFormat="1" ht="15.75" thickBot="1">
      <c r="A62" s="815"/>
      <c r="B62" s="793"/>
      <c r="C62" s="69"/>
      <c r="D62" s="816"/>
      <c r="E62" s="784" t="s">
        <v>674</v>
      </c>
      <c r="F62" s="785">
        <f t="shared" ca="1" si="0"/>
        <v>746.03</v>
      </c>
      <c r="I62" s="3171" t="s">
        <v>2369</v>
      </c>
      <c r="J62" s="3172" t="s">
        <v>2370</v>
      </c>
      <c r="K62" s="3172" t="s">
        <v>2371</v>
      </c>
      <c r="L62" s="3172" t="s">
        <v>2352</v>
      </c>
      <c r="M62" s="3173" t="s">
        <v>2942</v>
      </c>
      <c r="O62" s="2401" t="s">
        <v>2390</v>
      </c>
      <c r="P62" s="2399" t="str">
        <f>K59</f>
        <v>建设期及建筑物耐用年限下的土地年期修正系数Kn</v>
      </c>
      <c r="Q62" s="2400" t="e">
        <f ca="1">L59</f>
        <v>#DIV/0!</v>
      </c>
      <c r="R62" s="2403" t="s">
        <v>2399</v>
      </c>
    </row>
    <row r="63" spans="1:18" s="2059" customFormat="1" ht="15.75" thickBot="1">
      <c r="A63" s="1650" t="s">
        <v>1889</v>
      </c>
      <c r="B63" s="784" t="s">
        <v>676</v>
      </c>
      <c r="C63" s="53">
        <f ca="1">ROUND(C56*F63,1)</f>
        <v>11.9</v>
      </c>
      <c r="D63" s="2639" t="s">
        <v>1803</v>
      </c>
      <c r="E63" s="784" t="s">
        <v>1747</v>
      </c>
      <c r="F63" s="817">
        <f t="shared" ca="1" si="0"/>
        <v>1.4999999999999999E-2</v>
      </c>
      <c r="I63" s="3171" t="s">
        <v>2372</v>
      </c>
      <c r="J63" s="3172">
        <v>70</v>
      </c>
      <c r="K63" s="3172">
        <v>50</v>
      </c>
      <c r="L63" s="3172">
        <v>80</v>
      </c>
      <c r="M63" s="3174">
        <v>0.02</v>
      </c>
      <c r="O63" s="2398" t="s">
        <v>2393</v>
      </c>
      <c r="P63" s="2399" t="s">
        <v>2410</v>
      </c>
      <c r="Q63" s="2400">
        <f ca="1">Q57+Q58</f>
        <v>2076</v>
      </c>
      <c r="R63" s="2403" t="s">
        <v>2394</v>
      </c>
    </row>
    <row r="64" spans="1:18" s="2059" customFormat="1" ht="16.5" thickBot="1">
      <c r="A64" s="1650" t="s">
        <v>1890</v>
      </c>
      <c r="B64" s="784" t="s">
        <v>679</v>
      </c>
      <c r="C64" s="53">
        <f ca="1">ROUND(C55*F64,1)</f>
        <v>1.2</v>
      </c>
      <c r="D64" s="2639" t="s">
        <v>680</v>
      </c>
      <c r="E64" s="784" t="s">
        <v>1747</v>
      </c>
      <c r="F64" s="818">
        <f t="shared" ca="1" si="0"/>
        <v>1.5E-3</v>
      </c>
      <c r="I64" s="3171" t="s">
        <v>2373</v>
      </c>
      <c r="J64" s="3172">
        <v>50</v>
      </c>
      <c r="K64" s="3172">
        <v>35</v>
      </c>
      <c r="L64" s="3172">
        <v>60</v>
      </c>
      <c r="M64" s="846">
        <v>0</v>
      </c>
      <c r="O64" s="2404" t="s">
        <v>2417</v>
      </c>
      <c r="P64" s="1593"/>
      <c r="Q64" s="1605"/>
      <c r="R64" s="1593"/>
    </row>
    <row r="65" spans="1:18" s="2059" customFormat="1" ht="15.75" thickBot="1">
      <c r="A65" s="1650" t="s">
        <v>1891</v>
      </c>
      <c r="B65" s="784" t="s">
        <v>666</v>
      </c>
      <c r="C65" s="53">
        <f ca="1">ROUND(C47*F65,1)</f>
        <v>0</v>
      </c>
      <c r="D65" s="2639" t="s">
        <v>683</v>
      </c>
      <c r="E65" s="784" t="s">
        <v>1747</v>
      </c>
      <c r="F65" s="794">
        <f t="shared" ca="1" si="0"/>
        <v>0.02</v>
      </c>
      <c r="I65" s="3171" t="s">
        <v>2374</v>
      </c>
      <c r="J65" s="3172">
        <v>40</v>
      </c>
      <c r="K65" s="3172">
        <v>30</v>
      </c>
      <c r="L65" s="3172">
        <v>50</v>
      </c>
      <c r="M65" s="3174">
        <v>0.02</v>
      </c>
      <c r="O65" s="2395" t="s">
        <v>2377</v>
      </c>
      <c r="P65" s="2396" t="s">
        <v>2378</v>
      </c>
      <c r="Q65" s="2397" t="s">
        <v>2379</v>
      </c>
      <c r="R65" s="2396" t="s">
        <v>2380</v>
      </c>
    </row>
    <row r="66" spans="1:18" s="2059" customFormat="1" ht="24.75" thickBot="1">
      <c r="A66" s="797" t="s">
        <v>1776</v>
      </c>
      <c r="B66" s="3011" t="s">
        <v>2824</v>
      </c>
      <c r="C66" s="799">
        <f ca="1">C47-C57</f>
        <v>-14</v>
      </c>
      <c r="D66" s="2638" t="s">
        <v>700</v>
      </c>
      <c r="E66" s="2637"/>
      <c r="F66" s="820"/>
      <c r="K66" s="2086"/>
      <c r="O66" s="2398" t="s">
        <v>2381</v>
      </c>
      <c r="P66" s="2399" t="s">
        <v>2411</v>
      </c>
      <c r="Q66" s="2400">
        <f ca="1">C40+J29</f>
        <v>2076</v>
      </c>
      <c r="R66" s="2399" t="s">
        <v>2382</v>
      </c>
    </row>
    <row r="67" spans="1:18" s="2059" customFormat="1" ht="20.25" thickBot="1">
      <c r="A67" s="781" t="s">
        <v>1780</v>
      </c>
      <c r="B67" s="2232" t="s">
        <v>2303</v>
      </c>
      <c r="C67" s="783">
        <f ca="1">ROUND(C66*(1-((1+F69)/(1+F67))^F68)/(F67-F69),0)</f>
        <v>-206</v>
      </c>
      <c r="D67" s="814" t="s">
        <v>704</v>
      </c>
      <c r="E67" s="784" t="s">
        <v>705</v>
      </c>
      <c r="F67" s="794">
        <f ca="1">F40</f>
        <v>0.06</v>
      </c>
      <c r="K67" s="2086"/>
      <c r="O67" s="2398" t="s">
        <v>2383</v>
      </c>
      <c r="P67" s="2399" t="s">
        <v>2414</v>
      </c>
      <c r="Q67" s="2400">
        <f ca="1">L60</f>
        <v>0</v>
      </c>
      <c r="R67" s="2403" t="s">
        <v>2416</v>
      </c>
    </row>
    <row r="68" spans="1:18" ht="21.75" thickBot="1">
      <c r="A68" s="786"/>
      <c r="B68" s="787"/>
      <c r="C68" s="788"/>
      <c r="D68" s="821" t="s">
        <v>1808</v>
      </c>
      <c r="E68" s="784" t="s">
        <v>1784</v>
      </c>
      <c r="F68" s="822">
        <f ca="1">F41</f>
        <v>37.1</v>
      </c>
      <c r="O68" s="2401" t="s">
        <v>2385</v>
      </c>
      <c r="P68" s="2399" t="s">
        <v>2415</v>
      </c>
      <c r="Q68" s="2405">
        <f ca="1">L51</f>
        <v>584</v>
      </c>
      <c r="R68" s="2406" t="s">
        <v>2418</v>
      </c>
    </row>
    <row r="69" spans="1:18" ht="20.25" thickBot="1">
      <c r="A69" s="790"/>
      <c r="B69" s="791"/>
      <c r="C69" s="792"/>
      <c r="D69" s="816"/>
      <c r="E69" s="784" t="s">
        <v>710</v>
      </c>
      <c r="F69" s="2371"/>
      <c r="O69" s="2401" t="s">
        <v>2386</v>
      </c>
      <c r="P69" s="2407" t="s">
        <v>2400</v>
      </c>
      <c r="Q69" s="2400">
        <f ca="1">ROUND(Q70-Q71*Q72,0)</f>
        <v>34</v>
      </c>
      <c r="R69" s="2403"/>
    </row>
    <row r="70" spans="1:18" ht="15.75" thickBot="1">
      <c r="A70" s="823" t="s">
        <v>1787</v>
      </c>
      <c r="B70" s="824" t="s">
        <v>1810</v>
      </c>
      <c r="C70" s="825">
        <f ca="1">ROUND(C67*10000/F70,0)</f>
        <v>-920</v>
      </c>
      <c r="D70" s="826" t="s">
        <v>1811</v>
      </c>
      <c r="E70" s="827" t="s">
        <v>1812</v>
      </c>
      <c r="F70" s="828">
        <f ca="1">F43</f>
        <v>2238</v>
      </c>
      <c r="O70" s="2401" t="s">
        <v>2401</v>
      </c>
      <c r="P70" s="2407" t="s">
        <v>2402</v>
      </c>
      <c r="Q70" s="2400">
        <f ca="1">C39</f>
        <v>102</v>
      </c>
      <c r="R70" s="2399" t="s">
        <v>2382</v>
      </c>
    </row>
    <row r="71" spans="1:18" ht="15.75" thickBot="1">
      <c r="O71" s="2401" t="s">
        <v>2403</v>
      </c>
      <c r="P71" s="2407" t="s">
        <v>2404</v>
      </c>
      <c r="Q71" s="2400">
        <f ca="1">C13</f>
        <v>795</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2076</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30"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67" t="s">
        <v>2473</v>
      </c>
      <c r="B1" s="3468"/>
      <c r="C1" s="3469"/>
      <c r="D1" s="3470">
        <f>SUM(I10,I15,I20,I21,I23)</f>
        <v>0</v>
      </c>
      <c r="E1" s="3470"/>
      <c r="F1" s="3470"/>
      <c r="G1" s="3470"/>
      <c r="H1" s="3470"/>
      <c r="I1" s="3471"/>
    </row>
    <row r="2" spans="1:9">
      <c r="A2" s="3472" t="s">
        <v>2474</v>
      </c>
      <c r="B2" s="3473" t="s">
        <v>2475</v>
      </c>
      <c r="C2" s="3473"/>
      <c r="D2" s="2507" t="s">
        <v>2476</v>
      </c>
      <c r="E2" s="2507" t="s">
        <v>2477</v>
      </c>
      <c r="F2" s="2507" t="s">
        <v>2478</v>
      </c>
      <c r="G2" s="2507" t="s">
        <v>2479</v>
      </c>
      <c r="H2" s="2507" t="s">
        <v>2480</v>
      </c>
      <c r="I2" s="2508" t="s">
        <v>2481</v>
      </c>
    </row>
    <row r="3" spans="1:9">
      <c r="A3" s="3472"/>
      <c r="B3" s="3473" t="s">
        <v>2482</v>
      </c>
      <c r="C3" s="3473"/>
      <c r="D3" s="2509"/>
      <c r="E3" s="2507"/>
      <c r="F3" s="2510"/>
      <c r="G3" s="2510"/>
      <c r="H3" s="2511"/>
      <c r="I3" s="2512">
        <f>ROUND(D3*E3*F3*G3*H3/10000,0)</f>
        <v>0</v>
      </c>
    </row>
    <row r="4" spans="1:9">
      <c r="A4" s="3472"/>
      <c r="B4" s="3473" t="s">
        <v>2483</v>
      </c>
      <c r="C4" s="3473"/>
      <c r="D4" s="2509"/>
      <c r="E4" s="2507"/>
      <c r="F4" s="2510"/>
      <c r="G4" s="2510"/>
      <c r="H4" s="2511"/>
      <c r="I4" s="2512">
        <f t="shared" ref="I4:I9" si="0">ROUND(D4*E4*F4*G4*H4/10000,0)</f>
        <v>0</v>
      </c>
    </row>
    <row r="5" spans="1:9">
      <c r="A5" s="3472"/>
      <c r="B5" s="3473" t="s">
        <v>2484</v>
      </c>
      <c r="C5" s="3473"/>
      <c r="D5" s="2509"/>
      <c r="E5" s="2507"/>
      <c r="F5" s="2510"/>
      <c r="G5" s="2510"/>
      <c r="H5" s="2511"/>
      <c r="I5" s="2512">
        <f t="shared" si="0"/>
        <v>0</v>
      </c>
    </row>
    <row r="6" spans="1:9">
      <c r="A6" s="3472"/>
      <c r="B6" s="3473" t="s">
        <v>2485</v>
      </c>
      <c r="C6" s="3473"/>
      <c r="D6" s="2509"/>
      <c r="E6" s="2507"/>
      <c r="F6" s="2510"/>
      <c r="G6" s="2510"/>
      <c r="H6" s="2511"/>
      <c r="I6" s="2512">
        <f t="shared" si="0"/>
        <v>0</v>
      </c>
    </row>
    <row r="7" spans="1:9">
      <c r="A7" s="3472"/>
      <c r="B7" s="3473" t="s">
        <v>2486</v>
      </c>
      <c r="C7" s="3473"/>
      <c r="D7" s="2509"/>
      <c r="E7" s="2507"/>
      <c r="F7" s="2510"/>
      <c r="G7" s="2510"/>
      <c r="H7" s="2511"/>
      <c r="I7" s="2512">
        <f t="shared" si="0"/>
        <v>0</v>
      </c>
    </row>
    <row r="8" spans="1:9">
      <c r="A8" s="3472"/>
      <c r="B8" s="3473" t="s">
        <v>2487</v>
      </c>
      <c r="C8" s="3473"/>
      <c r="D8" s="2509"/>
      <c r="E8" s="2507"/>
      <c r="F8" s="2510"/>
      <c r="G8" s="2510"/>
      <c r="H8" s="2511"/>
      <c r="I8" s="2512">
        <f t="shared" si="0"/>
        <v>0</v>
      </c>
    </row>
    <row r="9" spans="1:9">
      <c r="A9" s="3472"/>
      <c r="B9" s="3473" t="s">
        <v>2488</v>
      </c>
      <c r="C9" s="3473"/>
      <c r="D9" s="2509"/>
      <c r="E9" s="2507"/>
      <c r="F9" s="2510"/>
      <c r="G9" s="2510"/>
      <c r="H9" s="2511"/>
      <c r="I9" s="2512">
        <f t="shared" si="0"/>
        <v>0</v>
      </c>
    </row>
    <row r="10" spans="1:9">
      <c r="A10" s="3472"/>
      <c r="B10" s="3474" t="s">
        <v>2489</v>
      </c>
      <c r="C10" s="3474"/>
      <c r="D10" s="2513">
        <v>527</v>
      </c>
      <c r="E10" s="2513" t="e">
        <f>ROUND(D1*10000/D10/H9,0)</f>
        <v>#DIV/0!</v>
      </c>
      <c r="F10" s="2514"/>
      <c r="G10" s="2514"/>
      <c r="H10" s="2515"/>
      <c r="I10" s="2516">
        <f>SUM(I3:I9)</f>
        <v>0</v>
      </c>
    </row>
    <row r="11" spans="1:9" ht="14.25">
      <c r="A11" s="3472" t="s">
        <v>2490</v>
      </c>
      <c r="B11" s="3473" t="s">
        <v>2491</v>
      </c>
      <c r="C11" s="3473"/>
      <c r="D11" s="2509" t="s">
        <v>2492</v>
      </c>
      <c r="E11" s="2509" t="s">
        <v>2493</v>
      </c>
      <c r="F11" s="2510" t="s">
        <v>2494</v>
      </c>
      <c r="G11" s="2510" t="s">
        <v>2495</v>
      </c>
      <c r="H11" s="2517" t="s">
        <v>2496</v>
      </c>
      <c r="I11" s="2508" t="s">
        <v>2497</v>
      </c>
    </row>
    <row r="12" spans="1:9">
      <c r="A12" s="3472"/>
      <c r="B12" s="3473" t="s">
        <v>2498</v>
      </c>
      <c r="C12" s="3473"/>
      <c r="D12" s="2509"/>
      <c r="E12" s="2509"/>
      <c r="F12" s="2510"/>
      <c r="G12" s="2511"/>
      <c r="H12" s="2518"/>
      <c r="I12" s="2508">
        <f>ROUND(D12*E12*F12*G12/10000,0)</f>
        <v>0</v>
      </c>
    </row>
    <row r="13" spans="1:9">
      <c r="A13" s="3472"/>
      <c r="B13" s="3473" t="s">
        <v>2499</v>
      </c>
      <c r="C13" s="3473"/>
      <c r="D13" s="2509"/>
      <c r="E13" s="2509"/>
      <c r="F13" s="2510"/>
      <c r="G13" s="2511"/>
      <c r="H13" s="2518"/>
      <c r="I13" s="2508">
        <f>ROUND(D13*E13*F13*G13/10000,0)</f>
        <v>0</v>
      </c>
    </row>
    <row r="14" spans="1:9">
      <c r="A14" s="3472"/>
      <c r="B14" s="3473" t="s">
        <v>2500</v>
      </c>
      <c r="C14" s="3473"/>
      <c r="D14" s="2509"/>
      <c r="E14" s="2509"/>
      <c r="F14" s="2510"/>
      <c r="G14" s="2511"/>
      <c r="H14" s="2518"/>
      <c r="I14" s="2508">
        <f>ROUND(D14*E14*F14*G14/10000,0)</f>
        <v>0</v>
      </c>
    </row>
    <row r="15" spans="1:9">
      <c r="A15" s="3472"/>
      <c r="B15" s="3474" t="s">
        <v>2489</v>
      </c>
      <c r="C15" s="3474"/>
      <c r="D15" s="2513"/>
      <c r="E15" s="2513">
        <f>SUM(E12:E14)</f>
        <v>0</v>
      </c>
      <c r="F15" s="2514"/>
      <c r="G15" s="2511"/>
      <c r="H15" s="2518"/>
      <c r="I15" s="2519">
        <f>SUM(I12:I14)</f>
        <v>0</v>
      </c>
    </row>
    <row r="16" spans="1:9" ht="24">
      <c r="A16" s="3472" t="s">
        <v>2501</v>
      </c>
      <c r="B16" s="3473" t="s">
        <v>2502</v>
      </c>
      <c r="C16" s="3473"/>
      <c r="D16" s="2509" t="s">
        <v>2503</v>
      </c>
      <c r="E16" s="2520" t="s">
        <v>2504</v>
      </c>
      <c r="F16" s="2510" t="s">
        <v>2505</v>
      </c>
      <c r="G16" s="2511" t="s">
        <v>2495</v>
      </c>
      <c r="H16" s="2517" t="s">
        <v>2496</v>
      </c>
      <c r="I16" s="2508" t="s">
        <v>2497</v>
      </c>
    </row>
    <row r="17" spans="1:9" ht="14.25">
      <c r="A17" s="3472"/>
      <c r="B17" s="3473" t="s">
        <v>2506</v>
      </c>
      <c r="C17" s="3473"/>
      <c r="D17" s="2509"/>
      <c r="E17" s="2509"/>
      <c r="F17" s="2510"/>
      <c r="G17" s="2511"/>
      <c r="H17" s="2521"/>
      <c r="I17" s="2522">
        <f>ROUND(D17*E17*F17*G17/10000,0)</f>
        <v>0</v>
      </c>
    </row>
    <row r="18" spans="1:9" ht="14.25">
      <c r="A18" s="3472"/>
      <c r="B18" s="3473" t="s">
        <v>2507</v>
      </c>
      <c r="C18" s="3473"/>
      <c r="D18" s="2509"/>
      <c r="E18" s="2509"/>
      <c r="F18" s="2510"/>
      <c r="G18" s="2511"/>
      <c r="H18" s="2521"/>
      <c r="I18" s="2522">
        <f>ROUND(D18*E18*F18*G18/10000,0)</f>
        <v>0</v>
      </c>
    </row>
    <row r="19" spans="1:9" ht="14.25">
      <c r="A19" s="3472"/>
      <c r="B19" s="3473" t="s">
        <v>2508</v>
      </c>
      <c r="C19" s="3473"/>
      <c r="D19" s="2509"/>
      <c r="E19" s="2509"/>
      <c r="F19" s="2510"/>
      <c r="G19" s="2511"/>
      <c r="H19" s="2521"/>
      <c r="I19" s="2522">
        <f>ROUND(D19*E19*F19*G19/10000,0)</f>
        <v>0</v>
      </c>
    </row>
    <row r="20" spans="1:9">
      <c r="A20" s="3472"/>
      <c r="B20" s="3474" t="s">
        <v>2489</v>
      </c>
      <c r="C20" s="3474"/>
      <c r="D20" s="2513">
        <f>SUM(D17:D19)</f>
        <v>0</v>
      </c>
      <c r="E20" s="2513"/>
      <c r="F20" s="2514"/>
      <c r="G20" s="2511"/>
      <c r="H20" s="2518"/>
      <c r="I20" s="2519">
        <f>SUM(I17:I19)</f>
        <v>0</v>
      </c>
    </row>
    <row r="21" spans="1:9">
      <c r="A21" s="3472" t="s">
        <v>2509</v>
      </c>
      <c r="B21" s="3476"/>
      <c r="C21" s="3476"/>
      <c r="D21" s="3476"/>
      <c r="E21" s="3476"/>
      <c r="F21" s="3476"/>
      <c r="G21" s="3476"/>
      <c r="H21" s="2523">
        <v>0.1</v>
      </c>
      <c r="I21" s="2516">
        <f>ROUND(I10*H21,0)</f>
        <v>0</v>
      </c>
    </row>
    <row r="22" spans="1:9" ht="14.25">
      <c r="A22" s="3477" t="s">
        <v>2510</v>
      </c>
      <c r="B22" s="3478"/>
      <c r="C22" s="3479"/>
      <c r="D22" s="2524" t="s">
        <v>2511</v>
      </c>
      <c r="E22" s="2524" t="s">
        <v>2512</v>
      </c>
      <c r="F22" s="2525" t="s">
        <v>2513</v>
      </c>
      <c r="G22" s="2525" t="s">
        <v>2514</v>
      </c>
      <c r="H22" s="2517" t="s">
        <v>2515</v>
      </c>
      <c r="I22" s="2508" t="s">
        <v>2516</v>
      </c>
    </row>
    <row r="23" spans="1:9" ht="14.25" thickBot="1">
      <c r="A23" s="3480"/>
      <c r="B23" s="3481"/>
      <c r="C23" s="3482"/>
      <c r="D23" s="2526"/>
      <c r="E23" s="2526"/>
      <c r="F23" s="2526"/>
      <c r="G23" s="2527"/>
      <c r="H23" s="2528"/>
      <c r="I23" s="2529">
        <f>ROUND(E23*D23*F23*(1-G23)/10000,0)</f>
        <v>0</v>
      </c>
    </row>
    <row r="26" spans="1:9">
      <c r="A26" s="2530" t="s">
        <v>2517</v>
      </c>
      <c r="B26" s="2530"/>
      <c r="C26" s="2530"/>
      <c r="D26" s="2530"/>
      <c r="E26" s="3483">
        <f>C27-C30-C31-C32</f>
        <v>0</v>
      </c>
      <c r="F26" s="3483"/>
      <c r="G26" s="3483"/>
      <c r="H26" s="3043" t="s">
        <v>2845</v>
      </c>
    </row>
    <row r="27" spans="1:9">
      <c r="A27" s="2531">
        <v>1</v>
      </c>
      <c r="B27" s="2532" t="s">
        <v>2518</v>
      </c>
      <c r="C27" s="2532"/>
      <c r="D27" s="2532"/>
      <c r="E27" s="3484"/>
      <c r="F27" s="3484"/>
      <c r="G27" s="3484"/>
    </row>
    <row r="28" spans="1:9">
      <c r="A28" s="2533" t="s">
        <v>2519</v>
      </c>
      <c r="B28" s="2532" t="s">
        <v>2520</v>
      </c>
      <c r="C28" s="2532"/>
      <c r="D28" s="2532"/>
      <c r="E28" s="3484"/>
      <c r="F28" s="3484"/>
      <c r="G28" s="3484"/>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75"/>
      <c r="F32" s="3475"/>
      <c r="G32" s="3475"/>
    </row>
    <row r="33" spans="1:7" hidden="1">
      <c r="A33" s="3485" t="s">
        <v>2528</v>
      </c>
      <c r="B33" s="3486"/>
      <c r="C33" s="3486"/>
      <c r="D33" s="3487"/>
      <c r="E33" s="3483"/>
      <c r="F33" s="3483"/>
      <c r="G33" s="3483"/>
    </row>
    <row r="34" spans="1:7" hidden="1">
      <c r="A34" s="2535">
        <v>1</v>
      </c>
      <c r="B34" s="2532" t="s">
        <v>2529</v>
      </c>
      <c r="C34" s="2532"/>
      <c r="D34" s="2532"/>
      <c r="E34" s="3484"/>
      <c r="F34" s="3484"/>
      <c r="G34" s="3484"/>
    </row>
    <row r="35" spans="1:7" hidden="1">
      <c r="A35" s="2535">
        <v>2</v>
      </c>
      <c r="B35" s="2532" t="s">
        <v>2530</v>
      </c>
      <c r="C35" s="2532"/>
      <c r="D35" s="2532"/>
      <c r="E35" s="3484"/>
      <c r="F35" s="3484"/>
      <c r="G35" s="3484"/>
    </row>
    <row r="36" spans="1:7" hidden="1">
      <c r="A36" s="2535">
        <v>3</v>
      </c>
      <c r="B36" s="2532" t="s">
        <v>2531</v>
      </c>
      <c r="C36" s="2532"/>
      <c r="D36" s="2532"/>
      <c r="E36" s="3484"/>
      <c r="F36" s="3484"/>
      <c r="G36" s="3484"/>
    </row>
    <row r="37" spans="1:7" hidden="1">
      <c r="A37" s="2535">
        <v>4</v>
      </c>
      <c r="B37" s="2532" t="s">
        <v>2532</v>
      </c>
      <c r="C37" s="2532"/>
      <c r="D37" s="2532"/>
      <c r="E37" s="3484"/>
      <c r="F37" s="3484"/>
      <c r="G37" s="3484"/>
    </row>
    <row r="38" spans="1:7" hidden="1">
      <c r="A38" s="3485" t="s">
        <v>2533</v>
      </c>
      <c r="B38" s="3486"/>
      <c r="C38" s="3486"/>
      <c r="D38" s="3487"/>
      <c r="E38" s="3483"/>
      <c r="F38" s="3483"/>
      <c r="G38" s="348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1685</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613</v>
      </c>
      <c r="C10" s="749">
        <f>C11+C14+C15</f>
        <v>0</v>
      </c>
      <c r="D10" s="760">
        <f>'数据-汇总表'!E3</f>
        <v>22380</v>
      </c>
      <c r="E10" s="749">
        <f>'数据-取费表'!B31</f>
        <v>170</v>
      </c>
      <c r="F10" s="761"/>
      <c r="G10" s="759" t="s">
        <v>614</v>
      </c>
    </row>
    <row r="11" spans="1:25" s="2183" customFormat="1" ht="13.5" customHeight="1">
      <c r="A11" s="2469" t="s">
        <v>2442</v>
      </c>
      <c r="B11" s="752" t="s">
        <v>610</v>
      </c>
      <c r="C11" s="753">
        <f>'数据-取费表'!B29</f>
        <v>0</v>
      </c>
      <c r="D11" s="754"/>
      <c r="E11" s="753"/>
      <c r="F11" s="755"/>
      <c r="G11" s="2478" t="s">
        <v>2453</v>
      </c>
    </row>
    <row r="12" spans="1:25" s="2183" customFormat="1" ht="13.5" customHeight="1">
      <c r="A12" s="2476" t="s">
        <v>2450</v>
      </c>
      <c r="B12" s="756" t="s">
        <v>611</v>
      </c>
      <c r="C12" s="757">
        <f>ROUND(D12*E12/10000,0)</f>
        <v>151</v>
      </c>
      <c r="D12" s="758">
        <f>'数据-汇总表'!E5</f>
        <v>20142</v>
      </c>
      <c r="E12" s="757">
        <f>'数据-取费表'!B27</f>
        <v>75</v>
      </c>
      <c r="F12" s="755"/>
      <c r="G12" s="759"/>
    </row>
    <row r="13" spans="1:25" s="2183" customFormat="1" ht="13.5" customHeight="1">
      <c r="A13" s="2476" t="s">
        <v>2449</v>
      </c>
      <c r="B13" s="756" t="s">
        <v>612</v>
      </c>
      <c r="C13" s="757">
        <f>ROUND(D13*E13/10000,0)</f>
        <v>17</v>
      </c>
      <c r="D13" s="758">
        <f>'数据-汇总表'!E6</f>
        <v>2238</v>
      </c>
      <c r="E13" s="757">
        <f>'数据-取费表'!B28</f>
        <v>75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615</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0.21</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0.94099999999999995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32"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D1" sqref="D1"/>
    </sheetView>
  </sheetViews>
  <sheetFormatPr defaultRowHeight="14.25"/>
  <cols>
    <col min="1" max="1" width="10.5" style="1337" customWidth="1"/>
    <col min="2" max="2" width="15.75" style="1337" customWidth="1"/>
    <col min="3" max="3" width="15.125" style="1337" customWidth="1"/>
    <col min="4" max="4" width="10.625" style="1337" customWidth="1"/>
    <col min="5" max="5" width="18.875" style="1337" customWidth="1"/>
    <col min="6" max="6" width="12.25" style="1337" customWidth="1"/>
    <col min="7" max="7" width="17.625" style="1337" customWidth="1"/>
    <col min="8" max="8" width="12.25" style="1337" customWidth="1"/>
    <col min="9" max="9" width="17.375" style="1337" customWidth="1"/>
    <col min="10" max="10" width="14.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t="s">
        <v>922</v>
      </c>
      <c r="E1" s="2626"/>
      <c r="F1" s="2807" t="s">
        <v>3168</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f>ROUND(B3*D3/10000,0)</f>
        <v>13523</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6714</v>
      </c>
      <c r="C3" s="852" t="s">
        <v>722</v>
      </c>
      <c r="D3" s="851">
        <f>SUMIF('数据-汇总表'!$C19:$C33,D1,'数据-汇总表'!$E19:$E33)</f>
        <v>20142</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81" t="s">
        <v>522</v>
      </c>
      <c r="D4" s="3382"/>
      <c r="E4" s="3416" t="s">
        <v>523</v>
      </c>
      <c r="F4" s="3417"/>
      <c r="G4" s="3381" t="s">
        <v>524</v>
      </c>
      <c r="H4" s="3382"/>
      <c r="I4" s="3381" t="s">
        <v>525</v>
      </c>
      <c r="J4" s="3382"/>
      <c r="K4" s="853" t="s">
        <v>526</v>
      </c>
      <c r="L4" s="2133"/>
      <c r="M4" s="2134"/>
      <c r="N4" s="2134"/>
      <c r="O4" s="2134"/>
      <c r="P4" s="3383" t="s">
        <v>527</v>
      </c>
      <c r="Q4" s="3384"/>
      <c r="R4" s="3389" t="s">
        <v>523</v>
      </c>
      <c r="S4" s="3390"/>
      <c r="T4" s="3389" t="s">
        <v>524</v>
      </c>
      <c r="U4" s="3390"/>
      <c r="V4" s="3376" t="s">
        <v>525</v>
      </c>
      <c r="W4" s="3376"/>
      <c r="X4" s="1568"/>
      <c r="Y4" s="3389" t="s">
        <v>527</v>
      </c>
      <c r="Z4" s="3390"/>
      <c r="AA4" s="3378" t="s">
        <v>523</v>
      </c>
      <c r="AB4" s="3378" t="s">
        <v>524</v>
      </c>
      <c r="AC4" s="3378" t="s">
        <v>525</v>
      </c>
    </row>
    <row r="5" spans="1:29" ht="15">
      <c r="A5" s="515"/>
      <c r="B5" s="516"/>
      <c r="C5" s="3397" t="s">
        <v>3089</v>
      </c>
      <c r="D5" s="3398"/>
      <c r="E5" s="3491" t="s">
        <v>3090</v>
      </c>
      <c r="F5" s="3419"/>
      <c r="G5" s="3397" t="s">
        <v>3167</v>
      </c>
      <c r="H5" s="3398"/>
      <c r="I5" s="3397" t="s">
        <v>3166</v>
      </c>
      <c r="J5" s="3398"/>
      <c r="K5" s="854"/>
      <c r="L5" s="2133"/>
      <c r="M5" s="2134"/>
      <c r="N5" s="2134"/>
      <c r="O5" s="2134"/>
      <c r="P5" s="3385"/>
      <c r="Q5" s="3386"/>
      <c r="R5" s="3391"/>
      <c r="S5" s="3392"/>
      <c r="T5" s="3391"/>
      <c r="U5" s="3392"/>
      <c r="V5" s="3376"/>
      <c r="W5" s="3376"/>
      <c r="X5" s="1568"/>
      <c r="Y5" s="3391"/>
      <c r="Z5" s="3392"/>
      <c r="AA5" s="3379"/>
      <c r="AB5" s="3379"/>
      <c r="AC5" s="3379"/>
    </row>
    <row r="6" spans="1:29" ht="15.75" thickBot="1">
      <c r="A6" s="517"/>
      <c r="B6" s="518"/>
      <c r="C6" s="3395" t="s">
        <v>2932</v>
      </c>
      <c r="D6" s="3396"/>
      <c r="E6" s="3414" t="s">
        <v>2932</v>
      </c>
      <c r="F6" s="3415"/>
      <c r="G6" s="3395" t="s">
        <v>2932</v>
      </c>
      <c r="H6" s="3396"/>
      <c r="I6" s="3395" t="s">
        <v>2932</v>
      </c>
      <c r="J6" s="3396"/>
      <c r="K6" s="854" t="s">
        <v>528</v>
      </c>
      <c r="L6" s="2133"/>
      <c r="M6" s="2134"/>
      <c r="N6" s="2134"/>
      <c r="O6" s="2134"/>
      <c r="P6" s="3387"/>
      <c r="Q6" s="3388"/>
      <c r="R6" s="3391"/>
      <c r="S6" s="3392"/>
      <c r="T6" s="3393"/>
      <c r="U6" s="3394"/>
      <c r="V6" s="3376"/>
      <c r="W6" s="3376"/>
      <c r="X6" s="1568"/>
      <c r="Y6" s="3393"/>
      <c r="Z6" s="3394"/>
      <c r="AA6" s="3380"/>
      <c r="AB6" s="3380"/>
      <c r="AC6" s="3380"/>
    </row>
    <row r="7" spans="1:29" s="1220" customFormat="1" ht="15.75" thickBot="1">
      <c r="A7" s="2912"/>
      <c r="B7" s="2919" t="s">
        <v>529</v>
      </c>
      <c r="C7" s="519">
        <f>'数据-取费表'!B2</f>
        <v>43418</v>
      </c>
      <c r="D7" s="520">
        <v>100</v>
      </c>
      <c r="E7" s="521">
        <f>C7</f>
        <v>43418</v>
      </c>
      <c r="F7" s="522">
        <f>SUMIF(58:58,YEAR(E7)&amp;"-"&amp;MONTH(E7),59:59)</f>
        <v>100</v>
      </c>
      <c r="G7" s="523">
        <f>C7</f>
        <v>43418</v>
      </c>
      <c r="H7" s="520">
        <f>SUMIF(58:58,YEAR(G7)&amp;"-"&amp;MONTH(G7),59:59)</f>
        <v>100</v>
      </c>
      <c r="I7" s="523">
        <f>C7</f>
        <v>43418</v>
      </c>
      <c r="J7" s="520">
        <f>SUMIF(58:58,YEAR(I7)&amp;"-"&amp;MONTH(I7),59:59)</f>
        <v>100</v>
      </c>
      <c r="K7" s="855"/>
      <c r="L7" s="2135"/>
      <c r="M7" s="2136"/>
      <c r="N7" s="2136"/>
      <c r="O7" s="2136"/>
      <c r="P7" s="3406" t="s">
        <v>530</v>
      </c>
      <c r="Q7" s="3408"/>
      <c r="R7" s="1569" t="s">
        <v>13</v>
      </c>
      <c r="S7" s="1570">
        <f t="shared" ref="S7:S15" si="0">F7</f>
        <v>100</v>
      </c>
      <c r="T7" s="1569" t="s">
        <v>13</v>
      </c>
      <c r="U7" s="1570">
        <f t="shared" ref="U7:U15" si="1">H7</f>
        <v>100</v>
      </c>
      <c r="V7" s="1569" t="s">
        <v>13</v>
      </c>
      <c r="W7" s="1570">
        <f t="shared" ref="W7:W15" si="2">J7</f>
        <v>100</v>
      </c>
      <c r="X7" s="1571"/>
      <c r="Y7" s="3406" t="s">
        <v>530</v>
      </c>
      <c r="Z7" s="3407"/>
      <c r="AA7" s="1572">
        <f>D7/F7</f>
        <v>1</v>
      </c>
      <c r="AB7" s="1572">
        <f>D7/H7</f>
        <v>1</v>
      </c>
      <c r="AC7" s="1572">
        <f>D7/J7</f>
        <v>1</v>
      </c>
    </row>
    <row r="8" spans="1:29" s="1220" customFormat="1" ht="15.75" thickBot="1">
      <c r="A8" s="2913"/>
      <c r="B8" s="2920" t="s">
        <v>531</v>
      </c>
      <c r="C8" s="525" t="s">
        <v>576</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406" t="s">
        <v>533</v>
      </c>
      <c r="Q8" s="3407"/>
      <c r="R8" s="1569" t="s">
        <v>13</v>
      </c>
      <c r="S8" s="1570">
        <f t="shared" si="0"/>
        <v>100</v>
      </c>
      <c r="T8" s="1569" t="s">
        <v>13</v>
      </c>
      <c r="U8" s="1570">
        <f t="shared" si="1"/>
        <v>100</v>
      </c>
      <c r="V8" s="1569" t="s">
        <v>13</v>
      </c>
      <c r="W8" s="1570">
        <f t="shared" si="2"/>
        <v>100</v>
      </c>
      <c r="X8" s="1571"/>
      <c r="Y8" s="3406" t="s">
        <v>533</v>
      </c>
      <c r="Z8" s="3407"/>
      <c r="AA8" s="1572">
        <f t="shared" ref="AA8:AA46" si="3">D8/F8</f>
        <v>1</v>
      </c>
      <c r="AB8" s="1572">
        <f t="shared" ref="AB8:AB46" si="4">D8/H8</f>
        <v>1</v>
      </c>
      <c r="AC8" s="1572">
        <f t="shared" ref="AC8:AC46" si="5">D8/J8</f>
        <v>1</v>
      </c>
    </row>
    <row r="9" spans="1:29" s="1220" customFormat="1" ht="15">
      <c r="A9" s="2914"/>
      <c r="B9" s="2921" t="s">
        <v>2758</v>
      </c>
      <c r="C9" s="3177" t="s">
        <v>3001</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75"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915"/>
      <c r="B10" s="2920" t="s">
        <v>2759</v>
      </c>
      <c r="C10" s="861" t="s">
        <v>3002</v>
      </c>
      <c r="D10" s="255">
        <v>100</v>
      </c>
      <c r="E10" s="862" t="s">
        <v>3002</v>
      </c>
      <c r="F10" s="863">
        <f>SUMIF(65:65,E10,66:66)-SUMIF(65:65,C10,66:66)+100</f>
        <v>100</v>
      </c>
      <c r="G10" s="861" t="s">
        <v>3002</v>
      </c>
      <c r="H10" s="255">
        <f>SUMIF(65:65,G10,66:66)-SUMIF(65:65,C10,66:66)+100</f>
        <v>100</v>
      </c>
      <c r="I10" s="861" t="s">
        <v>3002</v>
      </c>
      <c r="J10" s="255">
        <f>SUMIF(65:65,I10,66:66)-SUMIF(65:65,C10,66:66)+100</f>
        <v>100</v>
      </c>
      <c r="K10" s="864">
        <v>2</v>
      </c>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6"/>
      <c r="B11" s="2920" t="s">
        <v>2760</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75"/>
      <c r="Q11" s="1151" t="str">
        <f t="shared" si="6"/>
        <v>容积率</v>
      </c>
      <c r="R11" s="1569" t="s">
        <v>11</v>
      </c>
      <c r="S11" s="1570">
        <f t="shared" si="0"/>
        <v>100</v>
      </c>
      <c r="T11" s="1569" t="s">
        <v>11</v>
      </c>
      <c r="U11" s="1570">
        <f t="shared" si="1"/>
        <v>100</v>
      </c>
      <c r="V11" s="1569" t="s">
        <v>11</v>
      </c>
      <c r="W11" s="1570">
        <f t="shared" si="2"/>
        <v>100</v>
      </c>
      <c r="X11" s="1571"/>
      <c r="Y11" s="3321"/>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75"/>
      <c r="Q12" s="1151">
        <f t="shared" si="6"/>
        <v>111</v>
      </c>
      <c r="R12" s="1569" t="s">
        <v>11</v>
      </c>
      <c r="S12" s="1570">
        <f t="shared" si="0"/>
        <v>100</v>
      </c>
      <c r="T12" s="1569" t="s">
        <v>11</v>
      </c>
      <c r="U12" s="1570">
        <f t="shared" si="1"/>
        <v>100</v>
      </c>
      <c r="V12" s="1569" t="s">
        <v>11</v>
      </c>
      <c r="W12" s="1570">
        <f t="shared" si="2"/>
        <v>100</v>
      </c>
      <c r="X12" s="1571"/>
      <c r="Y12" s="3321"/>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75"/>
      <c r="Q13" s="1151">
        <f t="shared" si="6"/>
        <v>111</v>
      </c>
      <c r="R13" s="1569" t="s">
        <v>11</v>
      </c>
      <c r="S13" s="1570">
        <f t="shared" si="0"/>
        <v>100</v>
      </c>
      <c r="T13" s="1569" t="s">
        <v>11</v>
      </c>
      <c r="U13" s="1570">
        <f t="shared" si="1"/>
        <v>100</v>
      </c>
      <c r="V13" s="1569" t="s">
        <v>11</v>
      </c>
      <c r="W13" s="1570">
        <f t="shared" si="2"/>
        <v>100</v>
      </c>
      <c r="X13" s="1571"/>
      <c r="Y13" s="3321"/>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75"/>
      <c r="Q14" s="1151">
        <f t="shared" si="6"/>
        <v>111</v>
      </c>
      <c r="R14" s="1569" t="s">
        <v>11</v>
      </c>
      <c r="S14" s="1570">
        <f t="shared" si="0"/>
        <v>100</v>
      </c>
      <c r="T14" s="1569" t="s">
        <v>11</v>
      </c>
      <c r="U14" s="1570">
        <f t="shared" si="1"/>
        <v>100</v>
      </c>
      <c r="V14" s="1569" t="s">
        <v>11</v>
      </c>
      <c r="W14" s="1570">
        <f t="shared" si="2"/>
        <v>100</v>
      </c>
      <c r="X14" s="1571"/>
      <c r="Y14" s="3321"/>
      <c r="Z14" s="1150">
        <f t="shared" si="7"/>
        <v>111</v>
      </c>
      <c r="AA14" s="1572">
        <f t="shared" si="3"/>
        <v>1</v>
      </c>
      <c r="AB14" s="1572">
        <f t="shared" si="4"/>
        <v>1</v>
      </c>
      <c r="AC14" s="1572">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3</v>
      </c>
      <c r="L15" s="2142"/>
      <c r="M15" s="2134"/>
      <c r="N15" s="2134"/>
      <c r="O15" s="2141"/>
      <c r="P15" s="3409" t="s">
        <v>540</v>
      </c>
      <c r="Q15" s="1573" t="str">
        <f t="shared" si="6"/>
        <v>居住社区成熟度</v>
      </c>
      <c r="R15" s="1574" t="s">
        <v>11</v>
      </c>
      <c r="S15" s="1575">
        <f t="shared" si="0"/>
        <v>100</v>
      </c>
      <c r="T15" s="1574" t="s">
        <v>11</v>
      </c>
      <c r="U15" s="1575">
        <f t="shared" si="1"/>
        <v>100</v>
      </c>
      <c r="V15" s="1574" t="s">
        <v>11</v>
      </c>
      <c r="W15" s="1575">
        <f t="shared" si="2"/>
        <v>100</v>
      </c>
      <c r="X15" s="1568"/>
      <c r="Y15" s="3409" t="s">
        <v>540</v>
      </c>
      <c r="Z15" s="1576" t="str">
        <f t="shared" si="7"/>
        <v>居住社区成熟度</v>
      </c>
      <c r="AA15" s="1577">
        <f t="shared" si="3"/>
        <v>1</v>
      </c>
      <c r="AB15" s="1577">
        <f t="shared" si="4"/>
        <v>1</v>
      </c>
      <c r="AC15" s="1577">
        <f t="shared" si="5"/>
        <v>1</v>
      </c>
    </row>
    <row r="16" spans="1:29" ht="15">
      <c r="A16" s="532"/>
      <c r="B16" s="869"/>
      <c r="C16" s="576" t="s">
        <v>2996</v>
      </c>
      <c r="D16" s="555"/>
      <c r="E16" s="556" t="s">
        <v>2996</v>
      </c>
      <c r="F16" s="557"/>
      <c r="G16" s="558" t="s">
        <v>2996</v>
      </c>
      <c r="H16" s="559"/>
      <c r="I16" s="556" t="s">
        <v>2996</v>
      </c>
      <c r="J16" s="555"/>
      <c r="K16" s="870"/>
      <c r="L16" s="2142"/>
      <c r="M16" s="2134"/>
      <c r="N16" s="2134"/>
      <c r="O16" s="2141"/>
      <c r="P16" s="3410"/>
      <c r="Q16" s="1573"/>
      <c r="R16" s="1574"/>
      <c r="S16" s="1575"/>
      <c r="T16" s="1574"/>
      <c r="U16" s="1575"/>
      <c r="V16" s="1574"/>
      <c r="W16" s="1575"/>
      <c r="X16" s="1568"/>
      <c r="Y16" s="341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3</v>
      </c>
      <c r="L17" s="2142"/>
      <c r="M17" s="2134"/>
      <c r="N17" s="2134"/>
      <c r="O17" s="2141"/>
      <c r="P17" s="3410"/>
      <c r="Q17" s="1573" t="str">
        <f>B17</f>
        <v>交通便捷度</v>
      </c>
      <c r="R17" s="1574" t="s">
        <v>11</v>
      </c>
      <c r="S17" s="1575">
        <f>F17</f>
        <v>100</v>
      </c>
      <c r="T17" s="1574" t="s">
        <v>11</v>
      </c>
      <c r="U17" s="1575">
        <f>H17</f>
        <v>100</v>
      </c>
      <c r="V17" s="1574" t="s">
        <v>11</v>
      </c>
      <c r="W17" s="1575">
        <f>J17</f>
        <v>100</v>
      </c>
      <c r="X17" s="1568"/>
      <c r="Y17" s="3410"/>
      <c r="Z17" s="1576" t="str">
        <f>Q17</f>
        <v>交通便捷度</v>
      </c>
      <c r="AA17" s="1577">
        <f t="shared" si="3"/>
        <v>1</v>
      </c>
      <c r="AB17" s="1577">
        <f t="shared" si="4"/>
        <v>1</v>
      </c>
      <c r="AC17" s="1577">
        <f t="shared" si="5"/>
        <v>1</v>
      </c>
    </row>
    <row r="18" spans="1:29" ht="15">
      <c r="A18" s="532"/>
      <c r="B18" s="595"/>
      <c r="C18" s="873" t="s">
        <v>2996</v>
      </c>
      <c r="D18" s="559"/>
      <c r="E18" s="568" t="s">
        <v>2996</v>
      </c>
      <c r="F18" s="563"/>
      <c r="G18" s="569" t="s">
        <v>2996</v>
      </c>
      <c r="H18" s="555"/>
      <c r="I18" s="568" t="s">
        <v>2996</v>
      </c>
      <c r="J18" s="555"/>
      <c r="K18" s="870"/>
      <c r="L18" s="2142"/>
      <c r="M18" s="2134"/>
      <c r="N18" s="2134"/>
      <c r="O18" s="2141"/>
      <c r="P18" s="3410"/>
      <c r="Q18" s="1573"/>
      <c r="R18" s="1574"/>
      <c r="S18" s="1575"/>
      <c r="T18" s="1574"/>
      <c r="U18" s="1575"/>
      <c r="V18" s="1574"/>
      <c r="W18" s="1575"/>
      <c r="X18" s="1568"/>
      <c r="Y18" s="3410"/>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103</v>
      </c>
      <c r="I19" s="570"/>
      <c r="J19" s="559">
        <f>SUMIF(80:80,I20,81:81)-SUMIF(80:80,C20,81:81)+100</f>
        <v>100</v>
      </c>
      <c r="K19" s="868">
        <v>3</v>
      </c>
      <c r="L19" s="2142"/>
      <c r="M19" s="2134"/>
      <c r="N19" s="2134"/>
      <c r="O19" s="2141"/>
      <c r="P19" s="3410"/>
      <c r="Q19" s="1573" t="str">
        <f>B19</f>
        <v>公共配套设施</v>
      </c>
      <c r="R19" s="1574" t="s">
        <v>11</v>
      </c>
      <c r="S19" s="1575">
        <f>F19</f>
        <v>100</v>
      </c>
      <c r="T19" s="1574" t="s">
        <v>11</v>
      </c>
      <c r="U19" s="1575">
        <f>H19</f>
        <v>103</v>
      </c>
      <c r="V19" s="1574" t="s">
        <v>11</v>
      </c>
      <c r="W19" s="1575">
        <f>J19</f>
        <v>100</v>
      </c>
      <c r="X19" s="1568"/>
      <c r="Y19" s="3410"/>
      <c r="Z19" s="1576" t="str">
        <f>Q19</f>
        <v>公共配套设施</v>
      </c>
      <c r="AA19" s="1577">
        <f t="shared" si="3"/>
        <v>1</v>
      </c>
      <c r="AB19" s="1577">
        <f t="shared" si="4"/>
        <v>0.970873786407767</v>
      </c>
      <c r="AC19" s="1577">
        <f t="shared" si="5"/>
        <v>1</v>
      </c>
    </row>
    <row r="20" spans="1:29" ht="15">
      <c r="A20" s="532"/>
      <c r="B20" s="595"/>
      <c r="C20" s="576" t="s">
        <v>2996</v>
      </c>
      <c r="D20" s="555"/>
      <c r="E20" s="556" t="s">
        <v>2996</v>
      </c>
      <c r="F20" s="557"/>
      <c r="G20" s="558" t="s">
        <v>2998</v>
      </c>
      <c r="H20" s="555"/>
      <c r="I20" s="556" t="s">
        <v>2996</v>
      </c>
      <c r="J20" s="555"/>
      <c r="K20" s="870"/>
      <c r="L20" s="2142"/>
      <c r="M20" s="2134"/>
      <c r="N20" s="2134"/>
      <c r="O20" s="2141"/>
      <c r="P20" s="3410"/>
      <c r="Q20" s="1573"/>
      <c r="R20" s="1574"/>
      <c r="S20" s="1575"/>
      <c r="T20" s="1574"/>
      <c r="U20" s="1575"/>
      <c r="V20" s="1574"/>
      <c r="W20" s="1575"/>
      <c r="X20" s="1568"/>
      <c r="Y20" s="3410"/>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410"/>
      <c r="Q21" s="2579" t="str">
        <f>B21</f>
        <v>基础设施水平</v>
      </c>
      <c r="R21" s="1574" t="s">
        <v>11</v>
      </c>
      <c r="S21" s="1575">
        <f>F21</f>
        <v>100</v>
      </c>
      <c r="T21" s="1574" t="s">
        <v>11</v>
      </c>
      <c r="U21" s="1575">
        <f>H21</f>
        <v>100</v>
      </c>
      <c r="V21" s="1574" t="s">
        <v>11</v>
      </c>
      <c r="W21" s="1575">
        <f>J21</f>
        <v>100</v>
      </c>
      <c r="X21" s="2581"/>
      <c r="Y21" s="3410"/>
      <c r="Z21" s="2580" t="str">
        <f>Q21</f>
        <v>基础设施水平</v>
      </c>
      <c r="AA21" s="1577">
        <f t="shared" ref="AA21" si="8">D21/F21</f>
        <v>1</v>
      </c>
      <c r="AB21" s="1577">
        <f t="shared" ref="AB21" si="9">D21/H21</f>
        <v>1</v>
      </c>
      <c r="AC21" s="1577">
        <f t="shared" ref="AC21" si="10">D21/J21</f>
        <v>1</v>
      </c>
    </row>
    <row r="22" spans="1:29" ht="15">
      <c r="A22" s="532"/>
      <c r="B22" s="922"/>
      <c r="C22" s="873" t="s">
        <v>3091</v>
      </c>
      <c r="D22" s="555"/>
      <c r="E22" s="576" t="s">
        <v>3091</v>
      </c>
      <c r="F22" s="557"/>
      <c r="G22" s="576" t="s">
        <v>3091</v>
      </c>
      <c r="H22" s="555"/>
      <c r="I22" s="576" t="s">
        <v>3091</v>
      </c>
      <c r="J22" s="555"/>
      <c r="K22" s="2599"/>
      <c r="L22" s="2142"/>
      <c r="M22" s="2134"/>
      <c r="N22" s="2134"/>
      <c r="O22" s="2141"/>
      <c r="P22" s="3410"/>
      <c r="Q22" s="2579"/>
      <c r="R22" s="1574"/>
      <c r="S22" s="1575"/>
      <c r="T22" s="1574"/>
      <c r="U22" s="1575"/>
      <c r="V22" s="1574"/>
      <c r="W22" s="1575"/>
      <c r="X22" s="2581"/>
      <c r="Y22" s="3410"/>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42"/>
      <c r="M23" s="2134"/>
      <c r="N23" s="2134"/>
      <c r="O23" s="2141"/>
      <c r="P23" s="3410"/>
      <c r="Q23" s="1573" t="str">
        <f>B23</f>
        <v>自然及人文环境</v>
      </c>
      <c r="R23" s="1574" t="s">
        <v>11</v>
      </c>
      <c r="S23" s="1575">
        <f>F23</f>
        <v>100</v>
      </c>
      <c r="T23" s="1574" t="s">
        <v>11</v>
      </c>
      <c r="U23" s="1575">
        <f>H23</f>
        <v>100</v>
      </c>
      <c r="V23" s="1574" t="s">
        <v>11</v>
      </c>
      <c r="W23" s="1575">
        <f>J23</f>
        <v>100</v>
      </c>
      <c r="X23" s="1568"/>
      <c r="Y23" s="3410"/>
      <c r="Z23" s="1576" t="str">
        <f>Q23</f>
        <v>自然及人文环境</v>
      </c>
      <c r="AA23" s="1577">
        <f t="shared" si="3"/>
        <v>1</v>
      </c>
      <c r="AB23" s="1577">
        <f t="shared" si="4"/>
        <v>1</v>
      </c>
      <c r="AC23" s="1577">
        <f t="shared" si="5"/>
        <v>1</v>
      </c>
    </row>
    <row r="24" spans="1:29" ht="15">
      <c r="A24" s="532"/>
      <c r="B24" s="595"/>
      <c r="C24" s="576" t="s">
        <v>2997</v>
      </c>
      <c r="D24" s="555"/>
      <c r="E24" s="556" t="s">
        <v>2997</v>
      </c>
      <c r="F24" s="557"/>
      <c r="G24" s="558" t="s">
        <v>2997</v>
      </c>
      <c r="H24" s="555"/>
      <c r="I24" s="556" t="s">
        <v>2997</v>
      </c>
      <c r="J24" s="555"/>
      <c r="K24" s="870"/>
      <c r="L24" s="2142"/>
      <c r="M24" s="2134"/>
      <c r="N24" s="2134"/>
      <c r="O24" s="2141"/>
      <c r="P24" s="3410"/>
      <c r="Q24" s="1573"/>
      <c r="R24" s="1574"/>
      <c r="S24" s="1575"/>
      <c r="T24" s="1574"/>
      <c r="U24" s="1575"/>
      <c r="V24" s="1574"/>
      <c r="W24" s="1575"/>
      <c r="X24" s="1568"/>
      <c r="Y24" s="3410"/>
      <c r="Z24" s="1576"/>
      <c r="AA24" s="1577">
        <v>1</v>
      </c>
      <c r="AB24" s="1577">
        <v>1</v>
      </c>
      <c r="AC24" s="1577">
        <v>1</v>
      </c>
    </row>
    <row r="25" spans="1:29" ht="15">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0"/>
      <c r="Q25" s="1573" t="str">
        <f t="shared" ref="Q25:Q46" si="11">B25</f>
        <v>楼层-1</v>
      </c>
      <c r="R25" s="1574" t="s">
        <v>11</v>
      </c>
      <c r="S25" s="1575">
        <f>F25</f>
        <v>100</v>
      </c>
      <c r="T25" s="1574" t="s">
        <v>11</v>
      </c>
      <c r="U25" s="1575">
        <f>H25</f>
        <v>100</v>
      </c>
      <c r="V25" s="1574" t="s">
        <v>11</v>
      </c>
      <c r="W25" s="1575">
        <f>J25</f>
        <v>100</v>
      </c>
      <c r="X25" s="1568"/>
      <c r="Y25" s="341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0"/>
      <c r="Q26" s="1573" t="str">
        <f t="shared" si="11"/>
        <v>朝向</v>
      </c>
      <c r="R26" s="1574" t="s">
        <v>11</v>
      </c>
      <c r="S26" s="1575">
        <f>F26</f>
        <v>100</v>
      </c>
      <c r="T26" s="1574" t="s">
        <v>11</v>
      </c>
      <c r="U26" s="1575">
        <f>H26</f>
        <v>100</v>
      </c>
      <c r="V26" s="1574" t="s">
        <v>11</v>
      </c>
      <c r="W26" s="1575">
        <f>J26</f>
        <v>100</v>
      </c>
      <c r="X26" s="1568"/>
      <c r="Y26" s="341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0"/>
      <c r="Q27" s="1151" t="str">
        <f t="shared" si="11"/>
        <v>道路级别</v>
      </c>
      <c r="R27" s="1569" t="s">
        <v>11</v>
      </c>
      <c r="S27" s="1570">
        <f>F27</f>
        <v>100</v>
      </c>
      <c r="T27" s="1569" t="s">
        <v>11</v>
      </c>
      <c r="U27" s="1570">
        <f>H27</f>
        <v>100</v>
      </c>
      <c r="V27" s="1569" t="s">
        <v>11</v>
      </c>
      <c r="W27" s="1570">
        <f>J27</f>
        <v>100</v>
      </c>
      <c r="X27" s="1571"/>
      <c r="Y27" s="341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0"/>
      <c r="Q29" s="1573">
        <f t="shared" si="11"/>
        <v>111</v>
      </c>
      <c r="R29" s="1574" t="s">
        <v>11</v>
      </c>
      <c r="S29" s="1575">
        <f t="shared" si="12"/>
        <v>100</v>
      </c>
      <c r="T29" s="1574" t="s">
        <v>11</v>
      </c>
      <c r="U29" s="1575">
        <f t="shared" si="13"/>
        <v>100</v>
      </c>
      <c r="V29" s="1574" t="s">
        <v>11</v>
      </c>
      <c r="W29" s="1575">
        <f t="shared" si="14"/>
        <v>100</v>
      </c>
      <c r="X29" s="1568"/>
      <c r="Y29" s="341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0"/>
      <c r="Q30" s="1573">
        <f t="shared" si="11"/>
        <v>111</v>
      </c>
      <c r="R30" s="1574" t="s">
        <v>11</v>
      </c>
      <c r="S30" s="1575">
        <f t="shared" si="12"/>
        <v>100</v>
      </c>
      <c r="T30" s="1574" t="s">
        <v>11</v>
      </c>
      <c r="U30" s="1575">
        <f t="shared" si="13"/>
        <v>100</v>
      </c>
      <c r="V30" s="1574" t="s">
        <v>11</v>
      </c>
      <c r="W30" s="1575">
        <f t="shared" si="14"/>
        <v>100</v>
      </c>
      <c r="X30" s="1568"/>
      <c r="Y30" s="341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0"/>
      <c r="Q31" s="1573">
        <f t="shared" si="11"/>
        <v>111</v>
      </c>
      <c r="R31" s="1574" t="s">
        <v>11</v>
      </c>
      <c r="S31" s="1575">
        <f t="shared" si="12"/>
        <v>100</v>
      </c>
      <c r="T31" s="1574" t="s">
        <v>11</v>
      </c>
      <c r="U31" s="1575">
        <f t="shared" si="13"/>
        <v>100</v>
      </c>
      <c r="V31" s="1574" t="s">
        <v>11</v>
      </c>
      <c r="W31" s="1575">
        <f t="shared" si="14"/>
        <v>100</v>
      </c>
      <c r="X31" s="1568"/>
      <c r="Y31" s="3410"/>
      <c r="Z31" s="1576">
        <f t="shared" si="15"/>
        <v>111</v>
      </c>
      <c r="AA31" s="1577">
        <f t="shared" si="3"/>
        <v>1</v>
      </c>
      <c r="AB31" s="1577">
        <f t="shared" si="4"/>
        <v>1</v>
      </c>
      <c r="AC31" s="1577">
        <f t="shared" si="5"/>
        <v>1</v>
      </c>
    </row>
    <row r="32" spans="1:29" ht="15">
      <c r="A32" s="2907" t="s">
        <v>2757</v>
      </c>
      <c r="B32" s="172" t="s">
        <v>725</v>
      </c>
      <c r="C32" s="878" t="s">
        <v>3092</v>
      </c>
      <c r="D32" s="597">
        <v>100</v>
      </c>
      <c r="E32" s="879" t="s">
        <v>3092</v>
      </c>
      <c r="F32" s="575">
        <f>SUMIF(100:100,E32,101:101)-SUMIF(100:100,C32,101:101)+100</f>
        <v>100</v>
      </c>
      <c r="G32" s="878" t="s">
        <v>3092</v>
      </c>
      <c r="H32" s="597">
        <f>SUMIF(100:100,G32,101:101)-SUMIF(100:100,C32,101:101)+100</f>
        <v>100</v>
      </c>
      <c r="I32" s="879" t="s">
        <v>3019</v>
      </c>
      <c r="J32" s="540">
        <f>SUMIF(100:100,I32,101:101)-SUMIF(100:100,C32,101:101)+100</f>
        <v>95</v>
      </c>
      <c r="K32" s="864">
        <v>5</v>
      </c>
      <c r="L32" s="2142"/>
      <c r="M32" s="2134"/>
      <c r="N32" s="2134"/>
      <c r="O32" s="2141"/>
      <c r="P32" s="3411" t="s">
        <v>550</v>
      </c>
      <c r="Q32" s="1573" t="str">
        <f t="shared" si="11"/>
        <v>建筑类型</v>
      </c>
      <c r="R32" s="1574" t="s">
        <v>11</v>
      </c>
      <c r="S32" s="1575">
        <f t="shared" si="12"/>
        <v>100</v>
      </c>
      <c r="T32" s="1574" t="s">
        <v>11</v>
      </c>
      <c r="U32" s="1575">
        <f t="shared" si="13"/>
        <v>100</v>
      </c>
      <c r="V32" s="1574" t="s">
        <v>11</v>
      </c>
      <c r="W32" s="1575">
        <f t="shared" si="14"/>
        <v>95</v>
      </c>
      <c r="X32" s="1568"/>
      <c r="Y32" s="3412" t="s">
        <v>550</v>
      </c>
      <c r="Z32" s="1576" t="str">
        <f t="shared" si="15"/>
        <v>建筑类型</v>
      </c>
      <c r="AA32" s="1577">
        <f t="shared" si="3"/>
        <v>1</v>
      </c>
      <c r="AB32" s="1577">
        <f t="shared" si="4"/>
        <v>1</v>
      </c>
      <c r="AC32" s="1577">
        <f t="shared" si="5"/>
        <v>1.0526315789473684</v>
      </c>
    </row>
    <row r="33" spans="1:29" s="1339" customFormat="1" ht="15">
      <c r="A33" s="603"/>
      <c r="B33" s="527" t="s">
        <v>726</v>
      </c>
      <c r="C33" s="880">
        <v>90</v>
      </c>
      <c r="D33" s="255">
        <v>100</v>
      </c>
      <c r="E33" s="534">
        <v>98</v>
      </c>
      <c r="F33" s="863">
        <f>LOOKUP(E33,103:103,104:104)-LOOKUP(C33,103:103,104:104)+100</f>
        <v>100</v>
      </c>
      <c r="G33" s="533">
        <v>95</v>
      </c>
      <c r="H33" s="255">
        <f>LOOKUP(G33,103:103,104:104)-LOOKUP(C33,103:103,104:104)+100</f>
        <v>100</v>
      </c>
      <c r="I33" s="534">
        <v>100</v>
      </c>
      <c r="J33" s="255">
        <f>LOOKUP(I33,103:103,104:104)-LOOKUP(C33,103:103,104:104)+100</f>
        <v>100</v>
      </c>
      <c r="K33" s="865"/>
      <c r="L33" s="2140"/>
      <c r="M33" s="2171"/>
      <c r="N33" s="2171"/>
      <c r="O33" s="2143"/>
      <c r="P33" s="3412"/>
      <c r="Q33" s="1606" t="str">
        <f t="shared" si="11"/>
        <v>项目建筑规模</v>
      </c>
      <c r="R33" s="1578" t="s">
        <v>11</v>
      </c>
      <c r="S33" s="1579">
        <f t="shared" si="12"/>
        <v>100</v>
      </c>
      <c r="T33" s="1578" t="s">
        <v>11</v>
      </c>
      <c r="U33" s="1579">
        <f t="shared" si="13"/>
        <v>100</v>
      </c>
      <c r="V33" s="1578" t="s">
        <v>11</v>
      </c>
      <c r="W33" s="1579">
        <f t="shared" si="14"/>
        <v>100</v>
      </c>
      <c r="X33" s="1580"/>
      <c r="Y33" s="3412"/>
      <c r="Z33" s="1581" t="str">
        <f t="shared" si="15"/>
        <v>项目建筑规模</v>
      </c>
      <c r="AA33" s="1577">
        <f t="shared" si="3"/>
        <v>1</v>
      </c>
      <c r="AB33" s="1577">
        <f t="shared" si="4"/>
        <v>1</v>
      </c>
      <c r="AC33" s="1577">
        <f t="shared" si="5"/>
        <v>1</v>
      </c>
    </row>
    <row r="34" spans="1:29" ht="15">
      <c r="A34" s="594"/>
      <c r="B34" s="527" t="s">
        <v>727</v>
      </c>
      <c r="C34" s="881" t="s">
        <v>2992</v>
      </c>
      <c r="D34" s="540">
        <v>100</v>
      </c>
      <c r="E34" s="882" t="s">
        <v>2992</v>
      </c>
      <c r="F34" s="575">
        <f>SUMIF(105:105,E34,106:106)-SUMIF(105:105,C34,106:106)+100</f>
        <v>100</v>
      </c>
      <c r="G34" s="881" t="s">
        <v>2992</v>
      </c>
      <c r="H34" s="540">
        <f>SUMIF(105:105,G34,106:106)-SUMIF(105:105,C34,106:106)+100</f>
        <v>100</v>
      </c>
      <c r="I34" s="882" t="s">
        <v>2992</v>
      </c>
      <c r="J34" s="540">
        <f>SUMIF(105:105,I34,106:106)-SUMIF(105:105,C34,106:106)+100</f>
        <v>100</v>
      </c>
      <c r="K34" s="864">
        <v>2</v>
      </c>
      <c r="L34" s="2142"/>
      <c r="M34" s="2134"/>
      <c r="N34" s="2134"/>
      <c r="O34" s="2141"/>
      <c r="P34" s="3412"/>
      <c r="Q34" s="1573" t="str">
        <f t="shared" si="11"/>
        <v>建筑结构</v>
      </c>
      <c r="R34" s="1574" t="s">
        <v>11</v>
      </c>
      <c r="S34" s="1575">
        <f t="shared" si="12"/>
        <v>100</v>
      </c>
      <c r="T34" s="1574" t="s">
        <v>11</v>
      </c>
      <c r="U34" s="1575">
        <f t="shared" si="13"/>
        <v>100</v>
      </c>
      <c r="V34" s="1574" t="s">
        <v>11</v>
      </c>
      <c r="W34" s="1575">
        <f t="shared" si="14"/>
        <v>100</v>
      </c>
      <c r="X34" s="1568"/>
      <c r="Y34" s="3412"/>
      <c r="Z34" s="1576" t="str">
        <f t="shared" si="15"/>
        <v>建筑结构</v>
      </c>
      <c r="AA34" s="1577">
        <f t="shared" si="3"/>
        <v>1</v>
      </c>
      <c r="AB34" s="1577">
        <f t="shared" si="4"/>
        <v>1</v>
      </c>
      <c r="AC34" s="1577">
        <f t="shared" si="5"/>
        <v>1</v>
      </c>
    </row>
    <row r="35" spans="1:29" ht="15">
      <c r="A35" s="594"/>
      <c r="B35" s="527" t="s">
        <v>728</v>
      </c>
      <c r="C35" s="599" t="s">
        <v>2997</v>
      </c>
      <c r="D35" s="540">
        <v>100</v>
      </c>
      <c r="E35" s="599" t="s">
        <v>2996</v>
      </c>
      <c r="F35" s="575">
        <f>SUMIF(107:107,E35,108:108)-SUMIF(107:107,C35,108:108)+100</f>
        <v>105</v>
      </c>
      <c r="G35" s="599" t="s">
        <v>2996</v>
      </c>
      <c r="H35" s="540">
        <f>SUMIF(107:107,G35,108:108)-SUMIF(107:107,C35,108:108)+100</f>
        <v>105</v>
      </c>
      <c r="I35" s="599" t="s">
        <v>2996</v>
      </c>
      <c r="J35" s="540">
        <f>SUMIF(107:107,I35,108:108)-SUMIF(107:107,C35,108:108)+100</f>
        <v>105</v>
      </c>
      <c r="K35" s="864">
        <v>5</v>
      </c>
      <c r="L35" s="2142"/>
      <c r="M35" s="2134"/>
      <c r="N35" s="2134"/>
      <c r="O35" s="2141"/>
      <c r="P35" s="3412"/>
      <c r="Q35" s="1573" t="str">
        <f t="shared" si="11"/>
        <v>建筑品质</v>
      </c>
      <c r="R35" s="1574" t="s">
        <v>11</v>
      </c>
      <c r="S35" s="1575">
        <f t="shared" si="12"/>
        <v>105</v>
      </c>
      <c r="T35" s="1574" t="s">
        <v>11</v>
      </c>
      <c r="U35" s="1575">
        <f t="shared" si="13"/>
        <v>105</v>
      </c>
      <c r="V35" s="1574" t="s">
        <v>11</v>
      </c>
      <c r="W35" s="1575">
        <f t="shared" si="14"/>
        <v>105</v>
      </c>
      <c r="X35" s="1568"/>
      <c r="Y35" s="3412"/>
      <c r="Z35" s="1576" t="str">
        <f t="shared" si="15"/>
        <v>建筑品质</v>
      </c>
      <c r="AA35" s="1577">
        <f t="shared" si="3"/>
        <v>0.95238095238095233</v>
      </c>
      <c r="AB35" s="1577">
        <f t="shared" si="4"/>
        <v>0.95238095238095233</v>
      </c>
      <c r="AC35" s="1577">
        <f t="shared" si="5"/>
        <v>0.95238095238095233</v>
      </c>
    </row>
    <row r="36" spans="1:29" ht="15">
      <c r="A36" s="594"/>
      <c r="B36" s="527" t="s">
        <v>729</v>
      </c>
      <c r="C36" s="599" t="s">
        <v>3003</v>
      </c>
      <c r="D36" s="540">
        <v>100</v>
      </c>
      <c r="E36" s="874" t="s">
        <v>3003</v>
      </c>
      <c r="F36" s="575">
        <f>SUMIF(109:109,E36,110:110)-SUMIF(109:109,C36,110:110)+100</f>
        <v>100</v>
      </c>
      <c r="G36" s="599" t="s">
        <v>3003</v>
      </c>
      <c r="H36" s="540">
        <f>SUMIF(109:109,G36,110:110)-SUMIF(109:109,C36,110:110)+100</f>
        <v>100</v>
      </c>
      <c r="I36" s="874" t="s">
        <v>3003</v>
      </c>
      <c r="J36" s="540">
        <f>SUMIF(109:109,I36,110:110)-SUMIF(109:109,C36,110:110)+100</f>
        <v>100</v>
      </c>
      <c r="K36" s="864">
        <v>2</v>
      </c>
      <c r="L36" s="2142"/>
      <c r="M36" s="2134"/>
      <c r="N36" s="2134"/>
      <c r="O36" s="2141"/>
      <c r="P36" s="3412"/>
      <c r="Q36" s="1573" t="str">
        <f t="shared" si="11"/>
        <v>公共部分装修</v>
      </c>
      <c r="R36" s="1574" t="s">
        <v>11</v>
      </c>
      <c r="S36" s="1575">
        <f t="shared" si="12"/>
        <v>100</v>
      </c>
      <c r="T36" s="1574" t="s">
        <v>11</v>
      </c>
      <c r="U36" s="1575">
        <f t="shared" si="13"/>
        <v>100</v>
      </c>
      <c r="V36" s="1574" t="s">
        <v>11</v>
      </c>
      <c r="W36" s="1575">
        <f t="shared" si="14"/>
        <v>100</v>
      </c>
      <c r="X36" s="1568"/>
      <c r="Y36" s="3412"/>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12"/>
      <c r="Q37" s="1151" t="str">
        <f t="shared" si="11"/>
        <v>成新度</v>
      </c>
      <c r="R37" s="1569" t="s">
        <v>11</v>
      </c>
      <c r="S37" s="1570">
        <f t="shared" si="12"/>
        <v>100</v>
      </c>
      <c r="T37" s="1569" t="s">
        <v>11</v>
      </c>
      <c r="U37" s="1570">
        <f t="shared" si="13"/>
        <v>100</v>
      </c>
      <c r="V37" s="1569" t="s">
        <v>11</v>
      </c>
      <c r="W37" s="1570">
        <f t="shared" si="14"/>
        <v>100</v>
      </c>
      <c r="X37" s="1571"/>
      <c r="Y37" s="3412"/>
      <c r="Z37" s="1150" t="str">
        <f t="shared" si="15"/>
        <v>成新度</v>
      </c>
      <c r="AA37" s="1572">
        <f t="shared" si="3"/>
        <v>1</v>
      </c>
      <c r="AB37" s="1572">
        <f t="shared" si="4"/>
        <v>1</v>
      </c>
      <c r="AC37" s="1572">
        <f t="shared" si="5"/>
        <v>1</v>
      </c>
    </row>
    <row r="38" spans="1:29" ht="15">
      <c r="A38" s="594"/>
      <c r="B38" s="527" t="s">
        <v>731</v>
      </c>
      <c r="C38" s="599" t="s">
        <v>3009</v>
      </c>
      <c r="D38" s="540">
        <v>100</v>
      </c>
      <c r="E38" s="874" t="s">
        <v>3009</v>
      </c>
      <c r="F38" s="575">
        <f>SUMIF(114:114,E38,115:115)-SUMIF(114:114,C38,115:115)+100</f>
        <v>100</v>
      </c>
      <c r="G38" s="599" t="s">
        <v>3009</v>
      </c>
      <c r="H38" s="540">
        <f>SUMIF(114:114,G38,115:115)-SUMIF(114:114,C38,115:115)+100</f>
        <v>100</v>
      </c>
      <c r="I38" s="874" t="s">
        <v>3009</v>
      </c>
      <c r="J38" s="540">
        <f>SUMIF(114:114,I38,115:115)-SUMIF(114:114,C38,115:115)+100</f>
        <v>100</v>
      </c>
      <c r="K38" s="864">
        <v>5</v>
      </c>
      <c r="L38" s="2142"/>
      <c r="M38" s="2134"/>
      <c r="N38" s="2134"/>
      <c r="O38" s="2141"/>
      <c r="P38" s="3412" t="s">
        <v>550</v>
      </c>
      <c r="Q38" s="1573" t="str">
        <f t="shared" si="11"/>
        <v>物业管理</v>
      </c>
      <c r="R38" s="1574" t="s">
        <v>11</v>
      </c>
      <c r="S38" s="1575">
        <f t="shared" si="12"/>
        <v>100</v>
      </c>
      <c r="T38" s="1574" t="s">
        <v>11</v>
      </c>
      <c r="U38" s="1575">
        <f t="shared" si="13"/>
        <v>100</v>
      </c>
      <c r="V38" s="1574" t="s">
        <v>11</v>
      </c>
      <c r="W38" s="1575">
        <f t="shared" si="14"/>
        <v>100</v>
      </c>
      <c r="X38" s="1568"/>
      <c r="Y38" s="3412" t="s">
        <v>550</v>
      </c>
      <c r="Z38" s="1576" t="str">
        <f t="shared" si="15"/>
        <v>物业管理</v>
      </c>
      <c r="AA38" s="1577">
        <f t="shared" si="3"/>
        <v>1</v>
      </c>
      <c r="AB38" s="1577">
        <f t="shared" si="4"/>
        <v>1</v>
      </c>
      <c r="AC38" s="1577">
        <f t="shared" si="5"/>
        <v>1</v>
      </c>
    </row>
    <row r="39" spans="1:29" ht="15">
      <c r="A39" s="594"/>
      <c r="B39" s="1897" t="s">
        <v>2566</v>
      </c>
      <c r="C39" s="599" t="s">
        <v>3091</v>
      </c>
      <c r="D39" s="540">
        <v>100</v>
      </c>
      <c r="E39" s="874" t="s">
        <v>3091</v>
      </c>
      <c r="F39" s="575">
        <f>SUMIF(116:116,E39,117:117)-SUMIF(116:116,C39,117:117)+100</f>
        <v>100</v>
      </c>
      <c r="G39" s="599" t="s">
        <v>3091</v>
      </c>
      <c r="H39" s="540">
        <f>SUMIF(116:116,G39,117:117)-SUMIF(116:116,C39,117:117)+100</f>
        <v>100</v>
      </c>
      <c r="I39" s="874" t="s">
        <v>3091</v>
      </c>
      <c r="J39" s="540">
        <f>SUMIF(116:116,I39,117:117)-SUMIF(116:116,C39,117:117)+100</f>
        <v>100</v>
      </c>
      <c r="K39" s="864">
        <v>1</v>
      </c>
      <c r="L39" s="2142"/>
      <c r="M39" s="2134"/>
      <c r="N39" s="2134"/>
      <c r="O39" s="2141"/>
      <c r="P39" s="3412"/>
      <c r="Q39" s="1573" t="str">
        <f t="shared" si="11"/>
        <v>市政基础设施</v>
      </c>
      <c r="R39" s="1574" t="s">
        <v>11</v>
      </c>
      <c r="S39" s="1575">
        <f t="shared" si="12"/>
        <v>100</v>
      </c>
      <c r="T39" s="1574" t="s">
        <v>11</v>
      </c>
      <c r="U39" s="1575">
        <f t="shared" si="13"/>
        <v>100</v>
      </c>
      <c r="V39" s="1574" t="s">
        <v>11</v>
      </c>
      <c r="W39" s="1575">
        <f t="shared" si="14"/>
        <v>100</v>
      </c>
      <c r="X39" s="1568"/>
      <c r="Y39" s="341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2"/>
      <c r="Q40" s="1573" t="str">
        <f t="shared" si="11"/>
        <v>房型</v>
      </c>
      <c r="R40" s="1574" t="s">
        <v>11</v>
      </c>
      <c r="S40" s="1575">
        <f t="shared" si="12"/>
        <v>100</v>
      </c>
      <c r="T40" s="1574" t="s">
        <v>11</v>
      </c>
      <c r="U40" s="1575">
        <f t="shared" si="13"/>
        <v>100</v>
      </c>
      <c r="V40" s="1574" t="s">
        <v>11</v>
      </c>
      <c r="W40" s="1575">
        <f t="shared" si="14"/>
        <v>100</v>
      </c>
      <c r="X40" s="1568"/>
      <c r="Y40" s="341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2"/>
      <c r="Q41" s="1606" t="str">
        <f t="shared" si="11"/>
        <v>单套/主力户型建筑面积</v>
      </c>
      <c r="R41" s="1578" t="s">
        <v>11</v>
      </c>
      <c r="S41" s="1579">
        <f t="shared" si="12"/>
        <v>100</v>
      </c>
      <c r="T41" s="1578" t="s">
        <v>11</v>
      </c>
      <c r="U41" s="1579">
        <f t="shared" si="13"/>
        <v>100</v>
      </c>
      <c r="V41" s="1578" t="s">
        <v>11</v>
      </c>
      <c r="W41" s="1579">
        <f t="shared" si="14"/>
        <v>100</v>
      </c>
      <c r="X41" s="1580"/>
      <c r="Y41" s="3412"/>
      <c r="Z41" s="1581" t="str">
        <f t="shared" si="15"/>
        <v>单套/主力户型建筑面积</v>
      </c>
      <c r="AA41" s="1577">
        <f t="shared" si="3"/>
        <v>1</v>
      </c>
      <c r="AB41" s="1577">
        <f t="shared" si="4"/>
        <v>1</v>
      </c>
      <c r="AC41" s="1577">
        <f t="shared" si="5"/>
        <v>1</v>
      </c>
    </row>
    <row r="42" spans="1:29" ht="15">
      <c r="A42" s="594"/>
      <c r="B42" s="527" t="s">
        <v>734</v>
      </c>
      <c r="C42" s="599" t="s">
        <v>3005</v>
      </c>
      <c r="D42" s="540">
        <v>100</v>
      </c>
      <c r="E42" s="874" t="s">
        <v>3005</v>
      </c>
      <c r="F42" s="575">
        <f>SUMIF(122:122,E42,123:123)-SUMIF(122:122,C42,123:123)+100</f>
        <v>100</v>
      </c>
      <c r="G42" s="599" t="s">
        <v>3005</v>
      </c>
      <c r="H42" s="540">
        <f>SUMIF(122:122,G42,123:123)-SUMIF(122:122,C42,123:123)+100</f>
        <v>100</v>
      </c>
      <c r="I42" s="874" t="s">
        <v>3005</v>
      </c>
      <c r="J42" s="540">
        <f>SUMIF(122:122,I42,123:123)-SUMIF(122:122,C42,123:123)+100</f>
        <v>100</v>
      </c>
      <c r="K42" s="864">
        <v>2</v>
      </c>
      <c r="L42" s="2142"/>
      <c r="M42" s="2134"/>
      <c r="N42" s="2134"/>
      <c r="O42" s="2141"/>
      <c r="P42" s="3412"/>
      <c r="Q42" s="1573" t="str">
        <f t="shared" si="11"/>
        <v>内部装修</v>
      </c>
      <c r="R42" s="1574" t="s">
        <v>11</v>
      </c>
      <c r="S42" s="1575">
        <f t="shared" si="12"/>
        <v>100</v>
      </c>
      <c r="T42" s="1574" t="s">
        <v>11</v>
      </c>
      <c r="U42" s="1575">
        <f t="shared" si="13"/>
        <v>100</v>
      </c>
      <c r="V42" s="1574" t="s">
        <v>11</v>
      </c>
      <c r="W42" s="1575">
        <f t="shared" si="14"/>
        <v>100</v>
      </c>
      <c r="X42" s="1568"/>
      <c r="Y42" s="3412"/>
      <c r="Z42" s="1576" t="str">
        <f t="shared" si="15"/>
        <v>内部装修</v>
      </c>
      <c r="AA42" s="1577">
        <f t="shared" si="3"/>
        <v>1</v>
      </c>
      <c r="AB42" s="1577">
        <f t="shared" si="4"/>
        <v>1</v>
      </c>
      <c r="AC42" s="1577">
        <f t="shared" si="5"/>
        <v>1</v>
      </c>
    </row>
    <row r="43" spans="1:29" ht="27">
      <c r="A43" s="594"/>
      <c r="B43" s="527" t="s">
        <v>735</v>
      </c>
      <c r="C43" s="599" t="s">
        <v>2996</v>
      </c>
      <c r="D43" s="540">
        <v>100</v>
      </c>
      <c r="E43" s="874" t="s">
        <v>2996</v>
      </c>
      <c r="F43" s="575">
        <f>SUMIF(124:124,E43,125:125)-SUMIF(124:124,C43,125:125)+100</f>
        <v>100</v>
      </c>
      <c r="G43" s="599" t="s">
        <v>2996</v>
      </c>
      <c r="H43" s="540">
        <f>SUMIF(124:124,G43,125:125)-SUMIF(124:124,C43,125:125)+100</f>
        <v>100</v>
      </c>
      <c r="I43" s="874" t="s">
        <v>2996</v>
      </c>
      <c r="J43" s="540">
        <f>SUMIF(124:124,I43,125:125)-SUMIF(124:124,C43,125:125)+100</f>
        <v>100</v>
      </c>
      <c r="K43" s="864">
        <v>2</v>
      </c>
      <c r="L43" s="2142"/>
      <c r="M43" s="2134"/>
      <c r="N43" s="2134"/>
      <c r="O43" s="2141"/>
      <c r="P43" s="3412"/>
      <c r="Q43" s="1573" t="str">
        <f t="shared" si="11"/>
        <v>内部装修维护情况</v>
      </c>
      <c r="R43" s="1574" t="s">
        <v>11</v>
      </c>
      <c r="S43" s="1575">
        <f t="shared" si="12"/>
        <v>100</v>
      </c>
      <c r="T43" s="1574" t="s">
        <v>11</v>
      </c>
      <c r="U43" s="1575">
        <f t="shared" si="13"/>
        <v>100</v>
      </c>
      <c r="V43" s="1574" t="s">
        <v>11</v>
      </c>
      <c r="W43" s="1575">
        <f t="shared" si="14"/>
        <v>100</v>
      </c>
      <c r="X43" s="1568"/>
      <c r="Y43" s="341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2"/>
      <c r="Q44" s="1151">
        <f t="shared" si="11"/>
        <v>111</v>
      </c>
      <c r="R44" s="1569" t="s">
        <v>11</v>
      </c>
      <c r="S44" s="1570">
        <f t="shared" si="12"/>
        <v>100</v>
      </c>
      <c r="T44" s="1569" t="s">
        <v>11</v>
      </c>
      <c r="U44" s="1570">
        <f t="shared" si="13"/>
        <v>100</v>
      </c>
      <c r="V44" s="1569" t="s">
        <v>11</v>
      </c>
      <c r="W44" s="1570">
        <f t="shared" si="14"/>
        <v>100</v>
      </c>
      <c r="X44" s="1571"/>
      <c r="Y44" s="341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2"/>
      <c r="Q45" s="1573">
        <f t="shared" si="11"/>
        <v>111</v>
      </c>
      <c r="R45" s="1574" t="s">
        <v>11</v>
      </c>
      <c r="S45" s="1575">
        <f t="shared" si="12"/>
        <v>100</v>
      </c>
      <c r="T45" s="1574" t="s">
        <v>11</v>
      </c>
      <c r="U45" s="1575">
        <f t="shared" si="13"/>
        <v>100</v>
      </c>
      <c r="V45" s="1574" t="s">
        <v>11</v>
      </c>
      <c r="W45" s="1575">
        <f t="shared" si="14"/>
        <v>100</v>
      </c>
      <c r="X45" s="1568"/>
      <c r="Y45" s="341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90"/>
      <c r="Q46" s="1573">
        <f t="shared" si="11"/>
        <v>111</v>
      </c>
      <c r="R46" s="1574" t="s">
        <v>10</v>
      </c>
      <c r="S46" s="1575">
        <f t="shared" si="12"/>
        <v>100</v>
      </c>
      <c r="T46" s="1574" t="s">
        <v>10</v>
      </c>
      <c r="U46" s="1575">
        <f t="shared" si="13"/>
        <v>100</v>
      </c>
      <c r="V46" s="1574" t="s">
        <v>10</v>
      </c>
      <c r="W46" s="1575">
        <f t="shared" si="14"/>
        <v>100</v>
      </c>
      <c r="X46" s="1568"/>
      <c r="Y46" s="3490"/>
      <c r="Z46" s="1576">
        <f t="shared" si="15"/>
        <v>111</v>
      </c>
      <c r="AA46" s="1577">
        <f t="shared" si="3"/>
        <v>1</v>
      </c>
      <c r="AB46" s="1577">
        <f t="shared" si="4"/>
        <v>1</v>
      </c>
      <c r="AC46" s="1577">
        <f t="shared" si="5"/>
        <v>1</v>
      </c>
    </row>
    <row r="47" spans="1:29" ht="15">
      <c r="A47" s="607" t="s">
        <v>736</v>
      </c>
      <c r="B47" s="887"/>
      <c r="C47" s="2627" t="s">
        <v>9</v>
      </c>
      <c r="D47" s="2628"/>
      <c r="E47" s="2629">
        <v>7000</v>
      </c>
      <c r="F47" s="2630"/>
      <c r="G47" s="2631">
        <v>7200</v>
      </c>
      <c r="H47" s="2632"/>
      <c r="I47" s="2629">
        <v>6800</v>
      </c>
      <c r="J47" s="2632"/>
      <c r="K47" s="1607"/>
      <c r="L47" s="2144"/>
      <c r="M47" s="2145"/>
      <c r="N47" s="2134"/>
      <c r="O47" s="2145"/>
      <c r="P47" s="3375" t="str">
        <f>A47</f>
        <v>成交单价（元/平方米）</v>
      </c>
      <c r="Q47" s="3375"/>
      <c r="R47" s="3489">
        <f>E47</f>
        <v>7000</v>
      </c>
      <c r="S47" s="3489"/>
      <c r="T47" s="3489">
        <f>G47</f>
        <v>7200</v>
      </c>
      <c r="U47" s="3489"/>
      <c r="V47" s="3489">
        <f>I47</f>
        <v>6800</v>
      </c>
      <c r="W47" s="3489"/>
      <c r="X47" s="1560"/>
      <c r="Y47" s="1582"/>
      <c r="Z47" s="1560"/>
      <c r="AA47" s="1560"/>
      <c r="AB47" s="1560"/>
      <c r="AC47" s="1560"/>
    </row>
    <row r="48" spans="1:29" ht="15.75" thickBot="1">
      <c r="A48" s="615" t="s">
        <v>2762</v>
      </c>
      <c r="B48" s="888"/>
      <c r="C48" s="2633">
        <f>R49</f>
        <v>6714</v>
      </c>
      <c r="D48" s="2634"/>
      <c r="E48" s="2635">
        <f>R48</f>
        <v>6667</v>
      </c>
      <c r="F48" s="2635"/>
      <c r="G48" s="2633">
        <f>T48</f>
        <v>6657</v>
      </c>
      <c r="H48" s="2634"/>
      <c r="I48" s="2635">
        <f>V48</f>
        <v>6817</v>
      </c>
      <c r="J48" s="2634"/>
      <c r="K48" s="1608"/>
      <c r="L48" s="2144"/>
      <c r="M48" s="2145"/>
      <c r="N48" s="2145"/>
      <c r="O48" s="2145"/>
      <c r="P48" s="3375" t="str">
        <f>A48</f>
        <v>比较价格（元/平方米）</v>
      </c>
      <c r="Q48" s="3375"/>
      <c r="R48" s="3489">
        <f>IF(F1="售价",ROUND(PRODUCT(R47,AA7:AA46),0),ROUND(PRODUCT(R47,AA7:AA46),1))</f>
        <v>6667</v>
      </c>
      <c r="S48" s="3489"/>
      <c r="T48" s="3489">
        <f>IF(F1="售价",ROUND(PRODUCT(T47,AB7:AB46),0),ROUND(PRODUCT(T47,AB7:AB46),1))</f>
        <v>6657</v>
      </c>
      <c r="U48" s="3489"/>
      <c r="V48" s="3489">
        <f>IF(F1="售价",ROUND(PRODUCT(V47,AC7:AC46),0),ROUND(PRODUCT(V47,AC7:AC46),1))</f>
        <v>6817</v>
      </c>
      <c r="W48" s="3489"/>
      <c r="X48" s="1560"/>
      <c r="Y48" s="1560"/>
      <c r="Z48" s="1560"/>
      <c r="AA48" s="1560"/>
      <c r="AB48" s="1560"/>
      <c r="AC48" s="1560"/>
    </row>
    <row r="49" spans="1:29" ht="15.75" thickBot="1">
      <c r="A49" s="621" t="s">
        <v>2934</v>
      </c>
      <c r="B49" s="622"/>
      <c r="C49" s="2636">
        <f>R49</f>
        <v>6714</v>
      </c>
      <c r="D49" s="2636"/>
      <c r="E49" s="2636"/>
      <c r="F49" s="2636"/>
      <c r="G49" s="2636"/>
      <c r="H49" s="2636"/>
      <c r="I49" s="2636"/>
      <c r="J49" s="2636"/>
      <c r="K49" s="1609"/>
      <c r="L49" s="2144"/>
      <c r="M49" s="2145"/>
      <c r="N49" s="2145"/>
      <c r="O49" s="2145"/>
      <c r="P49" s="3372" t="str">
        <f>A49</f>
        <v>估价对象XX用房的比较价格（楼面单价，元/平方米）</v>
      </c>
      <c r="Q49" s="3373"/>
      <c r="R49" s="3488">
        <f>IF(F1="售价",ROUND(AVERAGE(R48:V48),0),ROUND(AVERAGE(R48:V48),1))</f>
        <v>6714</v>
      </c>
      <c r="S49" s="3488"/>
      <c r="T49" s="3488"/>
      <c r="U49" s="3488"/>
      <c r="V49" s="3488"/>
      <c r="W49" s="348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4.99475026248688E-2</v>
      </c>
      <c r="F52" s="627" t="str">
        <f>IF(OR(E52&gt;=0.3,E52&lt;=-0.3),"超过30%","")</f>
        <v/>
      </c>
      <c r="G52" s="626">
        <f>IF(G47&lt;G48,G48/G47-1,G47/G48-1)</f>
        <v>8.1568273997296048E-2</v>
      </c>
      <c r="H52" s="627" t="str">
        <f>IF(OR(G52&gt;=0.3,G52&lt;=-0.3),"超过30%","")</f>
        <v/>
      </c>
      <c r="I52" s="626">
        <f>IF(I47&lt;I48,I48/I47-1,I47/I48-1)</f>
        <v>2.4999999999999467E-3</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1.5021781583295368E-3</v>
      </c>
      <c r="F53" s="627" t="str">
        <f>IF(OR(E53&gt;=0.2,E53&lt;=-0.2),"超过20%","")</f>
        <v/>
      </c>
      <c r="G53" s="626">
        <f>IF(G48&lt;I48,I48/G48-1,G48/I48-1)</f>
        <v>2.4034850533273255E-2</v>
      </c>
      <c r="H53" s="627" t="str">
        <f>IF(OR(G53&gt;=0.2,G53&lt;=-0.2),"超过20%","")</f>
        <v/>
      </c>
      <c r="I53" s="626">
        <f>IF(I48&lt;E48,E48/I48-1,I48/E48-1)</f>
        <v>2.2498875056247147E-2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2.857142857142847E-2</v>
      </c>
      <c r="F54" s="627" t="str">
        <f>IF(OR(E54&gt;=0.3,E54&lt;=-0.3),"超过30%","")</f>
        <v/>
      </c>
      <c r="G54" s="626">
        <f>IF(G47&lt;I47,I47/G47-1,G47/I47-1)</f>
        <v>5.8823529411764719E-2</v>
      </c>
      <c r="H54" s="627" t="str">
        <f>IF(OR(G54&gt;=0.3,G54&lt;=-0.3),"超过30%","")</f>
        <v/>
      </c>
      <c r="I54" s="626">
        <f>IF(I47&lt;E47,E47/I47-1,I47/E47-1)</f>
        <v>2.9411764705882248E-2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76" t="s">
        <v>3000</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8.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8" t="s">
        <v>3021</v>
      </c>
      <c r="D100" s="3178" t="s">
        <v>3020</v>
      </c>
      <c r="E100" s="3178" t="s">
        <v>3022</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92">
        <v>99</v>
      </c>
      <c r="E104" s="692">
        <v>98</v>
      </c>
      <c r="F104" s="692">
        <v>97</v>
      </c>
      <c r="G104" s="692">
        <v>96</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3017</v>
      </c>
      <c r="D105" s="3180" t="s">
        <v>3018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9" t="s">
        <v>3012</v>
      </c>
      <c r="D107" s="3179" t="s">
        <v>3013</v>
      </c>
      <c r="E107" s="3179" t="s">
        <v>3014</v>
      </c>
      <c r="F107" s="3179" t="s">
        <v>3015</v>
      </c>
      <c r="G107" s="3179" t="s">
        <v>3016</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3006</v>
      </c>
      <c r="D109" s="3180" t="s">
        <v>3007</v>
      </c>
      <c r="E109" s="3180" t="s">
        <v>3004</v>
      </c>
      <c r="F109" s="3179" t="s">
        <v>3023</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3010</v>
      </c>
      <c r="D114" s="3180" t="s">
        <v>3011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2558</v>
      </c>
      <c r="C116" s="3180" t="s">
        <v>3024</v>
      </c>
      <c r="D116" s="3180" t="s">
        <v>3025</v>
      </c>
      <c r="E116" s="3180" t="s">
        <v>3026</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3006</v>
      </c>
      <c r="D122" s="3180" t="s">
        <v>3007</v>
      </c>
      <c r="E122" s="3180" t="s">
        <v>3004</v>
      </c>
      <c r="F122" s="3179" t="s">
        <v>3008</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2260</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2261</v>
      </c>
      <c r="C137" s="1921"/>
      <c r="D137" s="1921"/>
      <c r="E137" s="1921"/>
      <c r="F137" s="1921"/>
      <c r="G137" s="1922"/>
      <c r="H137" s="1923"/>
      <c r="I137" s="1924" t="s">
        <v>2262</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2263</v>
      </c>
      <c r="D138" s="1927" t="s">
        <v>2264</v>
      </c>
      <c r="E138" s="1928" t="s">
        <v>2265</v>
      </c>
      <c r="F138" s="1929" t="s">
        <v>2266</v>
      </c>
      <c r="G138" s="1927" t="s">
        <v>2267</v>
      </c>
      <c r="H138" s="1930" t="s">
        <v>2268</v>
      </c>
      <c r="I138" s="1931"/>
      <c r="J138" s="1927" t="s">
        <v>2269</v>
      </c>
      <c r="K138" s="1930"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2271</v>
      </c>
      <c r="E139" s="1901">
        <v>100</v>
      </c>
      <c r="F139" s="1902">
        <v>102.5</v>
      </c>
      <c r="G139" s="1932" t="s">
        <v>2272</v>
      </c>
      <c r="H139" s="1903">
        <v>105</v>
      </c>
      <c r="I139" s="1933" t="s">
        <v>2273</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2274</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2275</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2276</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2277</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2278</v>
      </c>
      <c r="E144" s="1907">
        <v>102</v>
      </c>
      <c r="F144" s="1913">
        <v>100</v>
      </c>
      <c r="G144" s="1936" t="s">
        <v>2278</v>
      </c>
      <c r="H144" s="1909">
        <v>105</v>
      </c>
      <c r="I144" s="1935" t="s">
        <v>2277</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#N/A</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81" t="s">
        <v>522</v>
      </c>
      <c r="D4" s="3382"/>
      <c r="E4" s="3416" t="s">
        <v>523</v>
      </c>
      <c r="F4" s="3417"/>
      <c r="G4" s="3381" t="s">
        <v>524</v>
      </c>
      <c r="H4" s="3382"/>
      <c r="I4" s="3381" t="s">
        <v>525</v>
      </c>
      <c r="J4" s="3382"/>
      <c r="K4" s="514" t="s">
        <v>526</v>
      </c>
      <c r="L4" s="2133"/>
      <c r="M4" s="2134"/>
      <c r="N4" s="2134"/>
      <c r="O4" s="2134"/>
      <c r="P4" s="3383" t="s">
        <v>527</v>
      </c>
      <c r="Q4" s="3384"/>
      <c r="R4" s="3389" t="s">
        <v>523</v>
      </c>
      <c r="S4" s="3390"/>
      <c r="T4" s="3389" t="s">
        <v>524</v>
      </c>
      <c r="U4" s="3390"/>
      <c r="V4" s="3376" t="s">
        <v>525</v>
      </c>
      <c r="W4" s="3376"/>
      <c r="X4" s="1568"/>
      <c r="Y4" s="3389" t="s">
        <v>527</v>
      </c>
      <c r="Z4" s="3390"/>
      <c r="AA4" s="3378" t="s">
        <v>523</v>
      </c>
      <c r="AB4" s="3376" t="s">
        <v>524</v>
      </c>
      <c r="AC4" s="3378" t="s">
        <v>525</v>
      </c>
    </row>
    <row r="5" spans="1:29" ht="15">
      <c r="A5" s="515"/>
      <c r="B5" s="516"/>
      <c r="C5" s="3413" t="s">
        <v>2928</v>
      </c>
      <c r="D5" s="3398"/>
      <c r="E5" s="3418" t="s">
        <v>2929</v>
      </c>
      <c r="F5" s="3419"/>
      <c r="G5" s="3413" t="s">
        <v>2930</v>
      </c>
      <c r="H5" s="3398"/>
      <c r="I5" s="3413" t="s">
        <v>2931</v>
      </c>
      <c r="J5" s="3398"/>
      <c r="K5" s="514"/>
      <c r="L5" s="2133"/>
      <c r="M5" s="2134"/>
      <c r="N5" s="2134"/>
      <c r="O5" s="2134"/>
      <c r="P5" s="3385"/>
      <c r="Q5" s="3386"/>
      <c r="R5" s="3391"/>
      <c r="S5" s="3392"/>
      <c r="T5" s="3391"/>
      <c r="U5" s="3392"/>
      <c r="V5" s="3376"/>
      <c r="W5" s="3376"/>
      <c r="X5" s="1568"/>
      <c r="Y5" s="3391"/>
      <c r="Z5" s="3392"/>
      <c r="AA5" s="3379"/>
      <c r="AB5" s="3376"/>
      <c r="AC5" s="3379"/>
    </row>
    <row r="6" spans="1:29" ht="15.75" thickBot="1">
      <c r="A6" s="517"/>
      <c r="B6" s="518"/>
      <c r="C6" s="3395" t="s">
        <v>2932</v>
      </c>
      <c r="D6" s="3396"/>
      <c r="E6" s="3414" t="s">
        <v>2932</v>
      </c>
      <c r="F6" s="3415"/>
      <c r="G6" s="3395" t="s">
        <v>2932</v>
      </c>
      <c r="H6" s="3396"/>
      <c r="I6" s="3395" t="s">
        <v>2932</v>
      </c>
      <c r="J6" s="3396"/>
      <c r="K6" s="514" t="s">
        <v>528</v>
      </c>
      <c r="L6" s="2133"/>
      <c r="M6" s="2134"/>
      <c r="N6" s="2134"/>
      <c r="O6" s="2134"/>
      <c r="P6" s="3387"/>
      <c r="Q6" s="3388"/>
      <c r="R6" s="3391"/>
      <c r="S6" s="3392"/>
      <c r="T6" s="3393"/>
      <c r="U6" s="3394"/>
      <c r="V6" s="3376"/>
      <c r="W6" s="3376"/>
      <c r="X6" s="1568"/>
      <c r="Y6" s="3393"/>
      <c r="Z6" s="3394"/>
      <c r="AA6" s="3380"/>
      <c r="AB6" s="3376"/>
      <c r="AC6" s="3380"/>
    </row>
    <row r="7" spans="1:29" s="1220" customFormat="1" ht="15.75" thickBot="1">
      <c r="A7" s="2912"/>
      <c r="B7" s="2919" t="s">
        <v>529</v>
      </c>
      <c r="C7" s="519">
        <f>'数据-取费表'!B2</f>
        <v>43418</v>
      </c>
      <c r="D7" s="520">
        <v>100</v>
      </c>
      <c r="E7" s="521">
        <f>C7</f>
        <v>43418</v>
      </c>
      <c r="F7" s="522">
        <f>SUMIF(58:58,YEAR(E7)&amp;"-"&amp;MONTH(E7),59:59)</f>
        <v>100</v>
      </c>
      <c r="G7" s="521">
        <f>C7</f>
        <v>43418</v>
      </c>
      <c r="H7" s="520">
        <f>SUMIF(58:58,YEAR(G7)&amp;"-"&amp;MONTH(G7),59:59)</f>
        <v>100</v>
      </c>
      <c r="I7" s="521">
        <f>C7</f>
        <v>43418</v>
      </c>
      <c r="J7" s="520">
        <f>SUMIF(58:58,YEAR(I7)&amp;"-"&amp;MONTH(I7),59:59)</f>
        <v>100</v>
      </c>
      <c r="K7" s="524"/>
      <c r="L7" s="2135"/>
      <c r="M7" s="2136"/>
      <c r="N7" s="2136"/>
      <c r="O7" s="2136"/>
      <c r="P7" s="3406" t="s">
        <v>530</v>
      </c>
      <c r="Q7" s="3408"/>
      <c r="R7" s="1569" t="s">
        <v>8</v>
      </c>
      <c r="S7" s="1570">
        <f t="shared" ref="S7:S15" si="0">F7</f>
        <v>100</v>
      </c>
      <c r="T7" s="1569" t="s">
        <v>8</v>
      </c>
      <c r="U7" s="1570">
        <f t="shared" ref="U7:U15" si="1">H7</f>
        <v>100</v>
      </c>
      <c r="V7" s="1569" t="s">
        <v>8</v>
      </c>
      <c r="W7" s="1570">
        <f t="shared" ref="W7:W15" si="2">J7</f>
        <v>100</v>
      </c>
      <c r="X7" s="1571"/>
      <c r="Y7" s="3406" t="s">
        <v>530</v>
      </c>
      <c r="Z7" s="3407"/>
      <c r="AA7" s="1572">
        <f>D7/F7</f>
        <v>1</v>
      </c>
      <c r="AB7" s="1572">
        <f>D7/H7</f>
        <v>1</v>
      </c>
      <c r="AC7" s="1572">
        <f>D7/J7</f>
        <v>1</v>
      </c>
    </row>
    <row r="8" spans="1:29" s="1220" customFormat="1" ht="15.75" thickBot="1">
      <c r="A8" s="2913"/>
      <c r="B8" s="2920" t="s">
        <v>531</v>
      </c>
      <c r="C8" s="525" t="s">
        <v>576</v>
      </c>
      <c r="D8" s="520">
        <v>100</v>
      </c>
      <c r="E8" s="525" t="s">
        <v>2999</v>
      </c>
      <c r="F8" s="522">
        <f>SUMIF(61:61,E8,62:62)-SUMIF(61:61,C8,62:62)+100</f>
        <v>100</v>
      </c>
      <c r="G8" s="525" t="s">
        <v>2999</v>
      </c>
      <c r="H8" s="520">
        <f>SUMIF(61:61,G8,62:62)-SUMIF(61:61,C8,62:62)+100</f>
        <v>100</v>
      </c>
      <c r="I8" s="525" t="s">
        <v>2999</v>
      </c>
      <c r="J8" s="520">
        <f>SUMIF(61:61,I8,62:62)-SUMIF(61:61,C8,62:62)+100</f>
        <v>100</v>
      </c>
      <c r="K8" s="524"/>
      <c r="L8" s="2135"/>
      <c r="M8" s="2136"/>
      <c r="N8" s="2136"/>
      <c r="O8" s="2136"/>
      <c r="P8" s="3406" t="s">
        <v>533</v>
      </c>
      <c r="Q8" s="3407"/>
      <c r="R8" s="1569" t="s">
        <v>8</v>
      </c>
      <c r="S8" s="1570">
        <f t="shared" si="0"/>
        <v>100</v>
      </c>
      <c r="T8" s="1569" t="s">
        <v>8</v>
      </c>
      <c r="U8" s="1570">
        <f t="shared" si="1"/>
        <v>100</v>
      </c>
      <c r="V8" s="1569" t="s">
        <v>8</v>
      </c>
      <c r="W8" s="1570">
        <f t="shared" si="2"/>
        <v>100</v>
      </c>
      <c r="X8" s="1571"/>
      <c r="Y8" s="3406" t="s">
        <v>533</v>
      </c>
      <c r="Z8" s="3407"/>
      <c r="AA8" s="1572">
        <f t="shared" ref="AA8:AA46" si="3">D8/F8</f>
        <v>1</v>
      </c>
      <c r="AB8" s="1572">
        <f t="shared" ref="AB8:AB46" si="4">D8/H8</f>
        <v>1</v>
      </c>
      <c r="AC8" s="1572">
        <f t="shared" ref="AC8:AC46" si="5">D8/J8</f>
        <v>1</v>
      </c>
    </row>
    <row r="9" spans="1:29" s="1220"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75"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75"/>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75"/>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910"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09" t="s">
        <v>540</v>
      </c>
      <c r="Q15" s="1573" t="str">
        <f t="shared" si="6"/>
        <v>商业繁华度</v>
      </c>
      <c r="R15" s="1574" t="s">
        <v>8</v>
      </c>
      <c r="S15" s="1575">
        <f t="shared" si="0"/>
        <v>100</v>
      </c>
      <c r="T15" s="1574" t="s">
        <v>8</v>
      </c>
      <c r="U15" s="1575">
        <f t="shared" si="1"/>
        <v>100</v>
      </c>
      <c r="V15" s="1574" t="s">
        <v>8</v>
      </c>
      <c r="W15" s="1575">
        <f t="shared" si="2"/>
        <v>100</v>
      </c>
      <c r="X15" s="1568"/>
      <c r="Y15" s="340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10"/>
      <c r="Q16" s="1573"/>
      <c r="R16" s="1574"/>
      <c r="S16" s="1575"/>
      <c r="T16" s="1574"/>
      <c r="U16" s="1575"/>
      <c r="V16" s="1574"/>
      <c r="W16" s="1575"/>
      <c r="X16" s="1568"/>
      <c r="Y16" s="341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10"/>
      <c r="Q17" s="1573" t="str">
        <f>B17</f>
        <v>交通便捷度</v>
      </c>
      <c r="R17" s="1574" t="s">
        <v>8</v>
      </c>
      <c r="S17" s="1575">
        <f>F17</f>
        <v>100</v>
      </c>
      <c r="T17" s="1574" t="s">
        <v>8</v>
      </c>
      <c r="U17" s="1575">
        <f>H17</f>
        <v>100</v>
      </c>
      <c r="V17" s="1574" t="s">
        <v>8</v>
      </c>
      <c r="W17" s="1575">
        <f>J17</f>
        <v>100</v>
      </c>
      <c r="X17" s="1568"/>
      <c r="Y17" s="34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10"/>
      <c r="Q18" s="1573"/>
      <c r="R18" s="1574"/>
      <c r="S18" s="1575"/>
      <c r="T18" s="1574"/>
      <c r="U18" s="1575"/>
      <c r="V18" s="1574"/>
      <c r="W18" s="1575"/>
      <c r="X18" s="1568"/>
      <c r="Y18" s="3410"/>
      <c r="Z18" s="1576"/>
      <c r="AA18" s="1577">
        <v>1</v>
      </c>
      <c r="AB18" s="1577">
        <v>1</v>
      </c>
      <c r="AC18" s="1577">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10"/>
      <c r="Q19" s="1573" t="str">
        <f>B19</f>
        <v>公共配套设施</v>
      </c>
      <c r="R19" s="1574" t="s">
        <v>8</v>
      </c>
      <c r="S19" s="1575">
        <f>F19</f>
        <v>100</v>
      </c>
      <c r="T19" s="1574" t="s">
        <v>8</v>
      </c>
      <c r="U19" s="1575">
        <f>H19</f>
        <v>100</v>
      </c>
      <c r="V19" s="1574" t="s">
        <v>8</v>
      </c>
      <c r="W19" s="1575">
        <f>J19</f>
        <v>100</v>
      </c>
      <c r="X19" s="1568"/>
      <c r="Y19" s="341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10"/>
      <c r="Q20" s="1573"/>
      <c r="R20" s="1574"/>
      <c r="S20" s="1575"/>
      <c r="T20" s="1574"/>
      <c r="U20" s="1575"/>
      <c r="V20" s="1574"/>
      <c r="W20" s="1575"/>
      <c r="X20" s="1568"/>
      <c r="Y20" s="3410"/>
      <c r="Z20" s="1576"/>
      <c r="AA20" s="1577">
        <v>1</v>
      </c>
      <c r="AB20" s="1577">
        <v>1</v>
      </c>
      <c r="AC20" s="1577">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10"/>
      <c r="Q21" s="2579" t="str">
        <f>B21</f>
        <v>基础设施水平</v>
      </c>
      <c r="R21" s="1574" t="s">
        <v>8</v>
      </c>
      <c r="S21" s="1575">
        <f>F21</f>
        <v>100</v>
      </c>
      <c r="T21" s="1574" t="s">
        <v>8</v>
      </c>
      <c r="U21" s="1575">
        <f>H21</f>
        <v>100</v>
      </c>
      <c r="V21" s="1574" t="s">
        <v>8</v>
      </c>
      <c r="W21" s="1575">
        <f>J21</f>
        <v>100</v>
      </c>
      <c r="X21" s="2581"/>
      <c r="Y21" s="3410"/>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410"/>
      <c r="Q22" s="2579"/>
      <c r="R22" s="1574"/>
      <c r="S22" s="1575"/>
      <c r="T22" s="1574"/>
      <c r="U22" s="1575"/>
      <c r="V22" s="1574"/>
      <c r="W22" s="1575"/>
      <c r="X22" s="2581"/>
      <c r="Y22" s="3410"/>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10"/>
      <c r="Q23" s="1573" t="str">
        <f>B23</f>
        <v>自然及人文环境</v>
      </c>
      <c r="R23" s="1574" t="s">
        <v>8</v>
      </c>
      <c r="S23" s="1575">
        <f>F23</f>
        <v>100</v>
      </c>
      <c r="T23" s="1574" t="s">
        <v>8</v>
      </c>
      <c r="U23" s="1575">
        <f>H23</f>
        <v>100</v>
      </c>
      <c r="V23" s="1574" t="s">
        <v>8</v>
      </c>
      <c r="W23" s="1575">
        <f>J23</f>
        <v>100</v>
      </c>
      <c r="X23" s="1568"/>
      <c r="Y23" s="341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10"/>
      <c r="Q24" s="1573"/>
      <c r="R24" s="1574"/>
      <c r="S24" s="1575"/>
      <c r="T24" s="1574"/>
      <c r="U24" s="1575"/>
      <c r="V24" s="1574"/>
      <c r="W24" s="1575"/>
      <c r="X24" s="1568"/>
      <c r="Y24" s="341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10"/>
      <c r="Q25" s="1573" t="str">
        <f t="shared" ref="Q25:Q46" si="11">B25</f>
        <v>临街状况</v>
      </c>
      <c r="R25" s="1574" t="s">
        <v>8</v>
      </c>
      <c r="S25" s="1575">
        <f>F25</f>
        <v>100</v>
      </c>
      <c r="T25" s="1574" t="s">
        <v>8</v>
      </c>
      <c r="U25" s="1575">
        <f>H25</f>
        <v>100</v>
      </c>
      <c r="V25" s="1574" t="s">
        <v>8</v>
      </c>
      <c r="W25" s="1575">
        <f>J25</f>
        <v>100</v>
      </c>
      <c r="X25" s="1568"/>
      <c r="Y25" s="341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10"/>
      <c r="Q26" s="1573" t="str">
        <f t="shared" si="11"/>
        <v>平面位置/可视性</v>
      </c>
      <c r="R26" s="1574" t="s">
        <v>8</v>
      </c>
      <c r="S26" s="1575">
        <f>F26</f>
        <v>100</v>
      </c>
      <c r="T26" s="1574" t="s">
        <v>8</v>
      </c>
      <c r="U26" s="1575">
        <f>H26</f>
        <v>100</v>
      </c>
      <c r="V26" s="1574" t="s">
        <v>8</v>
      </c>
      <c r="W26" s="1575">
        <f>J26</f>
        <v>100</v>
      </c>
      <c r="X26" s="1568"/>
      <c r="Y26" s="341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10"/>
      <c r="Q27" s="1151" t="str">
        <f t="shared" si="11"/>
        <v>人流量</v>
      </c>
      <c r="R27" s="1569" t="s">
        <v>8</v>
      </c>
      <c r="S27" s="1570">
        <f>F27</f>
        <v>100</v>
      </c>
      <c r="T27" s="1569" t="s">
        <v>8</v>
      </c>
      <c r="U27" s="1570">
        <f>H27</f>
        <v>100</v>
      </c>
      <c r="V27" s="1569" t="s">
        <v>8</v>
      </c>
      <c r="W27" s="1570">
        <f>J27</f>
        <v>100</v>
      </c>
      <c r="X27" s="1571"/>
      <c r="Y27" s="341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1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0"/>
      <c r="Q29" s="1573">
        <f t="shared" si="11"/>
        <v>111</v>
      </c>
      <c r="R29" s="1574" t="s">
        <v>8</v>
      </c>
      <c r="S29" s="1575">
        <f t="shared" si="12"/>
        <v>100</v>
      </c>
      <c r="T29" s="1574" t="s">
        <v>8</v>
      </c>
      <c r="U29" s="1575">
        <f t="shared" si="13"/>
        <v>100</v>
      </c>
      <c r="V29" s="1574" t="s">
        <v>8</v>
      </c>
      <c r="W29" s="1575">
        <f t="shared" si="14"/>
        <v>100</v>
      </c>
      <c r="X29" s="1568"/>
      <c r="Y29" s="341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0"/>
      <c r="Q30" s="1573">
        <f t="shared" si="11"/>
        <v>111</v>
      </c>
      <c r="R30" s="1574" t="s">
        <v>8</v>
      </c>
      <c r="S30" s="1575">
        <f t="shared" si="12"/>
        <v>100</v>
      </c>
      <c r="T30" s="1574" t="s">
        <v>8</v>
      </c>
      <c r="U30" s="1575">
        <f t="shared" si="13"/>
        <v>100</v>
      </c>
      <c r="V30" s="1574" t="s">
        <v>8</v>
      </c>
      <c r="W30" s="1575">
        <f t="shared" si="14"/>
        <v>100</v>
      </c>
      <c r="X30" s="1568"/>
      <c r="Y30" s="341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0"/>
      <c r="Q31" s="1573">
        <f t="shared" si="11"/>
        <v>111</v>
      </c>
      <c r="R31" s="1574" t="s">
        <v>8</v>
      </c>
      <c r="S31" s="1575">
        <f t="shared" si="12"/>
        <v>100</v>
      </c>
      <c r="T31" s="1574" t="s">
        <v>8</v>
      </c>
      <c r="U31" s="1575">
        <f t="shared" si="13"/>
        <v>100</v>
      </c>
      <c r="V31" s="1574" t="s">
        <v>8</v>
      </c>
      <c r="W31" s="1575">
        <f t="shared" si="14"/>
        <v>100</v>
      </c>
      <c r="X31" s="1568"/>
      <c r="Y31" s="3410"/>
      <c r="Z31" s="1576">
        <f t="shared" si="15"/>
        <v>111</v>
      </c>
      <c r="AA31" s="1577">
        <f t="shared" si="3"/>
        <v>1</v>
      </c>
      <c r="AB31" s="1577">
        <f t="shared" si="4"/>
        <v>1</v>
      </c>
      <c r="AC31" s="1577">
        <f t="shared" si="5"/>
        <v>1</v>
      </c>
    </row>
    <row r="32" spans="1:29" ht="15">
      <c r="A32" s="2907"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11" t="s">
        <v>550</v>
      </c>
      <c r="Q32" s="1573" t="str">
        <f t="shared" si="11"/>
        <v>商业类型</v>
      </c>
      <c r="R32" s="1574" t="s">
        <v>8</v>
      </c>
      <c r="S32" s="1575">
        <f t="shared" si="12"/>
        <v>100</v>
      </c>
      <c r="T32" s="1574" t="s">
        <v>8</v>
      </c>
      <c r="U32" s="1575">
        <f t="shared" si="13"/>
        <v>100</v>
      </c>
      <c r="V32" s="1574" t="s">
        <v>8</v>
      </c>
      <c r="W32" s="1575">
        <f t="shared" si="14"/>
        <v>100</v>
      </c>
      <c r="X32" s="1568"/>
      <c r="Y32" s="341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12"/>
      <c r="Q33" s="1606" t="str">
        <f t="shared" si="11"/>
        <v>项目建筑规模</v>
      </c>
      <c r="R33" s="1578" t="s">
        <v>8</v>
      </c>
      <c r="S33" s="1579" t="e">
        <f t="shared" si="12"/>
        <v>#N/A</v>
      </c>
      <c r="T33" s="1578" t="s">
        <v>8</v>
      </c>
      <c r="U33" s="1579" t="e">
        <f t="shared" si="13"/>
        <v>#N/A</v>
      </c>
      <c r="V33" s="1578" t="s">
        <v>8</v>
      </c>
      <c r="W33" s="1579" t="e">
        <f t="shared" si="14"/>
        <v>#N/A</v>
      </c>
      <c r="X33" s="1580"/>
      <c r="Y33" s="341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12"/>
      <c r="Q34" s="1573" t="str">
        <f t="shared" si="11"/>
        <v>建筑结构</v>
      </c>
      <c r="R34" s="1574" t="s">
        <v>8</v>
      </c>
      <c r="S34" s="1575">
        <f t="shared" si="12"/>
        <v>100</v>
      </c>
      <c r="T34" s="1574" t="s">
        <v>8</v>
      </c>
      <c r="U34" s="1575">
        <f t="shared" si="13"/>
        <v>100</v>
      </c>
      <c r="V34" s="1574" t="s">
        <v>8</v>
      </c>
      <c r="W34" s="1575">
        <f t="shared" si="14"/>
        <v>100</v>
      </c>
      <c r="X34" s="1568"/>
      <c r="Y34" s="341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12"/>
      <c r="Q35" s="1573" t="str">
        <f t="shared" si="11"/>
        <v>公共部分装修</v>
      </c>
      <c r="R35" s="1574" t="s">
        <v>8</v>
      </c>
      <c r="S35" s="1575">
        <f t="shared" si="12"/>
        <v>100</v>
      </c>
      <c r="T35" s="1574" t="s">
        <v>8</v>
      </c>
      <c r="U35" s="1575">
        <f t="shared" si="13"/>
        <v>100</v>
      </c>
      <c r="V35" s="1574" t="s">
        <v>8</v>
      </c>
      <c r="W35" s="1575">
        <f t="shared" si="14"/>
        <v>100</v>
      </c>
      <c r="X35" s="1568"/>
      <c r="Y35" s="341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12"/>
      <c r="Q36" s="1573" t="str">
        <f t="shared" si="11"/>
        <v>成新度</v>
      </c>
      <c r="R36" s="1574" t="s">
        <v>8</v>
      </c>
      <c r="S36" s="1575" t="e">
        <f t="shared" si="12"/>
        <v>#N/A</v>
      </c>
      <c r="T36" s="1574" t="s">
        <v>8</v>
      </c>
      <c r="U36" s="1575" t="e">
        <f t="shared" si="13"/>
        <v>#N/A</v>
      </c>
      <c r="V36" s="1574" t="s">
        <v>8</v>
      </c>
      <c r="W36" s="1575" t="e">
        <f t="shared" si="14"/>
        <v>#N/A</v>
      </c>
      <c r="X36" s="1568"/>
      <c r="Y36" s="3412"/>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12"/>
      <c r="Q37" s="1151" t="str">
        <f t="shared" si="11"/>
        <v>市政基础设施</v>
      </c>
      <c r="R37" s="1569" t="s">
        <v>8</v>
      </c>
      <c r="S37" s="1570">
        <f t="shared" si="12"/>
        <v>100</v>
      </c>
      <c r="T37" s="1569" t="s">
        <v>8</v>
      </c>
      <c r="U37" s="1570">
        <f t="shared" si="13"/>
        <v>100</v>
      </c>
      <c r="V37" s="1569" t="s">
        <v>8</v>
      </c>
      <c r="W37" s="1570">
        <f t="shared" si="14"/>
        <v>100</v>
      </c>
      <c r="X37" s="1571"/>
      <c r="Y37" s="341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12" t="s">
        <v>766</v>
      </c>
      <c r="Q38" s="1573" t="str">
        <f t="shared" si="11"/>
        <v>业态</v>
      </c>
      <c r="R38" s="1574" t="s">
        <v>8</v>
      </c>
      <c r="S38" s="1575">
        <f t="shared" si="12"/>
        <v>100</v>
      </c>
      <c r="T38" s="1574" t="s">
        <v>8</v>
      </c>
      <c r="U38" s="1575">
        <f t="shared" si="13"/>
        <v>100</v>
      </c>
      <c r="V38" s="1574" t="s">
        <v>8</v>
      </c>
      <c r="W38" s="1575">
        <f t="shared" si="14"/>
        <v>100</v>
      </c>
      <c r="X38" s="1568"/>
      <c r="Y38" s="341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2"/>
      <c r="Q39" s="1573" t="str">
        <f t="shared" si="11"/>
        <v>层高</v>
      </c>
      <c r="R39" s="1574" t="s">
        <v>8</v>
      </c>
      <c r="S39" s="1575">
        <f t="shared" si="12"/>
        <v>100</v>
      </c>
      <c r="T39" s="1574" t="s">
        <v>8</v>
      </c>
      <c r="U39" s="1575">
        <f t="shared" si="13"/>
        <v>100</v>
      </c>
      <c r="V39" s="1574" t="s">
        <v>8</v>
      </c>
      <c r="W39" s="1575">
        <f t="shared" si="14"/>
        <v>100</v>
      </c>
      <c r="X39" s="1568"/>
      <c r="Y39" s="341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2"/>
      <c r="Q40" s="1573" t="str">
        <f t="shared" si="11"/>
        <v>单套建筑面积</v>
      </c>
      <c r="R40" s="1574" t="s">
        <v>8</v>
      </c>
      <c r="S40" s="1575">
        <f t="shared" si="12"/>
        <v>100</v>
      </c>
      <c r="T40" s="1574" t="s">
        <v>8</v>
      </c>
      <c r="U40" s="1575">
        <f t="shared" si="13"/>
        <v>100</v>
      </c>
      <c r="V40" s="1574" t="s">
        <v>8</v>
      </c>
      <c r="W40" s="1575">
        <f t="shared" si="14"/>
        <v>100</v>
      </c>
      <c r="X40" s="1568"/>
      <c r="Y40" s="341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12"/>
      <c r="Q41" s="1606" t="str">
        <f t="shared" si="11"/>
        <v>进深比</v>
      </c>
      <c r="R41" s="1578" t="s">
        <v>8</v>
      </c>
      <c r="S41" s="1579">
        <f t="shared" si="12"/>
        <v>100</v>
      </c>
      <c r="T41" s="1578" t="s">
        <v>8</v>
      </c>
      <c r="U41" s="1579">
        <f t="shared" si="13"/>
        <v>100</v>
      </c>
      <c r="V41" s="1578" t="s">
        <v>8</v>
      </c>
      <c r="W41" s="1579">
        <f t="shared" si="14"/>
        <v>100</v>
      </c>
      <c r="X41" s="1580"/>
      <c r="Y41" s="341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12"/>
      <c r="Q42" s="1573" t="str">
        <f t="shared" si="11"/>
        <v>内部装修</v>
      </c>
      <c r="R42" s="1574" t="s">
        <v>8</v>
      </c>
      <c r="S42" s="1575">
        <f t="shared" si="12"/>
        <v>100</v>
      </c>
      <c r="T42" s="1574" t="s">
        <v>8</v>
      </c>
      <c r="U42" s="1575">
        <f t="shared" si="13"/>
        <v>100</v>
      </c>
      <c r="V42" s="1574" t="s">
        <v>8</v>
      </c>
      <c r="W42" s="1575">
        <f t="shared" si="14"/>
        <v>100</v>
      </c>
      <c r="X42" s="1568"/>
      <c r="Y42" s="341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12"/>
      <c r="Q43" s="1573" t="str">
        <f t="shared" si="11"/>
        <v>内部装修维护情况</v>
      </c>
      <c r="R43" s="1574" t="s">
        <v>8</v>
      </c>
      <c r="S43" s="1575">
        <f t="shared" si="12"/>
        <v>100</v>
      </c>
      <c r="T43" s="1574" t="s">
        <v>8</v>
      </c>
      <c r="U43" s="1575">
        <f t="shared" si="13"/>
        <v>100</v>
      </c>
      <c r="V43" s="1574" t="s">
        <v>8</v>
      </c>
      <c r="W43" s="1575">
        <f t="shared" si="14"/>
        <v>100</v>
      </c>
      <c r="X43" s="1568"/>
      <c r="Y43" s="341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2"/>
      <c r="Q44" s="1151">
        <f t="shared" si="11"/>
        <v>111</v>
      </c>
      <c r="R44" s="1569" t="s">
        <v>8</v>
      </c>
      <c r="S44" s="1570">
        <f t="shared" si="12"/>
        <v>100</v>
      </c>
      <c r="T44" s="1569" t="s">
        <v>8</v>
      </c>
      <c r="U44" s="1570">
        <f t="shared" si="13"/>
        <v>100</v>
      </c>
      <c r="V44" s="1569" t="s">
        <v>8</v>
      </c>
      <c r="W44" s="1570">
        <f t="shared" si="14"/>
        <v>100</v>
      </c>
      <c r="X44" s="1571"/>
      <c r="Y44" s="341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2"/>
      <c r="Q45" s="1573">
        <f t="shared" si="11"/>
        <v>111</v>
      </c>
      <c r="R45" s="1574" t="s">
        <v>8</v>
      </c>
      <c r="S45" s="1575">
        <f t="shared" si="12"/>
        <v>100</v>
      </c>
      <c r="T45" s="1574" t="s">
        <v>8</v>
      </c>
      <c r="U45" s="1575">
        <f t="shared" si="13"/>
        <v>100</v>
      </c>
      <c r="V45" s="1574" t="s">
        <v>8</v>
      </c>
      <c r="W45" s="1575">
        <f t="shared" si="14"/>
        <v>100</v>
      </c>
      <c r="X45" s="1568"/>
      <c r="Y45" s="341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90"/>
      <c r="Q46" s="1573">
        <f t="shared" si="11"/>
        <v>111</v>
      </c>
      <c r="R46" s="1574" t="s">
        <v>8</v>
      </c>
      <c r="S46" s="1575">
        <f t="shared" si="12"/>
        <v>100</v>
      </c>
      <c r="T46" s="1574" t="s">
        <v>8</v>
      </c>
      <c r="U46" s="1575">
        <f t="shared" si="13"/>
        <v>100</v>
      </c>
      <c r="V46" s="1574" t="s">
        <v>8</v>
      </c>
      <c r="W46" s="1575">
        <f t="shared" si="14"/>
        <v>100</v>
      </c>
      <c r="X46" s="1568"/>
      <c r="Y46" s="3490"/>
      <c r="Z46" s="1576">
        <f t="shared" si="15"/>
        <v>111</v>
      </c>
      <c r="AA46" s="1577">
        <f t="shared" si="3"/>
        <v>1</v>
      </c>
      <c r="AB46" s="1577">
        <f t="shared" si="4"/>
        <v>1</v>
      </c>
      <c r="AC46" s="1577">
        <f t="shared" si="5"/>
        <v>1</v>
      </c>
    </row>
    <row r="47" spans="1:29" ht="15">
      <c r="A47" s="607" t="s">
        <v>736</v>
      </c>
      <c r="B47" s="887"/>
      <c r="C47" s="2627" t="s">
        <v>1</v>
      </c>
      <c r="D47" s="2628"/>
      <c r="E47" s="2629">
        <v>25000</v>
      </c>
      <c r="F47" s="2630"/>
      <c r="G47" s="2631">
        <v>20000</v>
      </c>
      <c r="H47" s="2632"/>
      <c r="I47" s="2629">
        <v>15000</v>
      </c>
      <c r="J47" s="2632"/>
      <c r="K47" s="1612"/>
      <c r="L47" s="2144"/>
      <c r="M47" s="2145"/>
      <c r="N47" s="2134"/>
      <c r="O47" s="2145"/>
      <c r="P47" s="3375" t="str">
        <f>A47</f>
        <v>成交单价（元/平方米）</v>
      </c>
      <c r="Q47" s="3375"/>
      <c r="R47" s="3489">
        <f>E47</f>
        <v>25000</v>
      </c>
      <c r="S47" s="3489"/>
      <c r="T47" s="3489">
        <f>G47</f>
        <v>20000</v>
      </c>
      <c r="U47" s="3489"/>
      <c r="V47" s="3489">
        <f>I47</f>
        <v>15000</v>
      </c>
      <c r="W47" s="3489"/>
      <c r="X47" s="1560"/>
      <c r="Y47" s="1582"/>
      <c r="Z47" s="1560"/>
      <c r="AA47" s="1560"/>
      <c r="AB47" s="1560"/>
      <c r="AC47" s="1560"/>
    </row>
    <row r="48" spans="1:29" ht="15.75" thickBot="1">
      <c r="A48" s="615" t="s">
        <v>2762</v>
      </c>
      <c r="B48" s="888"/>
      <c r="C48" s="2633" t="e">
        <f>R49</f>
        <v>#N/A</v>
      </c>
      <c r="D48" s="2634"/>
      <c r="E48" s="2635" t="e">
        <f>R48</f>
        <v>#N/A</v>
      </c>
      <c r="F48" s="2635"/>
      <c r="G48" s="2633" t="e">
        <f>T48</f>
        <v>#N/A</v>
      </c>
      <c r="H48" s="2634"/>
      <c r="I48" s="2635" t="e">
        <f>V48</f>
        <v>#N/A</v>
      </c>
      <c r="J48" s="2634"/>
      <c r="K48" s="1613"/>
      <c r="L48" s="2144"/>
      <c r="M48" s="2145"/>
      <c r="N48" s="2134"/>
      <c r="O48" s="2145"/>
      <c r="P48" s="3375" t="str">
        <f>A48</f>
        <v>比较价格（元/平方米）</v>
      </c>
      <c r="Q48" s="3375"/>
      <c r="R48" s="3489" t="e">
        <f>IF(F1="售价",ROUND(PRODUCT(R47,AA7:AA46),0),ROUND(PRODUCT(R47,AA7:AA46),1))</f>
        <v>#N/A</v>
      </c>
      <c r="S48" s="3489"/>
      <c r="T48" s="3489" t="e">
        <f>IF(F1="售价",ROUND(PRODUCT(T47,AB7:AB46),0),ROUND(PRODUCT(T47,AB7:AB46),1))</f>
        <v>#N/A</v>
      </c>
      <c r="U48" s="3489"/>
      <c r="V48" s="3489" t="e">
        <f>IF(F1="售价",ROUND(PRODUCT(V47,AC7:AC46),0),ROUND(PRODUCT(V47,AC7:AC46),1))</f>
        <v>#N/A</v>
      </c>
      <c r="W48" s="3489"/>
      <c r="X48" s="1560"/>
      <c r="Y48" s="1560"/>
      <c r="Z48" s="1560"/>
      <c r="AA48" s="1560"/>
      <c r="AB48" s="1560"/>
      <c r="AC48" s="1560"/>
    </row>
    <row r="49" spans="1:29" ht="15.75" thickBot="1">
      <c r="A49" s="621" t="s">
        <v>2934</v>
      </c>
      <c r="B49" s="622"/>
      <c r="C49" s="2636" t="e">
        <f>R49</f>
        <v>#N/A</v>
      </c>
      <c r="D49" s="2636"/>
      <c r="E49" s="2636"/>
      <c r="F49" s="2636"/>
      <c r="G49" s="2636"/>
      <c r="H49" s="2636"/>
      <c r="I49" s="2636"/>
      <c r="J49" s="2636"/>
      <c r="K49" s="1614"/>
      <c r="L49" s="2144"/>
      <c r="M49" s="2145"/>
      <c r="N49" s="2134"/>
      <c r="O49" s="2145"/>
      <c r="P49" s="3372" t="str">
        <f>A49</f>
        <v>估价对象XX用房的比较价格（楼面单价，元/平方米）</v>
      </c>
      <c r="Q49" s="3373"/>
      <c r="R49" s="3488" t="e">
        <f>IF(F1="售价",ROUND(AVERAGE(R48:V48),0),ROUND(AVERAGE(R48:V48),1))</f>
        <v>#N/A</v>
      </c>
      <c r="S49" s="3488"/>
      <c r="T49" s="3488"/>
      <c r="U49" s="3488"/>
      <c r="V49" s="3488"/>
      <c r="W49" s="348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2018-11</v>
      </c>
      <c r="D58" s="2804">
        <f>EDATE(C58,-1)</f>
        <v>43374</v>
      </c>
      <c r="E58" s="2804">
        <f t="shared" ref="E58:O58" si="16">EDATE(D58,-1)</f>
        <v>43344</v>
      </c>
      <c r="F58" s="2804">
        <f t="shared" si="16"/>
        <v>43313</v>
      </c>
      <c r="G58" s="2804">
        <f t="shared" si="16"/>
        <v>43282</v>
      </c>
      <c r="H58" s="2804">
        <f t="shared" si="16"/>
        <v>43252</v>
      </c>
      <c r="I58" s="2804">
        <f t="shared" si="16"/>
        <v>43221</v>
      </c>
      <c r="J58" s="2804">
        <f t="shared" si="16"/>
        <v>43191</v>
      </c>
      <c r="K58" s="2804">
        <f t="shared" si="16"/>
        <v>43160</v>
      </c>
      <c r="L58" s="2804">
        <f t="shared" si="16"/>
        <v>43132</v>
      </c>
      <c r="M58" s="2804">
        <f t="shared" si="16"/>
        <v>43101</v>
      </c>
      <c r="N58" s="2804">
        <f t="shared" si="16"/>
        <v>43070</v>
      </c>
      <c r="O58" s="2804">
        <f t="shared" si="16"/>
        <v>43040</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2559</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81" t="s">
        <v>522</v>
      </c>
      <c r="D4" s="3382"/>
      <c r="E4" s="3416" t="s">
        <v>523</v>
      </c>
      <c r="F4" s="3417"/>
      <c r="G4" s="3381" t="s">
        <v>524</v>
      </c>
      <c r="H4" s="3382"/>
      <c r="I4" s="3381" t="s">
        <v>525</v>
      </c>
      <c r="J4" s="3382"/>
      <c r="K4" s="514" t="s">
        <v>526</v>
      </c>
      <c r="L4" s="2133"/>
      <c r="M4" s="2134"/>
      <c r="N4" s="2134"/>
      <c r="O4" s="2134"/>
      <c r="P4" s="3493" t="s">
        <v>527</v>
      </c>
      <c r="Q4" s="3384"/>
      <c r="R4" s="3389" t="s">
        <v>523</v>
      </c>
      <c r="S4" s="3390"/>
      <c r="T4" s="3389" t="s">
        <v>524</v>
      </c>
      <c r="U4" s="3390"/>
      <c r="V4" s="3376" t="s">
        <v>525</v>
      </c>
      <c r="W4" s="3376"/>
      <c r="X4" s="1568"/>
      <c r="Y4" s="3389" t="s">
        <v>527</v>
      </c>
      <c r="Z4" s="3390"/>
      <c r="AA4" s="3378" t="s">
        <v>523</v>
      </c>
      <c r="AB4" s="3378" t="s">
        <v>524</v>
      </c>
      <c r="AC4" s="3378" t="s">
        <v>525</v>
      </c>
    </row>
    <row r="5" spans="1:29" ht="15">
      <c r="A5" s="515"/>
      <c r="B5" s="516"/>
      <c r="C5" s="3413" t="s">
        <v>2928</v>
      </c>
      <c r="D5" s="3398"/>
      <c r="E5" s="3418" t="s">
        <v>2929</v>
      </c>
      <c r="F5" s="3419"/>
      <c r="G5" s="3413" t="s">
        <v>2930</v>
      </c>
      <c r="H5" s="3398"/>
      <c r="I5" s="3413" t="s">
        <v>2931</v>
      </c>
      <c r="J5" s="3398"/>
      <c r="K5" s="514"/>
      <c r="L5" s="2133"/>
      <c r="M5" s="2134"/>
      <c r="N5" s="2134"/>
      <c r="O5" s="2134"/>
      <c r="P5" s="3494"/>
      <c r="Q5" s="3386"/>
      <c r="R5" s="3391"/>
      <c r="S5" s="3392"/>
      <c r="T5" s="3391"/>
      <c r="U5" s="3392"/>
      <c r="V5" s="3376"/>
      <c r="W5" s="3376"/>
      <c r="X5" s="1568"/>
      <c r="Y5" s="3391"/>
      <c r="Z5" s="3392"/>
      <c r="AA5" s="3379"/>
      <c r="AB5" s="3379"/>
      <c r="AC5" s="3379"/>
    </row>
    <row r="6" spans="1:29" ht="15.75" thickBot="1">
      <c r="A6" s="517"/>
      <c r="B6" s="518"/>
      <c r="C6" s="3395" t="s">
        <v>2932</v>
      </c>
      <c r="D6" s="3396"/>
      <c r="E6" s="3414" t="s">
        <v>2932</v>
      </c>
      <c r="F6" s="3415"/>
      <c r="G6" s="3395" t="s">
        <v>2932</v>
      </c>
      <c r="H6" s="3396"/>
      <c r="I6" s="3395" t="s">
        <v>2932</v>
      </c>
      <c r="J6" s="3396"/>
      <c r="K6" s="514" t="s">
        <v>528</v>
      </c>
      <c r="L6" s="2133"/>
      <c r="M6" s="2134"/>
      <c r="N6" s="2134"/>
      <c r="O6" s="2134"/>
      <c r="P6" s="3495"/>
      <c r="Q6" s="3388"/>
      <c r="R6" s="3391"/>
      <c r="S6" s="3392"/>
      <c r="T6" s="3393"/>
      <c r="U6" s="3394"/>
      <c r="V6" s="3376"/>
      <c r="W6" s="3376"/>
      <c r="X6" s="1568"/>
      <c r="Y6" s="3393"/>
      <c r="Z6" s="3394"/>
      <c r="AA6" s="3380"/>
      <c r="AB6" s="3380"/>
      <c r="AC6" s="3380"/>
    </row>
    <row r="7" spans="1:29" s="1220" customFormat="1" ht="15.75" thickBot="1">
      <c r="A7" s="2912"/>
      <c r="B7" s="2919" t="s">
        <v>529</v>
      </c>
      <c r="C7" s="519">
        <f>'数据-取费表'!B2</f>
        <v>43418</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8" t="s">
        <v>530</v>
      </c>
      <c r="Q7" s="3408"/>
      <c r="R7" s="1569" t="s">
        <v>8</v>
      </c>
      <c r="S7" s="1570">
        <f t="shared" ref="S7:S15" si="0">F7</f>
        <v>0</v>
      </c>
      <c r="T7" s="1569" t="s">
        <v>8</v>
      </c>
      <c r="U7" s="1570">
        <f t="shared" ref="U7:U15" si="1">H7</f>
        <v>0</v>
      </c>
      <c r="V7" s="1569" t="s">
        <v>8</v>
      </c>
      <c r="W7" s="1570">
        <f t="shared" ref="W7:W15" si="2">J7</f>
        <v>0</v>
      </c>
      <c r="X7" s="1571"/>
      <c r="Y7" s="3406" t="s">
        <v>530</v>
      </c>
      <c r="Z7" s="3407"/>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8" t="s">
        <v>533</v>
      </c>
      <c r="Q8" s="3407"/>
      <c r="R8" s="1569" t="s">
        <v>8</v>
      </c>
      <c r="S8" s="1570">
        <f t="shared" si="0"/>
        <v>0</v>
      </c>
      <c r="T8" s="1569" t="s">
        <v>8</v>
      </c>
      <c r="U8" s="1570">
        <f t="shared" si="1"/>
        <v>0</v>
      </c>
      <c r="V8" s="1569" t="s">
        <v>8</v>
      </c>
      <c r="W8" s="1570">
        <f t="shared" si="2"/>
        <v>0</v>
      </c>
      <c r="X8" s="1571"/>
      <c r="Y8" s="3406" t="s">
        <v>533</v>
      </c>
      <c r="Z8" s="3407"/>
      <c r="AA8" s="1572" t="e">
        <f t="shared" ref="AA8:AA47" si="3">D8/F8</f>
        <v>#DIV/0!</v>
      </c>
      <c r="AB8" s="1572" t="e">
        <f t="shared" ref="AB8:AB47" si="4">D8/H8</f>
        <v>#DIV/0!</v>
      </c>
      <c r="AC8" s="1572" t="e">
        <f t="shared" ref="AC8:AC47" si="5">D8/J8</f>
        <v>#DIV/0!</v>
      </c>
    </row>
    <row r="9" spans="1:29" s="1220"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75"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75"/>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75"/>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75"/>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75"/>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75"/>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71.25">
      <c r="A15" s="2910" t="s">
        <v>2756</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9" t="s">
        <v>540</v>
      </c>
      <c r="Q15" s="1573" t="str">
        <f t="shared" si="6"/>
        <v>办公集聚程度</v>
      </c>
      <c r="R15" s="1574" t="s">
        <v>8</v>
      </c>
      <c r="S15" s="1575">
        <f t="shared" si="0"/>
        <v>100</v>
      </c>
      <c r="T15" s="1574" t="s">
        <v>8</v>
      </c>
      <c r="U15" s="1575">
        <f t="shared" si="1"/>
        <v>100</v>
      </c>
      <c r="V15" s="1574" t="s">
        <v>8</v>
      </c>
      <c r="W15" s="1575">
        <f t="shared" si="2"/>
        <v>100</v>
      </c>
      <c r="X15" s="1568"/>
      <c r="Y15" s="340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10"/>
      <c r="Q16" s="1573"/>
      <c r="R16" s="1574"/>
      <c r="S16" s="1575"/>
      <c r="T16" s="1574"/>
      <c r="U16" s="1575"/>
      <c r="V16" s="1574"/>
      <c r="W16" s="1575"/>
      <c r="X16" s="1568"/>
      <c r="Y16" s="341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0"/>
      <c r="Q17" s="1573" t="str">
        <f>B17</f>
        <v>交通便捷度</v>
      </c>
      <c r="R17" s="1574" t="s">
        <v>8</v>
      </c>
      <c r="S17" s="1575">
        <f>F17</f>
        <v>100</v>
      </c>
      <c r="T17" s="1574" t="s">
        <v>8</v>
      </c>
      <c r="U17" s="1575">
        <f>H17</f>
        <v>100</v>
      </c>
      <c r="V17" s="1574" t="s">
        <v>8</v>
      </c>
      <c r="W17" s="1575">
        <f>J17</f>
        <v>100</v>
      </c>
      <c r="X17" s="1568"/>
      <c r="Y17" s="341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10"/>
      <c r="Q18" s="1573"/>
      <c r="R18" s="1574"/>
      <c r="S18" s="1575"/>
      <c r="T18" s="1574"/>
      <c r="U18" s="1575"/>
      <c r="V18" s="1574"/>
      <c r="W18" s="1575"/>
      <c r="X18" s="1568"/>
      <c r="Y18" s="3410"/>
      <c r="Z18" s="1576"/>
      <c r="AA18" s="1577">
        <v>1</v>
      </c>
      <c r="AB18" s="1577">
        <v>1</v>
      </c>
      <c r="AC18" s="1577">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0"/>
      <c r="Q19" s="1573" t="str">
        <f>B19</f>
        <v>公共配套设施</v>
      </c>
      <c r="R19" s="1574" t="s">
        <v>8</v>
      </c>
      <c r="S19" s="1575">
        <f>F19</f>
        <v>100</v>
      </c>
      <c r="T19" s="1574" t="s">
        <v>8</v>
      </c>
      <c r="U19" s="1575">
        <f>H19</f>
        <v>100</v>
      </c>
      <c r="V19" s="1574" t="s">
        <v>8</v>
      </c>
      <c r="W19" s="1575">
        <f>J19</f>
        <v>100</v>
      </c>
      <c r="X19" s="1568"/>
      <c r="Y19" s="341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10"/>
      <c r="Q20" s="1573"/>
      <c r="R20" s="1574"/>
      <c r="S20" s="1575"/>
      <c r="T20" s="1574"/>
      <c r="U20" s="1575"/>
      <c r="V20" s="1574"/>
      <c r="W20" s="1575"/>
      <c r="X20" s="1568"/>
      <c r="Y20" s="3410"/>
      <c r="Z20" s="1576"/>
      <c r="AA20" s="1577">
        <v>1</v>
      </c>
      <c r="AB20" s="1577">
        <v>1</v>
      </c>
      <c r="AC20" s="1577">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0"/>
      <c r="Q21" s="2579" t="str">
        <f>B21</f>
        <v>基础设施水平</v>
      </c>
      <c r="R21" s="1574" t="s">
        <v>8</v>
      </c>
      <c r="S21" s="1575">
        <f>F21</f>
        <v>100</v>
      </c>
      <c r="T21" s="1574" t="s">
        <v>8</v>
      </c>
      <c r="U21" s="1575">
        <f>H21</f>
        <v>100</v>
      </c>
      <c r="V21" s="1574" t="s">
        <v>8</v>
      </c>
      <c r="W21" s="1575">
        <f>J21</f>
        <v>100</v>
      </c>
      <c r="X21" s="2581"/>
      <c r="Y21" s="3410"/>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410"/>
      <c r="Q22" s="2579"/>
      <c r="R22" s="1574"/>
      <c r="S22" s="1575"/>
      <c r="T22" s="1574"/>
      <c r="U22" s="1575"/>
      <c r="V22" s="1574"/>
      <c r="W22" s="1575"/>
      <c r="X22" s="2581"/>
      <c r="Y22" s="3410"/>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0"/>
      <c r="Q23" s="1573" t="str">
        <f>B23</f>
        <v>环境质量</v>
      </c>
      <c r="R23" s="1574" t="s">
        <v>8</v>
      </c>
      <c r="S23" s="1575">
        <f>F23</f>
        <v>100</v>
      </c>
      <c r="T23" s="1574" t="s">
        <v>8</v>
      </c>
      <c r="U23" s="1575">
        <f>H23</f>
        <v>100</v>
      </c>
      <c r="V23" s="1574" t="s">
        <v>8</v>
      </c>
      <c r="W23" s="1575">
        <f>J23</f>
        <v>100</v>
      </c>
      <c r="X23" s="1568"/>
      <c r="Y23" s="341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10"/>
      <c r="Q24" s="1573"/>
      <c r="R24" s="1574"/>
      <c r="S24" s="1575"/>
      <c r="T24" s="1574"/>
      <c r="U24" s="1575"/>
      <c r="V24" s="1574"/>
      <c r="W24" s="1575"/>
      <c r="X24" s="1568"/>
      <c r="Y24" s="341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0"/>
      <c r="Q25" s="1573" t="str">
        <f>B25</f>
        <v>毗邻道路的类型与等级</v>
      </c>
      <c r="R25" s="1574" t="s">
        <v>8</v>
      </c>
      <c r="S25" s="1575">
        <f>F25</f>
        <v>100</v>
      </c>
      <c r="T25" s="1574" t="s">
        <v>8</v>
      </c>
      <c r="U25" s="1575">
        <f>H25</f>
        <v>100</v>
      </c>
      <c r="V25" s="1574" t="s">
        <v>8</v>
      </c>
      <c r="W25" s="1575">
        <f>J25</f>
        <v>100</v>
      </c>
      <c r="X25" s="1568"/>
      <c r="Y25" s="341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10"/>
      <c r="Q26" s="1573"/>
      <c r="R26" s="1574"/>
      <c r="S26" s="1575"/>
      <c r="T26" s="1574"/>
      <c r="U26" s="1575"/>
      <c r="V26" s="1574"/>
      <c r="W26" s="1575"/>
      <c r="X26" s="1568"/>
      <c r="Y26" s="341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0"/>
      <c r="Q27" s="1573" t="str">
        <f t="shared" ref="Q27:Q47" si="11">B27</f>
        <v>楼层</v>
      </c>
      <c r="R27" s="1574" t="s">
        <v>8</v>
      </c>
      <c r="S27" s="1575">
        <f>F27</f>
        <v>100</v>
      </c>
      <c r="T27" s="1574" t="s">
        <v>8</v>
      </c>
      <c r="U27" s="1575">
        <f>H27</f>
        <v>100</v>
      </c>
      <c r="V27" s="1574" t="s">
        <v>8</v>
      </c>
      <c r="W27" s="1575">
        <f>J27</f>
        <v>100</v>
      </c>
      <c r="X27" s="1568"/>
      <c r="Y27" s="341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0"/>
      <c r="Q28" s="1151" t="str">
        <f t="shared" si="11"/>
        <v>朝向</v>
      </c>
      <c r="R28" s="1569" t="s">
        <v>8</v>
      </c>
      <c r="S28" s="1570">
        <f>F28</f>
        <v>100</v>
      </c>
      <c r="T28" s="1569" t="s">
        <v>8</v>
      </c>
      <c r="U28" s="1570">
        <f>H28</f>
        <v>100</v>
      </c>
      <c r="V28" s="1569" t="s">
        <v>8</v>
      </c>
      <c r="W28" s="1570">
        <f>J28</f>
        <v>100</v>
      </c>
      <c r="X28" s="1571"/>
      <c r="Y28" s="341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0"/>
      <c r="Q29" s="1573">
        <f t="shared" si="11"/>
        <v>111</v>
      </c>
      <c r="R29" s="1574" t="s">
        <v>8</v>
      </c>
      <c r="S29" s="1575">
        <f t="shared" ref="S29:S47" si="12">F29</f>
        <v>100</v>
      </c>
      <c r="T29" s="1574" t="s">
        <v>8</v>
      </c>
      <c r="U29" s="1575">
        <f t="shared" ref="U29:U47" si="13">H29</f>
        <v>100</v>
      </c>
      <c r="V29" s="1574" t="s">
        <v>8</v>
      </c>
      <c r="W29" s="1575">
        <f t="shared" ref="W29:W47" si="14">J29</f>
        <v>100</v>
      </c>
      <c r="X29" s="1568"/>
      <c r="Y29" s="341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0"/>
      <c r="Q30" s="1573">
        <f t="shared" si="11"/>
        <v>111</v>
      </c>
      <c r="R30" s="1574" t="s">
        <v>8</v>
      </c>
      <c r="S30" s="1575">
        <f t="shared" si="12"/>
        <v>100</v>
      </c>
      <c r="T30" s="1574" t="s">
        <v>8</v>
      </c>
      <c r="U30" s="1575">
        <f t="shared" si="13"/>
        <v>100</v>
      </c>
      <c r="V30" s="1574" t="s">
        <v>8</v>
      </c>
      <c r="W30" s="1575">
        <f t="shared" si="14"/>
        <v>100</v>
      </c>
      <c r="X30" s="1568"/>
      <c r="Y30" s="341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0"/>
      <c r="Q31" s="1573">
        <f t="shared" si="11"/>
        <v>111</v>
      </c>
      <c r="R31" s="1574" t="s">
        <v>8</v>
      </c>
      <c r="S31" s="1575">
        <f t="shared" si="12"/>
        <v>100</v>
      </c>
      <c r="T31" s="1574" t="s">
        <v>8</v>
      </c>
      <c r="U31" s="1575">
        <f t="shared" si="13"/>
        <v>100</v>
      </c>
      <c r="V31" s="1574" t="s">
        <v>8</v>
      </c>
      <c r="W31" s="1575">
        <f t="shared" si="14"/>
        <v>100</v>
      </c>
      <c r="X31" s="1568"/>
      <c r="Y31" s="341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0"/>
      <c r="Q32" s="1573">
        <f t="shared" si="11"/>
        <v>111</v>
      </c>
      <c r="R32" s="1574" t="s">
        <v>8</v>
      </c>
      <c r="S32" s="1575">
        <f t="shared" si="12"/>
        <v>100</v>
      </c>
      <c r="T32" s="1574" t="s">
        <v>8</v>
      </c>
      <c r="U32" s="1575">
        <f t="shared" si="13"/>
        <v>100</v>
      </c>
      <c r="V32" s="1574" t="s">
        <v>8</v>
      </c>
      <c r="W32" s="1575">
        <f t="shared" si="14"/>
        <v>100</v>
      </c>
      <c r="X32" s="1568"/>
      <c r="Y32" s="3410"/>
      <c r="Z32" s="1576">
        <f t="shared" si="15"/>
        <v>111</v>
      </c>
      <c r="AA32" s="1577">
        <f t="shared" si="3"/>
        <v>1</v>
      </c>
      <c r="AB32" s="1577">
        <f t="shared" si="4"/>
        <v>1</v>
      </c>
      <c r="AC32" s="1577">
        <f t="shared" si="5"/>
        <v>1</v>
      </c>
    </row>
    <row r="33" spans="1:29" ht="15">
      <c r="A33" s="2907" t="s">
        <v>2757</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1" t="s">
        <v>550</v>
      </c>
      <c r="Q33" s="1573" t="str">
        <f t="shared" si="11"/>
        <v>建筑类型</v>
      </c>
      <c r="R33" s="1574" t="s">
        <v>8</v>
      </c>
      <c r="S33" s="1575">
        <f t="shared" si="12"/>
        <v>100</v>
      </c>
      <c r="T33" s="1574" t="s">
        <v>8</v>
      </c>
      <c r="U33" s="1575">
        <f t="shared" si="13"/>
        <v>100</v>
      </c>
      <c r="V33" s="1574" t="s">
        <v>8</v>
      </c>
      <c r="W33" s="1575">
        <f t="shared" si="14"/>
        <v>100</v>
      </c>
      <c r="X33" s="1568"/>
      <c r="Y33" s="341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2"/>
      <c r="Q34" s="1606" t="str">
        <f t="shared" si="11"/>
        <v>项目建筑规模</v>
      </c>
      <c r="R34" s="1578" t="s">
        <v>8</v>
      </c>
      <c r="S34" s="1579" t="e">
        <f t="shared" si="12"/>
        <v>#N/A</v>
      </c>
      <c r="T34" s="1578" t="s">
        <v>8</v>
      </c>
      <c r="U34" s="1579" t="e">
        <f t="shared" si="13"/>
        <v>#N/A</v>
      </c>
      <c r="V34" s="1578" t="s">
        <v>8</v>
      </c>
      <c r="W34" s="1579" t="e">
        <f t="shared" si="14"/>
        <v>#N/A</v>
      </c>
      <c r="X34" s="1580"/>
      <c r="Y34" s="341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2"/>
      <c r="Q35" s="1573" t="str">
        <f t="shared" si="11"/>
        <v>建筑结构</v>
      </c>
      <c r="R35" s="1574" t="s">
        <v>8</v>
      </c>
      <c r="S35" s="1575">
        <f t="shared" si="12"/>
        <v>100</v>
      </c>
      <c r="T35" s="1574" t="s">
        <v>8</v>
      </c>
      <c r="U35" s="1575">
        <f t="shared" si="13"/>
        <v>100</v>
      </c>
      <c r="V35" s="1574" t="s">
        <v>8</v>
      </c>
      <c r="W35" s="1575">
        <f t="shared" si="14"/>
        <v>100</v>
      </c>
      <c r="X35" s="1568"/>
      <c r="Y35" s="341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2"/>
      <c r="Q36" s="1573" t="str">
        <f t="shared" si="11"/>
        <v>公共部分装修</v>
      </c>
      <c r="R36" s="1574" t="s">
        <v>8</v>
      </c>
      <c r="S36" s="1575">
        <f t="shared" si="12"/>
        <v>100</v>
      </c>
      <c r="T36" s="1574" t="s">
        <v>8</v>
      </c>
      <c r="U36" s="1575">
        <f t="shared" si="13"/>
        <v>100</v>
      </c>
      <c r="V36" s="1574" t="s">
        <v>8</v>
      </c>
      <c r="W36" s="1575">
        <f t="shared" si="14"/>
        <v>100</v>
      </c>
      <c r="X36" s="1568"/>
      <c r="Y36" s="341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2"/>
      <c r="Q37" s="1573" t="str">
        <f t="shared" si="11"/>
        <v>成新度</v>
      </c>
      <c r="R37" s="1574" t="s">
        <v>8</v>
      </c>
      <c r="S37" s="1575" t="e">
        <f t="shared" si="12"/>
        <v>#N/A</v>
      </c>
      <c r="T37" s="1574" t="s">
        <v>8</v>
      </c>
      <c r="U37" s="1575" t="e">
        <f t="shared" si="13"/>
        <v>#N/A</v>
      </c>
      <c r="V37" s="1574" t="s">
        <v>8</v>
      </c>
      <c r="W37" s="1575" t="e">
        <f t="shared" si="14"/>
        <v>#N/A</v>
      </c>
      <c r="X37" s="1568"/>
      <c r="Y37" s="341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2"/>
      <c r="Q38" s="1151" t="str">
        <f t="shared" si="11"/>
        <v>写字楼等级</v>
      </c>
      <c r="R38" s="1569" t="s">
        <v>8</v>
      </c>
      <c r="S38" s="1570">
        <f t="shared" si="12"/>
        <v>100</v>
      </c>
      <c r="T38" s="1569" t="s">
        <v>8</v>
      </c>
      <c r="U38" s="1570">
        <f t="shared" si="13"/>
        <v>100</v>
      </c>
      <c r="V38" s="1569" t="s">
        <v>8</v>
      </c>
      <c r="W38" s="1570">
        <f t="shared" si="14"/>
        <v>100</v>
      </c>
      <c r="X38" s="1571"/>
      <c r="Y38" s="341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2" t="s">
        <v>550</v>
      </c>
      <c r="Q39" s="1573" t="str">
        <f t="shared" si="11"/>
        <v>物业管理</v>
      </c>
      <c r="R39" s="1574" t="s">
        <v>8</v>
      </c>
      <c r="S39" s="1575">
        <f t="shared" si="12"/>
        <v>100</v>
      </c>
      <c r="T39" s="1574" t="s">
        <v>8</v>
      </c>
      <c r="U39" s="1575">
        <f t="shared" si="13"/>
        <v>100</v>
      </c>
      <c r="V39" s="1574" t="s">
        <v>8</v>
      </c>
      <c r="W39" s="1575">
        <f t="shared" si="14"/>
        <v>100</v>
      </c>
      <c r="X39" s="1568"/>
      <c r="Y39" s="3412" t="s">
        <v>550</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2"/>
      <c r="Q40" s="1573" t="str">
        <f t="shared" si="11"/>
        <v>市政基础设施</v>
      </c>
      <c r="R40" s="1574" t="s">
        <v>8</v>
      </c>
      <c r="S40" s="1575">
        <f t="shared" si="12"/>
        <v>100</v>
      </c>
      <c r="T40" s="1574" t="s">
        <v>8</v>
      </c>
      <c r="U40" s="1575">
        <f t="shared" si="13"/>
        <v>100</v>
      </c>
      <c r="V40" s="1574" t="s">
        <v>8</v>
      </c>
      <c r="W40" s="1575">
        <f t="shared" si="14"/>
        <v>100</v>
      </c>
      <c r="X40" s="1568"/>
      <c r="Y40" s="341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2"/>
      <c r="Q41" s="1573" t="str">
        <f t="shared" si="11"/>
        <v>层高</v>
      </c>
      <c r="R41" s="1574" t="s">
        <v>8</v>
      </c>
      <c r="S41" s="1575">
        <f t="shared" si="12"/>
        <v>100</v>
      </c>
      <c r="T41" s="1574" t="s">
        <v>8</v>
      </c>
      <c r="U41" s="1575">
        <f t="shared" si="13"/>
        <v>100</v>
      </c>
      <c r="V41" s="1574" t="s">
        <v>8</v>
      </c>
      <c r="W41" s="1575">
        <f t="shared" si="14"/>
        <v>100</v>
      </c>
      <c r="X41" s="1568"/>
      <c r="Y41" s="341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2"/>
      <c r="Q42" s="1606" t="str">
        <f t="shared" si="11"/>
        <v>单套建筑面积</v>
      </c>
      <c r="R42" s="1578" t="s">
        <v>8</v>
      </c>
      <c r="S42" s="1579">
        <f t="shared" si="12"/>
        <v>100</v>
      </c>
      <c r="T42" s="1578" t="s">
        <v>8</v>
      </c>
      <c r="U42" s="1579">
        <f t="shared" si="13"/>
        <v>100</v>
      </c>
      <c r="V42" s="1578" t="s">
        <v>8</v>
      </c>
      <c r="W42" s="1579">
        <f t="shared" si="14"/>
        <v>100</v>
      </c>
      <c r="X42" s="1580"/>
      <c r="Y42" s="341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2"/>
      <c r="Q43" s="1573" t="str">
        <f t="shared" si="11"/>
        <v>内部装修</v>
      </c>
      <c r="R43" s="1574" t="s">
        <v>8</v>
      </c>
      <c r="S43" s="1575">
        <f t="shared" si="12"/>
        <v>100</v>
      </c>
      <c r="T43" s="1574" t="s">
        <v>8</v>
      </c>
      <c r="U43" s="1575">
        <f t="shared" si="13"/>
        <v>100</v>
      </c>
      <c r="V43" s="1574" t="s">
        <v>8</v>
      </c>
      <c r="W43" s="1575">
        <f t="shared" si="14"/>
        <v>100</v>
      </c>
      <c r="X43" s="1568"/>
      <c r="Y43" s="341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2"/>
      <c r="Q44" s="1573" t="str">
        <f t="shared" si="11"/>
        <v>内部装修维护情况</v>
      </c>
      <c r="R44" s="1574" t="s">
        <v>8</v>
      </c>
      <c r="S44" s="1575">
        <f t="shared" si="12"/>
        <v>100</v>
      </c>
      <c r="T44" s="1574" t="s">
        <v>8</v>
      </c>
      <c r="U44" s="1575">
        <f t="shared" si="13"/>
        <v>100</v>
      </c>
      <c r="V44" s="1574" t="s">
        <v>8</v>
      </c>
      <c r="W44" s="1575">
        <f t="shared" si="14"/>
        <v>100</v>
      </c>
      <c r="X44" s="1568"/>
      <c r="Y44" s="341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2"/>
      <c r="Q45" s="1151">
        <f t="shared" si="11"/>
        <v>111</v>
      </c>
      <c r="R45" s="1569" t="s">
        <v>8</v>
      </c>
      <c r="S45" s="1570">
        <f t="shared" si="12"/>
        <v>100</v>
      </c>
      <c r="T45" s="1569" t="s">
        <v>8</v>
      </c>
      <c r="U45" s="1570">
        <f t="shared" si="13"/>
        <v>100</v>
      </c>
      <c r="V45" s="1569" t="s">
        <v>8</v>
      </c>
      <c r="W45" s="1570">
        <f t="shared" si="14"/>
        <v>100</v>
      </c>
      <c r="X45" s="1571"/>
      <c r="Y45" s="341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2"/>
      <c r="Q46" s="1573">
        <f t="shared" si="11"/>
        <v>111</v>
      </c>
      <c r="R46" s="1574" t="s">
        <v>8</v>
      </c>
      <c r="S46" s="1575">
        <f t="shared" si="12"/>
        <v>100</v>
      </c>
      <c r="T46" s="1574" t="s">
        <v>8</v>
      </c>
      <c r="U46" s="1575">
        <f t="shared" si="13"/>
        <v>100</v>
      </c>
      <c r="V46" s="1574" t="s">
        <v>8</v>
      </c>
      <c r="W46" s="1575">
        <f t="shared" si="14"/>
        <v>100</v>
      </c>
      <c r="X46" s="1568"/>
      <c r="Y46" s="341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90"/>
      <c r="Q47" s="1573">
        <f t="shared" si="11"/>
        <v>111</v>
      </c>
      <c r="R47" s="1574" t="s">
        <v>8</v>
      </c>
      <c r="S47" s="1575">
        <f t="shared" si="12"/>
        <v>100</v>
      </c>
      <c r="T47" s="1574" t="s">
        <v>8</v>
      </c>
      <c r="U47" s="1575">
        <f t="shared" si="13"/>
        <v>100</v>
      </c>
      <c r="V47" s="1574" t="s">
        <v>8</v>
      </c>
      <c r="W47" s="1575">
        <f t="shared" si="14"/>
        <v>100</v>
      </c>
      <c r="X47" s="1568"/>
      <c r="Y47" s="3490"/>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4"/>
      <c r="M48" s="2134"/>
      <c r="N48" s="2134"/>
      <c r="O48" s="2134"/>
      <c r="P48" s="3373" t="str">
        <f>A48</f>
        <v>成交单价（元/平方米）</v>
      </c>
      <c r="Q48" s="3375"/>
      <c r="R48" s="3489">
        <f>E48</f>
        <v>0</v>
      </c>
      <c r="S48" s="3489"/>
      <c r="T48" s="3489">
        <f>G48</f>
        <v>0</v>
      </c>
      <c r="U48" s="3489"/>
      <c r="V48" s="3489">
        <f>I48</f>
        <v>0</v>
      </c>
      <c r="W48" s="3489"/>
      <c r="X48" s="1560"/>
      <c r="Y48" s="1582"/>
      <c r="Z48" s="1560"/>
      <c r="AA48" s="1560"/>
      <c r="AB48" s="1560"/>
      <c r="AC48" s="1560"/>
    </row>
    <row r="49" spans="1:29" ht="15.75" thickBot="1">
      <c r="A49" s="615" t="s">
        <v>2762</v>
      </c>
      <c r="B49" s="888"/>
      <c r="C49" s="2633" t="e">
        <f>R50</f>
        <v>#DIV/0!</v>
      </c>
      <c r="D49" s="2634"/>
      <c r="E49" s="2635" t="e">
        <f>R49</f>
        <v>#DIV/0!</v>
      </c>
      <c r="F49" s="2635"/>
      <c r="G49" s="2633" t="e">
        <f>T49</f>
        <v>#DIV/0!</v>
      </c>
      <c r="H49" s="2634"/>
      <c r="I49" s="2635" t="e">
        <f>V49</f>
        <v>#DIV/0!</v>
      </c>
      <c r="J49" s="2634"/>
      <c r="K49" s="1613"/>
      <c r="L49" s="2144"/>
      <c r="M49" s="2134"/>
      <c r="N49" s="2134"/>
      <c r="O49" s="2134"/>
      <c r="P49" s="3373" t="str">
        <f>A49</f>
        <v>比较价格（元/平方米）</v>
      </c>
      <c r="Q49" s="3375"/>
      <c r="R49" s="3489" t="e">
        <f>IF(F1="售价",ROUND(PRODUCT(R48,AA7:AA47),0),ROUND(PRODUCT(R48,AA7:AA47),1))</f>
        <v>#DIV/0!</v>
      </c>
      <c r="S49" s="3489"/>
      <c r="T49" s="3489" t="e">
        <f>IF(F1="售价",ROUND(PRODUCT(T48,AB7:AB47),0),ROUND(PRODUCT(T48,AB7:AB47),1))</f>
        <v>#DIV/0!</v>
      </c>
      <c r="U49" s="3489"/>
      <c r="V49" s="3489" t="e">
        <f>IF(F1="售价",ROUND(PRODUCT(V48,AC7:AC47),0),ROUND(PRODUCT(V48,AC7:AC47),1))</f>
        <v>#DIV/0!</v>
      </c>
      <c r="W49" s="3489"/>
      <c r="X49" s="1560"/>
      <c r="Y49" s="1560"/>
      <c r="Z49" s="1560"/>
      <c r="AA49" s="1560"/>
      <c r="AB49" s="1560"/>
      <c r="AC49" s="1560"/>
    </row>
    <row r="50" spans="1:29" ht="15.75" thickBot="1">
      <c r="A50" s="621" t="s">
        <v>2934</v>
      </c>
      <c r="B50" s="622"/>
      <c r="C50" s="2636" t="e">
        <f>R50</f>
        <v>#DIV/0!</v>
      </c>
      <c r="D50" s="2636"/>
      <c r="E50" s="2636"/>
      <c r="F50" s="2636"/>
      <c r="G50" s="2636"/>
      <c r="H50" s="2636"/>
      <c r="I50" s="2636"/>
      <c r="J50" s="2636"/>
      <c r="K50" s="1614"/>
      <c r="L50" s="2144"/>
      <c r="M50" s="2134"/>
      <c r="N50" s="2134"/>
      <c r="O50" s="2134"/>
      <c r="P50" s="3492" t="str">
        <f>A50</f>
        <v>估价对象XX用房的比较价格（楼面单价，元/平方米）</v>
      </c>
      <c r="Q50" s="3373"/>
      <c r="R50" s="3488" t="e">
        <f>IF(F1="售价",ROUND(AVERAGE(R49:V49),0),ROUND(AVERAGE(R49:V49),1))</f>
        <v>#DIV/0!</v>
      </c>
      <c r="S50" s="3488"/>
      <c r="T50" s="3488"/>
      <c r="U50" s="3488"/>
      <c r="V50" s="3488"/>
      <c r="W50" s="3488"/>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2018-11</v>
      </c>
      <c r="D59" s="2804">
        <f>EDATE(C59,-1)</f>
        <v>43374</v>
      </c>
      <c r="E59" s="2804">
        <f t="shared" ref="E59:O59" si="16">EDATE(D59,-1)</f>
        <v>43344</v>
      </c>
      <c r="F59" s="2804">
        <f t="shared" si="16"/>
        <v>43313</v>
      </c>
      <c r="G59" s="2804">
        <f t="shared" si="16"/>
        <v>43282</v>
      </c>
      <c r="H59" s="2804">
        <f t="shared" si="16"/>
        <v>43252</v>
      </c>
      <c r="I59" s="2804">
        <f t="shared" si="16"/>
        <v>43221</v>
      </c>
      <c r="J59" s="2804">
        <f t="shared" si="16"/>
        <v>43191</v>
      </c>
      <c r="K59" s="2804">
        <f t="shared" si="16"/>
        <v>43160</v>
      </c>
      <c r="L59" s="2804">
        <f t="shared" si="16"/>
        <v>43132</v>
      </c>
      <c r="M59" s="2804">
        <f t="shared" si="16"/>
        <v>43101</v>
      </c>
      <c r="N59" s="2804">
        <f t="shared" si="16"/>
        <v>43070</v>
      </c>
      <c r="O59" s="2804">
        <f t="shared" si="16"/>
        <v>43040</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2559</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81" t="s">
        <v>522</v>
      </c>
      <c r="D4" s="3382"/>
      <c r="E4" s="3416" t="s">
        <v>523</v>
      </c>
      <c r="F4" s="3417"/>
      <c r="G4" s="3381" t="s">
        <v>524</v>
      </c>
      <c r="H4" s="3382"/>
      <c r="I4" s="3381" t="s">
        <v>525</v>
      </c>
      <c r="J4" s="3382"/>
      <c r="K4" s="514" t="s">
        <v>526</v>
      </c>
      <c r="L4" s="2133"/>
      <c r="M4" s="2134"/>
      <c r="N4" s="2134"/>
      <c r="O4" s="2134"/>
      <c r="P4" s="3383" t="s">
        <v>527</v>
      </c>
      <c r="Q4" s="3384"/>
      <c r="R4" s="3389" t="s">
        <v>523</v>
      </c>
      <c r="S4" s="3390"/>
      <c r="T4" s="3389" t="s">
        <v>524</v>
      </c>
      <c r="U4" s="3390"/>
      <c r="V4" s="3376" t="s">
        <v>525</v>
      </c>
      <c r="W4" s="3376"/>
      <c r="X4" s="1568"/>
      <c r="Y4" s="3389" t="s">
        <v>527</v>
      </c>
      <c r="Z4" s="3390"/>
      <c r="AA4" s="3378" t="s">
        <v>523</v>
      </c>
      <c r="AB4" s="3379" t="s">
        <v>524</v>
      </c>
      <c r="AC4" s="3378" t="s">
        <v>525</v>
      </c>
    </row>
    <row r="5" spans="1:29" ht="15">
      <c r="A5" s="515"/>
      <c r="B5" s="516"/>
      <c r="C5" s="3413" t="s">
        <v>2928</v>
      </c>
      <c r="D5" s="3398"/>
      <c r="E5" s="3418" t="s">
        <v>2929</v>
      </c>
      <c r="F5" s="3419"/>
      <c r="G5" s="3413" t="s">
        <v>2930</v>
      </c>
      <c r="H5" s="3398"/>
      <c r="I5" s="3413" t="s">
        <v>2931</v>
      </c>
      <c r="J5" s="3398"/>
      <c r="K5" s="514"/>
      <c r="L5" s="2133"/>
      <c r="M5" s="2134"/>
      <c r="N5" s="2134"/>
      <c r="O5" s="2134"/>
      <c r="P5" s="3385"/>
      <c r="Q5" s="3386"/>
      <c r="R5" s="3391"/>
      <c r="S5" s="3392"/>
      <c r="T5" s="3391"/>
      <c r="U5" s="3392"/>
      <c r="V5" s="3376"/>
      <c r="W5" s="3376"/>
      <c r="X5" s="1568"/>
      <c r="Y5" s="3391"/>
      <c r="Z5" s="3392"/>
      <c r="AA5" s="3379"/>
      <c r="AB5" s="3379"/>
      <c r="AC5" s="3379"/>
    </row>
    <row r="6" spans="1:29" ht="15.75" thickBot="1">
      <c r="A6" s="517"/>
      <c r="B6" s="518"/>
      <c r="C6" s="3395" t="s">
        <v>2932</v>
      </c>
      <c r="D6" s="3396"/>
      <c r="E6" s="3414" t="s">
        <v>2932</v>
      </c>
      <c r="F6" s="3415"/>
      <c r="G6" s="3395" t="s">
        <v>2932</v>
      </c>
      <c r="H6" s="3396"/>
      <c r="I6" s="3395" t="s">
        <v>2932</v>
      </c>
      <c r="J6" s="3396"/>
      <c r="K6" s="514" t="s">
        <v>528</v>
      </c>
      <c r="L6" s="2133"/>
      <c r="M6" s="2134"/>
      <c r="N6" s="2134"/>
      <c r="O6" s="2134"/>
      <c r="P6" s="3387"/>
      <c r="Q6" s="3388"/>
      <c r="R6" s="3391"/>
      <c r="S6" s="3392"/>
      <c r="T6" s="3393"/>
      <c r="U6" s="3394"/>
      <c r="V6" s="3376"/>
      <c r="W6" s="3376"/>
      <c r="X6" s="1568"/>
      <c r="Y6" s="3393"/>
      <c r="Z6" s="3394"/>
      <c r="AA6" s="3380"/>
      <c r="AB6" s="3380"/>
      <c r="AC6" s="3380"/>
    </row>
    <row r="7" spans="1:29" s="1220" customFormat="1" ht="15.75" thickBot="1">
      <c r="A7" s="2912"/>
      <c r="B7" s="2919" t="s">
        <v>529</v>
      </c>
      <c r="C7" s="519">
        <f>'数据-取费表'!B2</f>
        <v>43418</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6" t="s">
        <v>530</v>
      </c>
      <c r="Q7" s="3408"/>
      <c r="R7" s="1569" t="s">
        <v>8</v>
      </c>
      <c r="S7" s="1570">
        <f t="shared" ref="S7:S15" si="0">F7</f>
        <v>0</v>
      </c>
      <c r="T7" s="1569" t="s">
        <v>8</v>
      </c>
      <c r="U7" s="1570">
        <f t="shared" ref="U7:U15" si="1">H7</f>
        <v>0</v>
      </c>
      <c r="V7" s="1569" t="s">
        <v>8</v>
      </c>
      <c r="W7" s="1570">
        <f t="shared" ref="W7:W15" si="2">J7</f>
        <v>0</v>
      </c>
      <c r="X7" s="1571"/>
      <c r="Y7" s="3406" t="s">
        <v>530</v>
      </c>
      <c r="Z7" s="3407"/>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6" t="s">
        <v>533</v>
      </c>
      <c r="Q8" s="3407"/>
      <c r="R8" s="1569" t="s">
        <v>8</v>
      </c>
      <c r="S8" s="1570">
        <f t="shared" si="0"/>
        <v>0</v>
      </c>
      <c r="T8" s="1569" t="s">
        <v>8</v>
      </c>
      <c r="U8" s="1570">
        <f t="shared" si="1"/>
        <v>0</v>
      </c>
      <c r="V8" s="1569" t="s">
        <v>8</v>
      </c>
      <c r="W8" s="1570">
        <f t="shared" si="2"/>
        <v>0</v>
      </c>
      <c r="X8" s="1571"/>
      <c r="Y8" s="3406" t="s">
        <v>533</v>
      </c>
      <c r="Z8" s="3407"/>
      <c r="AA8" s="1572" t="e">
        <f t="shared" ref="AA8:AA40" si="3">D8/F8</f>
        <v>#DIV/0!</v>
      </c>
      <c r="AB8" s="1572" t="e">
        <f t="shared" ref="AB8:AB40" si="4">D8/H8</f>
        <v>#DIV/0!</v>
      </c>
      <c r="AC8" s="1572" t="e">
        <f t="shared" ref="AC8:AC40" si="5">D8/J8</f>
        <v>#DIV/0!</v>
      </c>
    </row>
    <row r="9" spans="1:29" s="1220"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75" t="s">
        <v>535</v>
      </c>
      <c r="Q9" s="1151" t="str">
        <f t="shared" ref="Q9:Q15" si="6">B9</f>
        <v>用途</v>
      </c>
      <c r="R9" s="1569" t="s">
        <v>8</v>
      </c>
      <c r="S9" s="1570">
        <f t="shared" si="0"/>
        <v>100</v>
      </c>
      <c r="T9" s="1569" t="s">
        <v>8</v>
      </c>
      <c r="U9" s="1570">
        <f t="shared" si="1"/>
        <v>100</v>
      </c>
      <c r="V9" s="1569" t="s">
        <v>8</v>
      </c>
      <c r="W9" s="1570">
        <f t="shared" si="2"/>
        <v>100</v>
      </c>
      <c r="X9" s="1571"/>
      <c r="Y9" s="3321" t="s">
        <v>536</v>
      </c>
      <c r="Z9" s="1150" t="str">
        <f t="shared" ref="Z9:Z15" si="7">Q9</f>
        <v>用途</v>
      </c>
      <c r="AA9" s="1572">
        <f t="shared" si="3"/>
        <v>1</v>
      </c>
      <c r="AB9" s="1572">
        <f t="shared" si="4"/>
        <v>1</v>
      </c>
      <c r="AC9" s="1572">
        <f t="shared" si="5"/>
        <v>1</v>
      </c>
    </row>
    <row r="10" spans="1:29" s="1338"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75"/>
      <c r="Q11" s="1151" t="str">
        <f t="shared" si="6"/>
        <v>容积率</v>
      </c>
      <c r="R11" s="1569" t="s">
        <v>8</v>
      </c>
      <c r="S11" s="1570" t="e">
        <f t="shared" si="0"/>
        <v>#N/A</v>
      </c>
      <c r="T11" s="1569" t="s">
        <v>8</v>
      </c>
      <c r="U11" s="1570" t="e">
        <f t="shared" si="1"/>
        <v>#N/A</v>
      </c>
      <c r="V11" s="1569" t="s">
        <v>8</v>
      </c>
      <c r="W11" s="1570" t="e">
        <f t="shared" si="2"/>
        <v>#N/A</v>
      </c>
      <c r="X11" s="1571"/>
      <c r="Y11" s="332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75"/>
      <c r="Q14" s="1151">
        <f t="shared" si="6"/>
        <v>111</v>
      </c>
      <c r="R14" s="1569" t="s">
        <v>8</v>
      </c>
      <c r="S14" s="1570">
        <f t="shared" si="0"/>
        <v>100</v>
      </c>
      <c r="T14" s="1569" t="s">
        <v>8</v>
      </c>
      <c r="U14" s="1570">
        <f t="shared" si="1"/>
        <v>100</v>
      </c>
      <c r="V14" s="1569" t="s">
        <v>8</v>
      </c>
      <c r="W14" s="1570">
        <f t="shared" si="2"/>
        <v>100</v>
      </c>
      <c r="X14" s="1571"/>
      <c r="Y14" s="3321"/>
      <c r="Z14" s="1150">
        <f t="shared" si="7"/>
        <v>111</v>
      </c>
      <c r="AA14" s="1572">
        <f t="shared" si="3"/>
        <v>1</v>
      </c>
      <c r="AB14" s="1572">
        <f t="shared" si="4"/>
        <v>1</v>
      </c>
      <c r="AC14" s="1572">
        <f t="shared" si="5"/>
        <v>1</v>
      </c>
    </row>
    <row r="15" spans="1:29" ht="57">
      <c r="A15" s="2910"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9" t="s">
        <v>540</v>
      </c>
      <c r="Q15" s="1573" t="str">
        <f t="shared" si="6"/>
        <v>产业集聚程度</v>
      </c>
      <c r="R15" s="1574" t="s">
        <v>8</v>
      </c>
      <c r="S15" s="1575">
        <f t="shared" si="0"/>
        <v>100</v>
      </c>
      <c r="T15" s="1574" t="s">
        <v>8</v>
      </c>
      <c r="U15" s="1575">
        <f t="shared" si="1"/>
        <v>100</v>
      </c>
      <c r="V15" s="1574" t="s">
        <v>8</v>
      </c>
      <c r="W15" s="1575">
        <f t="shared" si="2"/>
        <v>100</v>
      </c>
      <c r="X15" s="1568"/>
      <c r="Y15" s="340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10"/>
      <c r="Q16" s="1573"/>
      <c r="R16" s="1574"/>
      <c r="S16" s="1575"/>
      <c r="T16" s="1574"/>
      <c r="U16" s="1575"/>
      <c r="V16" s="1574"/>
      <c r="W16" s="1575"/>
      <c r="X16" s="1568"/>
      <c r="Y16" s="341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0"/>
      <c r="Q17" s="1573" t="str">
        <f>B17</f>
        <v>交通便捷度</v>
      </c>
      <c r="R17" s="1574" t="s">
        <v>8</v>
      </c>
      <c r="S17" s="1575">
        <f>F17</f>
        <v>100</v>
      </c>
      <c r="T17" s="1574" t="s">
        <v>8</v>
      </c>
      <c r="U17" s="1575">
        <f>H17</f>
        <v>100</v>
      </c>
      <c r="V17" s="1574" t="s">
        <v>8</v>
      </c>
      <c r="W17" s="1575">
        <f>J17</f>
        <v>100</v>
      </c>
      <c r="X17" s="1568"/>
      <c r="Y17" s="341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10"/>
      <c r="Q18" s="1573"/>
      <c r="R18" s="1574"/>
      <c r="S18" s="1575"/>
      <c r="T18" s="1574"/>
      <c r="U18" s="1575"/>
      <c r="V18" s="1574"/>
      <c r="W18" s="1575"/>
      <c r="X18" s="1568"/>
      <c r="Y18" s="3410"/>
      <c r="Z18" s="1576"/>
      <c r="AA18" s="1577">
        <v>1</v>
      </c>
      <c r="AB18" s="1577">
        <v>1</v>
      </c>
      <c r="AC18" s="1577">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0"/>
      <c r="Q19" s="1573" t="str">
        <f>B19</f>
        <v>公共配套设施</v>
      </c>
      <c r="R19" s="1574" t="s">
        <v>8</v>
      </c>
      <c r="S19" s="1575">
        <f>F19</f>
        <v>100</v>
      </c>
      <c r="T19" s="1574" t="s">
        <v>8</v>
      </c>
      <c r="U19" s="1575">
        <f>H19</f>
        <v>100</v>
      </c>
      <c r="V19" s="1574" t="s">
        <v>8</v>
      </c>
      <c r="W19" s="1575">
        <f>J19</f>
        <v>100</v>
      </c>
      <c r="X19" s="1568"/>
      <c r="Y19" s="341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10"/>
      <c r="Q20" s="1573"/>
      <c r="R20" s="1574"/>
      <c r="S20" s="1575"/>
      <c r="T20" s="1574"/>
      <c r="U20" s="1575"/>
      <c r="V20" s="1574"/>
      <c r="W20" s="1575"/>
      <c r="X20" s="1568"/>
      <c r="Y20" s="3410"/>
      <c r="Z20" s="1576"/>
      <c r="AA20" s="1577">
        <v>1</v>
      </c>
      <c r="AB20" s="1577">
        <v>1</v>
      </c>
      <c r="AC20" s="1577">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0"/>
      <c r="Q21" s="2579" t="str">
        <f>B21</f>
        <v>基础设施水平</v>
      </c>
      <c r="R21" s="1574" t="s">
        <v>8</v>
      </c>
      <c r="S21" s="1575">
        <f>F21</f>
        <v>100</v>
      </c>
      <c r="T21" s="1574" t="s">
        <v>8</v>
      </c>
      <c r="U21" s="1575">
        <f>H21</f>
        <v>100</v>
      </c>
      <c r="V21" s="1574" t="s">
        <v>8</v>
      </c>
      <c r="W21" s="1575">
        <f>J21</f>
        <v>100</v>
      </c>
      <c r="X21" s="2581"/>
      <c r="Y21" s="3410"/>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410"/>
      <c r="Q22" s="2579"/>
      <c r="R22" s="1574"/>
      <c r="S22" s="1575"/>
      <c r="T22" s="1574"/>
      <c r="U22" s="1575"/>
      <c r="V22" s="1574"/>
      <c r="W22" s="1575"/>
      <c r="X22" s="2581"/>
      <c r="Y22" s="3410"/>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0"/>
      <c r="Q23" s="1573" t="str">
        <f>B23</f>
        <v>环境质量</v>
      </c>
      <c r="R23" s="1574" t="s">
        <v>8</v>
      </c>
      <c r="S23" s="1575">
        <f>F23</f>
        <v>100</v>
      </c>
      <c r="T23" s="1574" t="s">
        <v>8</v>
      </c>
      <c r="U23" s="1575">
        <f>H23</f>
        <v>100</v>
      </c>
      <c r="V23" s="1574" t="s">
        <v>8</v>
      </c>
      <c r="W23" s="1575">
        <f>J23</f>
        <v>100</v>
      </c>
      <c r="X23" s="1568"/>
      <c r="Y23" s="341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10"/>
      <c r="Q24" s="1573"/>
      <c r="R24" s="1574"/>
      <c r="S24" s="1575"/>
      <c r="T24" s="1574"/>
      <c r="U24" s="1575"/>
      <c r="V24" s="1574"/>
      <c r="W24" s="1575"/>
      <c r="X24" s="1568"/>
      <c r="Y24" s="341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0"/>
      <c r="Q25" s="1573">
        <f>B25</f>
        <v>111</v>
      </c>
      <c r="R25" s="1574" t="s">
        <v>8</v>
      </c>
      <c r="S25" s="1575">
        <f>F25</f>
        <v>100</v>
      </c>
      <c r="T25" s="1574" t="s">
        <v>8</v>
      </c>
      <c r="U25" s="1575">
        <f>H25</f>
        <v>100</v>
      </c>
      <c r="V25" s="1574" t="s">
        <v>8</v>
      </c>
      <c r="W25" s="1575">
        <f>J25</f>
        <v>100</v>
      </c>
      <c r="X25" s="1568"/>
      <c r="Y25" s="341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0"/>
      <c r="Q26" s="1573">
        <f t="shared" ref="Q26:Q40" si="11">B26</f>
        <v>111</v>
      </c>
      <c r="R26" s="1574" t="s">
        <v>8</v>
      </c>
      <c r="S26" s="1575">
        <f>F26</f>
        <v>100</v>
      </c>
      <c r="T26" s="1574" t="s">
        <v>8</v>
      </c>
      <c r="U26" s="1575">
        <f>H26</f>
        <v>100</v>
      </c>
      <c r="V26" s="1574" t="s">
        <v>8</v>
      </c>
      <c r="W26" s="1575">
        <f>J26</f>
        <v>100</v>
      </c>
      <c r="X26" s="1568"/>
      <c r="Y26" s="341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0"/>
      <c r="Q27" s="1151">
        <f t="shared" si="11"/>
        <v>111</v>
      </c>
      <c r="R27" s="1569" t="s">
        <v>8</v>
      </c>
      <c r="S27" s="1570">
        <f>F27</f>
        <v>100</v>
      </c>
      <c r="T27" s="1569" t="s">
        <v>8</v>
      </c>
      <c r="U27" s="1570">
        <f>H27</f>
        <v>100</v>
      </c>
      <c r="V27" s="1569" t="s">
        <v>8</v>
      </c>
      <c r="W27" s="1570">
        <f>J27</f>
        <v>100</v>
      </c>
      <c r="X27" s="1571"/>
      <c r="Y27" s="341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0"/>
      <c r="Q28" s="1573">
        <f t="shared" si="11"/>
        <v>111</v>
      </c>
      <c r="R28" s="1574" t="s">
        <v>8</v>
      </c>
      <c r="S28" s="1575">
        <f t="shared" ref="S28:S40" si="12">F28</f>
        <v>100</v>
      </c>
      <c r="T28" s="1574" t="s">
        <v>8</v>
      </c>
      <c r="U28" s="1575">
        <f t="shared" ref="U28:U40" si="13">H28</f>
        <v>100</v>
      </c>
      <c r="V28" s="1574" t="s">
        <v>8</v>
      </c>
      <c r="W28" s="1575">
        <f t="shared" ref="W28:W40" si="14">J28</f>
        <v>100</v>
      </c>
      <c r="X28" s="1568"/>
      <c r="Y28" s="3410"/>
      <c r="Z28" s="1576">
        <f t="shared" ref="Z28:Z40" si="15">Q28</f>
        <v>111</v>
      </c>
      <c r="AA28" s="1577">
        <f t="shared" si="3"/>
        <v>1</v>
      </c>
      <c r="AB28" s="1577">
        <f t="shared" si="4"/>
        <v>1</v>
      </c>
      <c r="AC28" s="1577">
        <f t="shared" si="5"/>
        <v>1</v>
      </c>
    </row>
    <row r="29" spans="1:29" ht="15">
      <c r="A29" s="2907"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1" t="s">
        <v>550</v>
      </c>
      <c r="Q29" s="1573" t="str">
        <f t="shared" si="11"/>
        <v>建筑类型</v>
      </c>
      <c r="R29" s="1574" t="s">
        <v>8</v>
      </c>
      <c r="S29" s="1575">
        <f t="shared" si="12"/>
        <v>100</v>
      </c>
      <c r="T29" s="1574" t="s">
        <v>8</v>
      </c>
      <c r="U29" s="1575">
        <f t="shared" si="13"/>
        <v>100</v>
      </c>
      <c r="V29" s="1574" t="s">
        <v>8</v>
      </c>
      <c r="W29" s="1575">
        <f t="shared" si="14"/>
        <v>100</v>
      </c>
      <c r="X29" s="1568"/>
      <c r="Y29" s="341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2"/>
      <c r="Q30" s="1606" t="str">
        <f t="shared" si="11"/>
        <v>项目建筑规模</v>
      </c>
      <c r="R30" s="1578" t="s">
        <v>8</v>
      </c>
      <c r="S30" s="1579" t="e">
        <f t="shared" si="12"/>
        <v>#N/A</v>
      </c>
      <c r="T30" s="1578" t="s">
        <v>8</v>
      </c>
      <c r="U30" s="1579" t="e">
        <f t="shared" si="13"/>
        <v>#N/A</v>
      </c>
      <c r="V30" s="1578" t="s">
        <v>8</v>
      </c>
      <c r="W30" s="1579" t="e">
        <f t="shared" si="14"/>
        <v>#N/A</v>
      </c>
      <c r="X30" s="1580"/>
      <c r="Y30" s="341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2"/>
      <c r="Q31" s="1573" t="str">
        <f t="shared" si="11"/>
        <v>建筑结构</v>
      </c>
      <c r="R31" s="1574" t="s">
        <v>8</v>
      </c>
      <c r="S31" s="1575">
        <f t="shared" si="12"/>
        <v>100</v>
      </c>
      <c r="T31" s="1574" t="s">
        <v>8</v>
      </c>
      <c r="U31" s="1575">
        <f t="shared" si="13"/>
        <v>100</v>
      </c>
      <c r="V31" s="1574" t="s">
        <v>8</v>
      </c>
      <c r="W31" s="1575">
        <f t="shared" si="14"/>
        <v>100</v>
      </c>
      <c r="X31" s="1568"/>
      <c r="Y31" s="341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2"/>
      <c r="Q32" s="1573" t="str">
        <f t="shared" si="11"/>
        <v>公共部分装修</v>
      </c>
      <c r="R32" s="1574" t="s">
        <v>8</v>
      </c>
      <c r="S32" s="1575">
        <f t="shared" si="12"/>
        <v>100</v>
      </c>
      <c r="T32" s="1574" t="s">
        <v>8</v>
      </c>
      <c r="U32" s="1575">
        <f t="shared" si="13"/>
        <v>100</v>
      </c>
      <c r="V32" s="1574" t="s">
        <v>8</v>
      </c>
      <c r="W32" s="1575">
        <f t="shared" si="14"/>
        <v>100</v>
      </c>
      <c r="X32" s="1568"/>
      <c r="Y32" s="341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2"/>
      <c r="Q33" s="1573" t="str">
        <f t="shared" si="11"/>
        <v>成新度</v>
      </c>
      <c r="R33" s="1574" t="s">
        <v>8</v>
      </c>
      <c r="S33" s="1575" t="e">
        <f t="shared" si="12"/>
        <v>#N/A</v>
      </c>
      <c r="T33" s="1574" t="s">
        <v>8</v>
      </c>
      <c r="U33" s="1575" t="e">
        <f t="shared" si="13"/>
        <v>#N/A</v>
      </c>
      <c r="V33" s="1574" t="s">
        <v>8</v>
      </c>
      <c r="W33" s="1575" t="e">
        <f t="shared" si="14"/>
        <v>#N/A</v>
      </c>
      <c r="X33" s="1568"/>
      <c r="Y33" s="341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2"/>
      <c r="Q34" s="1151" t="str">
        <f t="shared" si="11"/>
        <v>物业管理</v>
      </c>
      <c r="R34" s="1569" t="s">
        <v>8</v>
      </c>
      <c r="S34" s="1570">
        <f t="shared" si="12"/>
        <v>100</v>
      </c>
      <c r="T34" s="1569" t="s">
        <v>8</v>
      </c>
      <c r="U34" s="1570">
        <f t="shared" si="13"/>
        <v>100</v>
      </c>
      <c r="V34" s="1569" t="s">
        <v>8</v>
      </c>
      <c r="W34" s="1570">
        <f t="shared" si="14"/>
        <v>100</v>
      </c>
      <c r="X34" s="1571"/>
      <c r="Y34" s="3412"/>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2" t="s">
        <v>550</v>
      </c>
      <c r="Q35" s="1573" t="str">
        <f t="shared" si="11"/>
        <v>市政基础设施</v>
      </c>
      <c r="R35" s="1574" t="s">
        <v>8</v>
      </c>
      <c r="S35" s="1575">
        <f t="shared" si="12"/>
        <v>100</v>
      </c>
      <c r="T35" s="1574" t="s">
        <v>8</v>
      </c>
      <c r="U35" s="1575">
        <f t="shared" si="13"/>
        <v>100</v>
      </c>
      <c r="V35" s="1574" t="s">
        <v>8</v>
      </c>
      <c r="W35" s="1575">
        <f t="shared" si="14"/>
        <v>100</v>
      </c>
      <c r="X35" s="1568"/>
      <c r="Y35" s="341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2"/>
      <c r="Q36" s="1573" t="str">
        <f t="shared" si="11"/>
        <v>内部装修</v>
      </c>
      <c r="R36" s="1574" t="s">
        <v>8</v>
      </c>
      <c r="S36" s="1575">
        <f t="shared" si="12"/>
        <v>100</v>
      </c>
      <c r="T36" s="1574" t="s">
        <v>8</v>
      </c>
      <c r="U36" s="1575">
        <f t="shared" si="13"/>
        <v>100</v>
      </c>
      <c r="V36" s="1574" t="s">
        <v>8</v>
      </c>
      <c r="W36" s="1575">
        <f t="shared" si="14"/>
        <v>100</v>
      </c>
      <c r="X36" s="1568"/>
      <c r="Y36" s="341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2"/>
      <c r="Q37" s="1573" t="str">
        <f t="shared" si="11"/>
        <v>内部装修状况</v>
      </c>
      <c r="R37" s="1574" t="s">
        <v>8</v>
      </c>
      <c r="S37" s="1575">
        <f t="shared" si="12"/>
        <v>100</v>
      </c>
      <c r="T37" s="1574" t="s">
        <v>8</v>
      </c>
      <c r="U37" s="1575">
        <f t="shared" si="13"/>
        <v>100</v>
      </c>
      <c r="V37" s="1574" t="s">
        <v>8</v>
      </c>
      <c r="W37" s="1575">
        <f t="shared" si="14"/>
        <v>100</v>
      </c>
      <c r="X37" s="1568"/>
      <c r="Y37" s="341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2"/>
      <c r="Q38" s="1606">
        <f t="shared" si="11"/>
        <v>111</v>
      </c>
      <c r="R38" s="1578" t="s">
        <v>8</v>
      </c>
      <c r="S38" s="1579">
        <f t="shared" si="12"/>
        <v>100</v>
      </c>
      <c r="T38" s="1578" t="s">
        <v>8</v>
      </c>
      <c r="U38" s="1579">
        <f t="shared" si="13"/>
        <v>100</v>
      </c>
      <c r="V38" s="1578" t="s">
        <v>8</v>
      </c>
      <c r="W38" s="1579">
        <f t="shared" si="14"/>
        <v>100</v>
      </c>
      <c r="X38" s="1580"/>
      <c r="Y38" s="341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2"/>
      <c r="Q39" s="1573">
        <f t="shared" si="11"/>
        <v>111</v>
      </c>
      <c r="R39" s="1574" t="s">
        <v>8</v>
      </c>
      <c r="S39" s="1575">
        <f t="shared" si="12"/>
        <v>100</v>
      </c>
      <c r="T39" s="1574" t="s">
        <v>8</v>
      </c>
      <c r="U39" s="1575">
        <f t="shared" si="13"/>
        <v>100</v>
      </c>
      <c r="V39" s="1574" t="s">
        <v>8</v>
      </c>
      <c r="W39" s="1575">
        <f t="shared" si="14"/>
        <v>100</v>
      </c>
      <c r="X39" s="1568"/>
      <c r="Y39" s="341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90"/>
      <c r="Q40" s="1573">
        <f t="shared" si="11"/>
        <v>111</v>
      </c>
      <c r="R40" s="1574" t="s">
        <v>8</v>
      </c>
      <c r="S40" s="1575">
        <f t="shared" si="12"/>
        <v>100</v>
      </c>
      <c r="T40" s="1574" t="s">
        <v>8</v>
      </c>
      <c r="U40" s="1575">
        <f t="shared" si="13"/>
        <v>100</v>
      </c>
      <c r="V40" s="1574" t="s">
        <v>8</v>
      </c>
      <c r="W40" s="1575">
        <f t="shared" si="14"/>
        <v>100</v>
      </c>
      <c r="X40" s="1568"/>
      <c r="Y40" s="3490"/>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4"/>
      <c r="M41" s="2145"/>
      <c r="N41" s="2134"/>
      <c r="O41" s="2145"/>
      <c r="P41" s="3375" t="str">
        <f>A41</f>
        <v>成交单价（元/平方米）</v>
      </c>
      <c r="Q41" s="3375"/>
      <c r="R41" s="3489">
        <f>E41</f>
        <v>0</v>
      </c>
      <c r="S41" s="3489"/>
      <c r="T41" s="3489">
        <f>G41</f>
        <v>0</v>
      </c>
      <c r="U41" s="3489"/>
      <c r="V41" s="3489">
        <f>I41</f>
        <v>0</v>
      </c>
      <c r="W41" s="3489"/>
      <c r="X41" s="1560"/>
      <c r="Y41" s="1582"/>
      <c r="Z41" s="1560"/>
      <c r="AA41" s="1560"/>
      <c r="AB41" s="1560"/>
      <c r="AC41" s="1560"/>
    </row>
    <row r="42" spans="1:29" ht="15.75" thickBot="1">
      <c r="A42" s="615" t="s">
        <v>2762</v>
      </c>
      <c r="B42" s="888"/>
      <c r="C42" s="2633" t="e">
        <f>R43</f>
        <v>#DIV/0!</v>
      </c>
      <c r="D42" s="2634"/>
      <c r="E42" s="2635" t="e">
        <f>R42</f>
        <v>#DIV/0!</v>
      </c>
      <c r="F42" s="2635"/>
      <c r="G42" s="2633" t="e">
        <f>T42</f>
        <v>#DIV/0!</v>
      </c>
      <c r="H42" s="2634"/>
      <c r="I42" s="2635" t="e">
        <f>V42</f>
        <v>#DIV/0!</v>
      </c>
      <c r="J42" s="2634"/>
      <c r="K42" s="1613"/>
      <c r="L42" s="2144"/>
      <c r="M42" s="2145"/>
      <c r="N42" s="2134"/>
      <c r="O42" s="2145"/>
      <c r="P42" s="3375" t="str">
        <f>A42</f>
        <v>比较价格（元/平方米）</v>
      </c>
      <c r="Q42" s="3375"/>
      <c r="R42" s="3489" t="e">
        <f>IF(F1="售价",ROUND(PRODUCT(R41,AA7:AA40),0),ROUND(PRODUCT(R41,AA7:AA40),1))</f>
        <v>#DIV/0!</v>
      </c>
      <c r="S42" s="3489"/>
      <c r="T42" s="3489" t="e">
        <f>IF(F1="售价",ROUND(PRODUCT(T41,AB7:AB40),0),ROUND(PRODUCT(T41,AB7:AB40),1))</f>
        <v>#DIV/0!</v>
      </c>
      <c r="U42" s="3489"/>
      <c r="V42" s="3489" t="e">
        <f>IF(F1="售价",ROUND(PRODUCT(V41,AC7:AC40),0),ROUND(PRODUCT(V41,AC7:AC40),1))</f>
        <v>#DIV/0!</v>
      </c>
      <c r="W42" s="3489"/>
      <c r="X42" s="1560"/>
      <c r="Y42" s="1560"/>
      <c r="Z42" s="1560"/>
      <c r="AA42" s="1560"/>
      <c r="AB42" s="1560"/>
      <c r="AC42" s="1560"/>
    </row>
    <row r="43" spans="1:29" ht="15.75" thickBot="1">
      <c r="A43" s="621" t="s">
        <v>2934</v>
      </c>
      <c r="B43" s="622"/>
      <c r="C43" s="2636" t="e">
        <f>R43</f>
        <v>#DIV/0!</v>
      </c>
      <c r="D43" s="2636"/>
      <c r="E43" s="2636"/>
      <c r="F43" s="2636"/>
      <c r="G43" s="2636"/>
      <c r="H43" s="2636"/>
      <c r="I43" s="2636"/>
      <c r="J43" s="2636"/>
      <c r="K43" s="1614"/>
      <c r="L43" s="2144"/>
      <c r="M43" s="2145"/>
      <c r="N43" s="2145"/>
      <c r="O43" s="2145"/>
      <c r="P43" s="3372" t="str">
        <f>A43</f>
        <v>估价对象XX用房的比较价格（楼面单价，元/平方米）</v>
      </c>
      <c r="Q43" s="3373"/>
      <c r="R43" s="3488" t="e">
        <f>IF(F1="售价",ROUND(AVERAGE(R42:V42),0),ROUND(AVERAGE(R42:V42),1))</f>
        <v>#DIV/0!</v>
      </c>
      <c r="S43" s="3488"/>
      <c r="T43" s="3488"/>
      <c r="U43" s="3488"/>
      <c r="V43" s="3488"/>
      <c r="W43" s="3488"/>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2018-11</v>
      </c>
      <c r="D52" s="2804">
        <f>EDATE(C52,-1)</f>
        <v>43374</v>
      </c>
      <c r="E52" s="2804">
        <f t="shared" ref="E52:O52" si="16">EDATE(D52,-1)</f>
        <v>43344</v>
      </c>
      <c r="F52" s="2804">
        <f t="shared" si="16"/>
        <v>43313</v>
      </c>
      <c r="G52" s="2804">
        <f t="shared" si="16"/>
        <v>43282</v>
      </c>
      <c r="H52" s="2804">
        <f t="shared" si="16"/>
        <v>43252</v>
      </c>
      <c r="I52" s="2804">
        <f t="shared" si="16"/>
        <v>43221</v>
      </c>
      <c r="J52" s="2804">
        <f t="shared" si="16"/>
        <v>43191</v>
      </c>
      <c r="K52" s="2804">
        <f t="shared" si="16"/>
        <v>43160</v>
      </c>
      <c r="L52" s="2804">
        <f t="shared" si="16"/>
        <v>43132</v>
      </c>
      <c r="M52" s="2804">
        <f t="shared" si="16"/>
        <v>43101</v>
      </c>
      <c r="N52" s="2804">
        <f t="shared" si="16"/>
        <v>43070</v>
      </c>
      <c r="O52" s="2804">
        <f t="shared" si="16"/>
        <v>43040</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2559</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2078</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1" t="s">
        <v>798</v>
      </c>
      <c r="D4" s="3382"/>
      <c r="E4" s="3381" t="s">
        <v>799</v>
      </c>
      <c r="F4" s="3382"/>
      <c r="G4" s="3381" t="s">
        <v>800</v>
      </c>
      <c r="H4" s="3382"/>
      <c r="I4" s="3381" t="s">
        <v>801</v>
      </c>
      <c r="J4" s="3382"/>
      <c r="K4" s="514" t="s">
        <v>802</v>
      </c>
      <c r="L4" s="2133"/>
      <c r="M4" s="2134"/>
      <c r="N4" s="2134"/>
      <c r="O4" s="2134"/>
      <c r="P4" s="3383" t="s">
        <v>803</v>
      </c>
      <c r="Q4" s="3384"/>
      <c r="R4" s="3389" t="s">
        <v>799</v>
      </c>
      <c r="S4" s="3390"/>
      <c r="T4" s="3389" t="s">
        <v>800</v>
      </c>
      <c r="U4" s="3390"/>
      <c r="V4" s="3376" t="s">
        <v>801</v>
      </c>
      <c r="W4" s="3376"/>
      <c r="X4" s="1568"/>
      <c r="Y4" s="3389" t="s">
        <v>803</v>
      </c>
      <c r="Z4" s="3390"/>
      <c r="AA4" s="3378" t="s">
        <v>799</v>
      </c>
      <c r="AB4" s="3379" t="s">
        <v>800</v>
      </c>
      <c r="AC4" s="3378" t="s">
        <v>801</v>
      </c>
    </row>
    <row r="5" spans="1:29" ht="15">
      <c r="A5" s="515"/>
      <c r="B5" s="516"/>
      <c r="C5" s="3413" t="s">
        <v>2928</v>
      </c>
      <c r="D5" s="3398"/>
      <c r="E5" s="3413" t="s">
        <v>2929</v>
      </c>
      <c r="F5" s="3398"/>
      <c r="G5" s="3413" t="s">
        <v>2930</v>
      </c>
      <c r="H5" s="3398"/>
      <c r="I5" s="3413" t="s">
        <v>2931</v>
      </c>
      <c r="J5" s="3398"/>
      <c r="K5" s="514"/>
      <c r="L5" s="2133"/>
      <c r="M5" s="2134"/>
      <c r="N5" s="2134"/>
      <c r="O5" s="2134"/>
      <c r="P5" s="3385"/>
      <c r="Q5" s="3386"/>
      <c r="R5" s="3391"/>
      <c r="S5" s="3392"/>
      <c r="T5" s="3391"/>
      <c r="U5" s="3392"/>
      <c r="V5" s="3376"/>
      <c r="W5" s="3376"/>
      <c r="X5" s="1568"/>
      <c r="Y5" s="3391"/>
      <c r="Z5" s="3392"/>
      <c r="AA5" s="3379"/>
      <c r="AB5" s="3379"/>
      <c r="AC5" s="3379"/>
    </row>
    <row r="6" spans="1:29" ht="15.75" thickBot="1">
      <c r="A6" s="517"/>
      <c r="B6" s="518"/>
      <c r="C6" s="3395" t="s">
        <v>2932</v>
      </c>
      <c r="D6" s="3396"/>
      <c r="E6" s="3399" t="s">
        <v>2932</v>
      </c>
      <c r="F6" s="3400"/>
      <c r="G6" s="3395" t="s">
        <v>2932</v>
      </c>
      <c r="H6" s="3396"/>
      <c r="I6" s="3395" t="s">
        <v>2932</v>
      </c>
      <c r="J6" s="3396"/>
      <c r="K6" s="514" t="s">
        <v>528</v>
      </c>
      <c r="L6" s="2133"/>
      <c r="M6" s="2134"/>
      <c r="N6" s="2134"/>
      <c r="O6" s="2134"/>
      <c r="P6" s="3387"/>
      <c r="Q6" s="3388"/>
      <c r="R6" s="3391"/>
      <c r="S6" s="3392"/>
      <c r="T6" s="3393"/>
      <c r="U6" s="3394"/>
      <c r="V6" s="3376"/>
      <c r="W6" s="3376"/>
      <c r="X6" s="1568"/>
      <c r="Y6" s="3393"/>
      <c r="Z6" s="3394"/>
      <c r="AA6" s="3380"/>
      <c r="AB6" s="3380"/>
      <c r="AC6" s="3380"/>
    </row>
    <row r="7" spans="1:29" s="1220" customFormat="1" ht="15.75" thickBot="1">
      <c r="A7" s="2912"/>
      <c r="B7" s="2919" t="s">
        <v>529</v>
      </c>
      <c r="C7" s="519">
        <f>'数据-取费表'!B2</f>
        <v>43418</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6" t="s">
        <v>530</v>
      </c>
      <c r="Q7" s="3408"/>
      <c r="R7" s="1569" t="s">
        <v>8</v>
      </c>
      <c r="S7" s="1570">
        <f t="shared" ref="S7:S14" si="0">F7</f>
        <v>0</v>
      </c>
      <c r="T7" s="1569" t="s">
        <v>8</v>
      </c>
      <c r="U7" s="1570">
        <f t="shared" ref="U7:U14" si="1">H7</f>
        <v>0</v>
      </c>
      <c r="V7" s="1569" t="s">
        <v>8</v>
      </c>
      <c r="W7" s="1570">
        <f t="shared" ref="W7:W14" si="2">J7</f>
        <v>0</v>
      </c>
      <c r="X7" s="1571"/>
      <c r="Y7" s="3406" t="s">
        <v>530</v>
      </c>
      <c r="Z7" s="3407"/>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6" t="s">
        <v>533</v>
      </c>
      <c r="Q8" s="3407"/>
      <c r="R8" s="1569" t="s">
        <v>8</v>
      </c>
      <c r="S8" s="1570">
        <f t="shared" si="0"/>
        <v>0</v>
      </c>
      <c r="T8" s="1569" t="s">
        <v>8</v>
      </c>
      <c r="U8" s="1570">
        <f t="shared" si="1"/>
        <v>0</v>
      </c>
      <c r="V8" s="1569" t="s">
        <v>8</v>
      </c>
      <c r="W8" s="1570">
        <f t="shared" si="2"/>
        <v>0</v>
      </c>
      <c r="X8" s="1571"/>
      <c r="Y8" s="3406" t="s">
        <v>533</v>
      </c>
      <c r="Z8" s="3407"/>
      <c r="AA8" s="1572" t="e">
        <f t="shared" ref="AA8:AA36" si="3">D8/F8</f>
        <v>#DIV/0!</v>
      </c>
      <c r="AB8" s="1572" t="e">
        <f t="shared" ref="AB8:AB36" si="4">D8/H8</f>
        <v>#DIV/0!</v>
      </c>
      <c r="AC8" s="1572" t="e">
        <f t="shared" ref="AC8:AC36" si="5">D8/J8</f>
        <v>#DIV/0!</v>
      </c>
    </row>
    <row r="9" spans="1:29" s="1220"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75"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75"/>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910"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9" t="s">
        <v>540</v>
      </c>
      <c r="Q14" s="1573" t="str">
        <f t="shared" si="6"/>
        <v>交通便捷度</v>
      </c>
      <c r="R14" s="1574" t="s">
        <v>8</v>
      </c>
      <c r="S14" s="1575">
        <f t="shared" si="0"/>
        <v>100</v>
      </c>
      <c r="T14" s="1574" t="s">
        <v>8</v>
      </c>
      <c r="U14" s="1575">
        <f t="shared" si="1"/>
        <v>100</v>
      </c>
      <c r="V14" s="1574" t="s">
        <v>8</v>
      </c>
      <c r="W14" s="1575">
        <f t="shared" si="2"/>
        <v>100</v>
      </c>
      <c r="X14" s="1568"/>
      <c r="Y14" s="340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10"/>
      <c r="Q15" s="1573"/>
      <c r="R15" s="1574"/>
      <c r="S15" s="1575"/>
      <c r="T15" s="1574"/>
      <c r="U15" s="1575"/>
      <c r="V15" s="1574"/>
      <c r="W15" s="1575"/>
      <c r="X15" s="1568"/>
      <c r="Y15" s="3410"/>
      <c r="Z15" s="1576"/>
      <c r="AA15" s="1577">
        <v>1</v>
      </c>
      <c r="AB15" s="1577">
        <v>1</v>
      </c>
      <c r="AC15" s="1577">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0"/>
      <c r="Q16" s="1573" t="str">
        <f>B16</f>
        <v>公共配套设施</v>
      </c>
      <c r="R16" s="1574" t="s">
        <v>8</v>
      </c>
      <c r="S16" s="1575">
        <f>F16</f>
        <v>100</v>
      </c>
      <c r="T16" s="1574" t="s">
        <v>8</v>
      </c>
      <c r="U16" s="1575">
        <f>H16</f>
        <v>100</v>
      </c>
      <c r="V16" s="1574" t="s">
        <v>8</v>
      </c>
      <c r="W16" s="1575">
        <f>J16</f>
        <v>100</v>
      </c>
      <c r="X16" s="1568"/>
      <c r="Y16" s="341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10"/>
      <c r="Q17" s="1573"/>
      <c r="R17" s="1574"/>
      <c r="S17" s="1575"/>
      <c r="T17" s="1574"/>
      <c r="U17" s="1575"/>
      <c r="V17" s="1574"/>
      <c r="W17" s="1575"/>
      <c r="X17" s="1568"/>
      <c r="Y17" s="3410"/>
      <c r="Z17" s="1576"/>
      <c r="AA17" s="1577">
        <v>1</v>
      </c>
      <c r="AB17" s="1577">
        <v>1</v>
      </c>
      <c r="AC17" s="1577">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0"/>
      <c r="Q18" s="2579" t="str">
        <f>B18</f>
        <v>基础设施水平</v>
      </c>
      <c r="R18" s="1574" t="s">
        <v>8</v>
      </c>
      <c r="S18" s="1575">
        <f>F18</f>
        <v>100</v>
      </c>
      <c r="T18" s="1574" t="s">
        <v>8</v>
      </c>
      <c r="U18" s="1575">
        <f>H18</f>
        <v>100</v>
      </c>
      <c r="V18" s="1574" t="s">
        <v>8</v>
      </c>
      <c r="W18" s="1575">
        <f>J18</f>
        <v>100</v>
      </c>
      <c r="X18" s="2581"/>
      <c r="Y18" s="3410"/>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410"/>
      <c r="Q19" s="2579"/>
      <c r="R19" s="1574"/>
      <c r="S19" s="1575"/>
      <c r="T19" s="1574"/>
      <c r="U19" s="1575"/>
      <c r="V19" s="1574"/>
      <c r="W19" s="1575"/>
      <c r="X19" s="2581"/>
      <c r="Y19" s="3410"/>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0"/>
      <c r="Q20" s="1573" t="str">
        <f>B20</f>
        <v>自然及人文环境</v>
      </c>
      <c r="R20" s="1574" t="s">
        <v>8</v>
      </c>
      <c r="S20" s="1575">
        <f>F20</f>
        <v>100</v>
      </c>
      <c r="T20" s="1574" t="s">
        <v>8</v>
      </c>
      <c r="U20" s="1575">
        <f>H20</f>
        <v>100</v>
      </c>
      <c r="V20" s="1574" t="s">
        <v>8</v>
      </c>
      <c r="W20" s="1575">
        <f>J20</f>
        <v>100</v>
      </c>
      <c r="X20" s="1568"/>
      <c r="Y20" s="341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10"/>
      <c r="Q21" s="1573"/>
      <c r="R21" s="1574"/>
      <c r="S21" s="1575"/>
      <c r="T21" s="1574"/>
      <c r="U21" s="1575"/>
      <c r="V21" s="1574"/>
      <c r="W21" s="1575"/>
      <c r="X21" s="1568"/>
      <c r="Y21" s="341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0"/>
      <c r="Q22" s="1573" t="str">
        <f>B22</f>
        <v>楼层</v>
      </c>
      <c r="R22" s="1574" t="s">
        <v>8</v>
      </c>
      <c r="S22" s="1575">
        <f>F22</f>
        <v>100</v>
      </c>
      <c r="T22" s="1574" t="s">
        <v>8</v>
      </c>
      <c r="U22" s="1575">
        <f>H22</f>
        <v>100</v>
      </c>
      <c r="V22" s="1574" t="s">
        <v>8</v>
      </c>
      <c r="W22" s="1575">
        <f>J22</f>
        <v>100</v>
      </c>
      <c r="X22" s="1568"/>
      <c r="Y22" s="341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0"/>
      <c r="Q23" s="1573">
        <f>B23</f>
        <v>111</v>
      </c>
      <c r="R23" s="1574" t="s">
        <v>8</v>
      </c>
      <c r="S23" s="1575">
        <f>F23</f>
        <v>100</v>
      </c>
      <c r="T23" s="1574" t="s">
        <v>8</v>
      </c>
      <c r="U23" s="1575">
        <f>H23</f>
        <v>100</v>
      </c>
      <c r="V23" s="1574" t="s">
        <v>8</v>
      </c>
      <c r="W23" s="1575">
        <f>J23</f>
        <v>100</v>
      </c>
      <c r="X23" s="1568"/>
      <c r="Y23" s="341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0"/>
      <c r="Q24" s="1573">
        <f t="shared" ref="Q24:Q36" si="11">B24</f>
        <v>111</v>
      </c>
      <c r="R24" s="1574" t="s">
        <v>8</v>
      </c>
      <c r="S24" s="1575">
        <f>F24</f>
        <v>100</v>
      </c>
      <c r="T24" s="1574" t="s">
        <v>8</v>
      </c>
      <c r="U24" s="1575">
        <f>H24</f>
        <v>100</v>
      </c>
      <c r="V24" s="1574" t="s">
        <v>8</v>
      </c>
      <c r="W24" s="1575">
        <f>J24</f>
        <v>100</v>
      </c>
      <c r="X24" s="1568"/>
      <c r="Y24" s="341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0"/>
      <c r="Q25" s="1151">
        <f t="shared" si="11"/>
        <v>111</v>
      </c>
      <c r="R25" s="1569" t="s">
        <v>8</v>
      </c>
      <c r="S25" s="1570">
        <f>F25</f>
        <v>100</v>
      </c>
      <c r="T25" s="1569" t="s">
        <v>8</v>
      </c>
      <c r="U25" s="1570">
        <f>H25</f>
        <v>100</v>
      </c>
      <c r="V25" s="1569" t="s">
        <v>8</v>
      </c>
      <c r="W25" s="1570">
        <f>J25</f>
        <v>100</v>
      </c>
      <c r="X25" s="1571"/>
      <c r="Y25" s="3410"/>
      <c r="Z25" s="1150">
        <f>Q25</f>
        <v>111</v>
      </c>
      <c r="AA25" s="1577">
        <f>D25/F25</f>
        <v>1</v>
      </c>
      <c r="AB25" s="1577">
        <f>D25/H25</f>
        <v>1</v>
      </c>
      <c r="AC25" s="1577">
        <f>D25/J25</f>
        <v>1</v>
      </c>
    </row>
    <row r="26" spans="1:29" ht="15">
      <c r="A26" s="2907" t="s">
        <v>2757</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2"/>
      <c r="Q27" s="1606" t="str">
        <f t="shared" si="11"/>
        <v>项目停车位配比</v>
      </c>
      <c r="R27" s="1578" t="s">
        <v>8</v>
      </c>
      <c r="S27" s="1579">
        <f t="shared" si="12"/>
        <v>100</v>
      </c>
      <c r="T27" s="1578" t="s">
        <v>8</v>
      </c>
      <c r="U27" s="1579">
        <f t="shared" si="13"/>
        <v>100</v>
      </c>
      <c r="V27" s="1578" t="s">
        <v>8</v>
      </c>
      <c r="W27" s="1579">
        <f t="shared" si="14"/>
        <v>100</v>
      </c>
      <c r="X27" s="1580"/>
      <c r="Y27" s="341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2"/>
      <c r="Q28" s="1573" t="str">
        <f t="shared" si="11"/>
        <v>公共部分装修</v>
      </c>
      <c r="R28" s="1574" t="s">
        <v>8</v>
      </c>
      <c r="S28" s="1575">
        <f t="shared" si="12"/>
        <v>100</v>
      </c>
      <c r="T28" s="1574" t="s">
        <v>8</v>
      </c>
      <c r="U28" s="1575">
        <f t="shared" si="13"/>
        <v>100</v>
      </c>
      <c r="V28" s="1574" t="s">
        <v>8</v>
      </c>
      <c r="W28" s="1575">
        <f t="shared" si="14"/>
        <v>100</v>
      </c>
      <c r="X28" s="1568"/>
      <c r="Y28" s="341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2"/>
      <c r="Q29" s="1573" t="str">
        <f t="shared" si="11"/>
        <v>成新率</v>
      </c>
      <c r="R29" s="1574" t="s">
        <v>8</v>
      </c>
      <c r="S29" s="1575" t="e">
        <f t="shared" si="12"/>
        <v>#N/A</v>
      </c>
      <c r="T29" s="1574" t="s">
        <v>8</v>
      </c>
      <c r="U29" s="1575" t="e">
        <f t="shared" si="13"/>
        <v>#N/A</v>
      </c>
      <c r="V29" s="1574" t="s">
        <v>8</v>
      </c>
      <c r="W29" s="1575" t="e">
        <f t="shared" si="14"/>
        <v>#N/A</v>
      </c>
      <c r="X29" s="1568"/>
      <c r="Y29" s="341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2"/>
      <c r="Q30" s="1573" t="str">
        <f t="shared" si="11"/>
        <v>物业等级</v>
      </c>
      <c r="R30" s="1574" t="s">
        <v>8</v>
      </c>
      <c r="S30" s="1575">
        <f t="shared" si="12"/>
        <v>100</v>
      </c>
      <c r="T30" s="1574" t="s">
        <v>8</v>
      </c>
      <c r="U30" s="1575">
        <f t="shared" si="13"/>
        <v>100</v>
      </c>
      <c r="V30" s="1574" t="s">
        <v>8</v>
      </c>
      <c r="W30" s="1575">
        <f t="shared" si="14"/>
        <v>100</v>
      </c>
      <c r="X30" s="1568"/>
      <c r="Y30" s="341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2"/>
      <c r="Q31" s="1151" t="str">
        <f t="shared" si="11"/>
        <v>停车位面积</v>
      </c>
      <c r="R31" s="1569" t="s">
        <v>8</v>
      </c>
      <c r="S31" s="1570" t="e">
        <f t="shared" si="12"/>
        <v>#N/A</v>
      </c>
      <c r="T31" s="1569" t="s">
        <v>8</v>
      </c>
      <c r="U31" s="1570" t="e">
        <f t="shared" si="13"/>
        <v>#N/A</v>
      </c>
      <c r="V31" s="1569" t="s">
        <v>8</v>
      </c>
      <c r="W31" s="1570" t="e">
        <f t="shared" si="14"/>
        <v>#N/A</v>
      </c>
      <c r="X31" s="1571"/>
      <c r="Y31" s="341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2" t="s">
        <v>550</v>
      </c>
      <c r="Q32" s="1573" t="str">
        <f t="shared" si="11"/>
        <v>车位类型</v>
      </c>
      <c r="R32" s="1574" t="s">
        <v>8</v>
      </c>
      <c r="S32" s="1575">
        <f t="shared" si="12"/>
        <v>100</v>
      </c>
      <c r="T32" s="1574" t="s">
        <v>8</v>
      </c>
      <c r="U32" s="1575">
        <f t="shared" si="13"/>
        <v>100</v>
      </c>
      <c r="V32" s="1574" t="s">
        <v>8</v>
      </c>
      <c r="W32" s="1575">
        <f t="shared" si="14"/>
        <v>100</v>
      </c>
      <c r="X32" s="1568"/>
      <c r="Y32" s="341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2"/>
      <c r="Q33" s="1573" t="str">
        <f t="shared" si="11"/>
        <v>是否直接入户</v>
      </c>
      <c r="R33" s="1574" t="s">
        <v>8</v>
      </c>
      <c r="S33" s="1575">
        <f t="shared" si="12"/>
        <v>100</v>
      </c>
      <c r="T33" s="1574" t="s">
        <v>8</v>
      </c>
      <c r="U33" s="1575">
        <f t="shared" si="13"/>
        <v>100</v>
      </c>
      <c r="V33" s="1574" t="s">
        <v>8</v>
      </c>
      <c r="W33" s="1575">
        <f t="shared" si="14"/>
        <v>100</v>
      </c>
      <c r="X33" s="1568"/>
      <c r="Y33" s="341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2"/>
      <c r="Q34" s="1573">
        <f t="shared" si="11"/>
        <v>111</v>
      </c>
      <c r="R34" s="1574" t="s">
        <v>8</v>
      </c>
      <c r="S34" s="1575">
        <f t="shared" si="12"/>
        <v>100</v>
      </c>
      <c r="T34" s="1574" t="s">
        <v>8</v>
      </c>
      <c r="U34" s="1575">
        <f t="shared" si="13"/>
        <v>100</v>
      </c>
      <c r="V34" s="1574" t="s">
        <v>8</v>
      </c>
      <c r="W34" s="1575">
        <f t="shared" si="14"/>
        <v>100</v>
      </c>
      <c r="X34" s="1568"/>
      <c r="Y34" s="341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2"/>
      <c r="Q35" s="1606">
        <f t="shared" si="11"/>
        <v>111</v>
      </c>
      <c r="R35" s="1578" t="s">
        <v>8</v>
      </c>
      <c r="S35" s="1579">
        <f t="shared" si="12"/>
        <v>100</v>
      </c>
      <c r="T35" s="1578" t="s">
        <v>8</v>
      </c>
      <c r="U35" s="1579">
        <f t="shared" si="13"/>
        <v>100</v>
      </c>
      <c r="V35" s="1578" t="s">
        <v>8</v>
      </c>
      <c r="W35" s="1579">
        <f t="shared" si="14"/>
        <v>100</v>
      </c>
      <c r="X35" s="1580"/>
      <c r="Y35" s="341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2"/>
      <c r="Q36" s="1573">
        <f t="shared" si="11"/>
        <v>111</v>
      </c>
      <c r="R36" s="1574" t="s">
        <v>8</v>
      </c>
      <c r="S36" s="1575">
        <f t="shared" si="12"/>
        <v>100</v>
      </c>
      <c r="T36" s="1574" t="s">
        <v>8</v>
      </c>
      <c r="U36" s="1575">
        <f t="shared" si="13"/>
        <v>100</v>
      </c>
      <c r="V36" s="1574" t="s">
        <v>8</v>
      </c>
      <c r="W36" s="1575">
        <f t="shared" si="14"/>
        <v>100</v>
      </c>
      <c r="X36" s="1568"/>
      <c r="Y36" s="3412"/>
      <c r="Z36" s="1576">
        <f t="shared" si="15"/>
        <v>111</v>
      </c>
      <c r="AA36" s="1577">
        <f t="shared" si="3"/>
        <v>1</v>
      </c>
      <c r="AB36" s="1577">
        <f t="shared" si="4"/>
        <v>1</v>
      </c>
      <c r="AC36" s="1577">
        <f t="shared" si="5"/>
        <v>1</v>
      </c>
    </row>
    <row r="37" spans="1:29" ht="15">
      <c r="A37" s="1848" t="s">
        <v>2079</v>
      </c>
      <c r="B37" s="1849" t="s">
        <v>2080</v>
      </c>
      <c r="C37" s="2627" t="s">
        <v>1</v>
      </c>
      <c r="D37" s="2628"/>
      <c r="E37" s="2629"/>
      <c r="F37" s="2630"/>
      <c r="G37" s="2631"/>
      <c r="H37" s="2632"/>
      <c r="I37" s="2629"/>
      <c r="J37" s="2632"/>
      <c r="K37" s="1612"/>
      <c r="L37" s="2144"/>
      <c r="M37" s="2145"/>
      <c r="N37" s="2134"/>
      <c r="O37" s="2145"/>
      <c r="P37" s="3375" t="str">
        <f>A37</f>
        <v>成交单价</v>
      </c>
      <c r="Q37" s="3375"/>
      <c r="R37" s="3489">
        <f>E37</f>
        <v>0</v>
      </c>
      <c r="S37" s="3489"/>
      <c r="T37" s="3489">
        <f>G37</f>
        <v>0</v>
      </c>
      <c r="U37" s="3489"/>
      <c r="V37" s="3489">
        <f>I37</f>
        <v>0</v>
      </c>
      <c r="W37" s="3489"/>
      <c r="X37" s="1560"/>
      <c r="Y37" s="1582"/>
      <c r="Z37" s="1560"/>
      <c r="AA37" s="1560"/>
      <c r="AB37" s="1560"/>
      <c r="AC37" s="1560"/>
    </row>
    <row r="38" spans="1:29" ht="15.75" thickBot="1">
      <c r="A38" s="615" t="s">
        <v>2762</v>
      </c>
      <c r="B38" s="888"/>
      <c r="C38" s="2633" t="e">
        <f>R39</f>
        <v>#DIV/0!</v>
      </c>
      <c r="D38" s="2634"/>
      <c r="E38" s="2635" t="e">
        <f>R38</f>
        <v>#DIV/0!</v>
      </c>
      <c r="F38" s="2635"/>
      <c r="G38" s="2633" t="e">
        <f>T38</f>
        <v>#DIV/0!</v>
      </c>
      <c r="H38" s="2634"/>
      <c r="I38" s="2635" t="e">
        <f>V38</f>
        <v>#DIV/0!</v>
      </c>
      <c r="J38" s="2634"/>
      <c r="K38" s="1613"/>
      <c r="L38" s="2144"/>
      <c r="M38" s="2145"/>
      <c r="N38" s="2145"/>
      <c r="O38" s="2145"/>
      <c r="P38" s="3375" t="str">
        <f>A38</f>
        <v>比较价格（元/平方米）</v>
      </c>
      <c r="Q38" s="3375"/>
      <c r="R38" s="3489" t="e">
        <f>IF(F1="售价",ROUND(PRODUCT(R37,AA7:AA36),0),ROUND(PRODUCT(R37,AA7:AA36),1))</f>
        <v>#DIV/0!</v>
      </c>
      <c r="S38" s="3489"/>
      <c r="T38" s="3489" t="e">
        <f>IF(F1="售价",ROUND(PRODUCT(T37,AB7:AB36),0),ROUND(PRODUCT(T37,AB7:AB36),1))</f>
        <v>#DIV/0!</v>
      </c>
      <c r="U38" s="3489"/>
      <c r="V38" s="3489" t="e">
        <f>IF(F1="售价",ROUND(PRODUCT(V37,AC7:AC36),0),ROUND(PRODUCT(V37,AC7:AC36),1))</f>
        <v>#DIV/0!</v>
      </c>
      <c r="W38" s="3489"/>
      <c r="X38" s="1560"/>
      <c r="Y38" s="1560"/>
      <c r="Z38" s="1560"/>
      <c r="AA38" s="1560"/>
      <c r="AB38" s="1560"/>
      <c r="AC38" s="1560"/>
    </row>
    <row r="39" spans="1:29" ht="15.75" thickBot="1">
      <c r="A39" s="621" t="s">
        <v>2934</v>
      </c>
      <c r="B39" s="622"/>
      <c r="C39" s="2636" t="e">
        <f>R39</f>
        <v>#DIV/0!</v>
      </c>
      <c r="D39" s="2636"/>
      <c r="E39" s="2636"/>
      <c r="F39" s="2636"/>
      <c r="G39" s="2636"/>
      <c r="H39" s="2636"/>
      <c r="I39" s="2636"/>
      <c r="J39" s="2636"/>
      <c r="K39" s="1614"/>
      <c r="L39" s="2144"/>
      <c r="M39" s="2145"/>
      <c r="N39" s="2145"/>
      <c r="O39" s="2145"/>
      <c r="P39" s="3372" t="str">
        <f>A39</f>
        <v>估价对象XX用房的比较价格（楼面单价，元/平方米）</v>
      </c>
      <c r="Q39" s="3373"/>
      <c r="R39" s="3488" t="e">
        <f>IF(F1="售价",ROUND(AVERAGE(R38:V38),0),ROUND(AVERAGE(R38:V38),1))</f>
        <v>#DIV/0!</v>
      </c>
      <c r="S39" s="3488"/>
      <c r="T39" s="3488"/>
      <c r="U39" s="3488"/>
      <c r="V39" s="3488"/>
      <c r="W39" s="3488"/>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2018-11</v>
      </c>
      <c r="D48" s="2804">
        <f>EDATE(C48,-1)</f>
        <v>43374</v>
      </c>
      <c r="E48" s="2804">
        <f t="shared" ref="E48:O48" si="16">EDATE(D48,-1)</f>
        <v>43344</v>
      </c>
      <c r="F48" s="2804">
        <f t="shared" si="16"/>
        <v>43313</v>
      </c>
      <c r="G48" s="2804">
        <f t="shared" si="16"/>
        <v>43282</v>
      </c>
      <c r="H48" s="2804">
        <f t="shared" si="16"/>
        <v>43252</v>
      </c>
      <c r="I48" s="2804">
        <f t="shared" si="16"/>
        <v>43221</v>
      </c>
      <c r="J48" s="2804">
        <f t="shared" si="16"/>
        <v>43191</v>
      </c>
      <c r="K48" s="2804">
        <f t="shared" si="16"/>
        <v>43160</v>
      </c>
      <c r="L48" s="2804">
        <f t="shared" si="16"/>
        <v>43132</v>
      </c>
      <c r="M48" s="2804">
        <f t="shared" si="16"/>
        <v>43101</v>
      </c>
      <c r="N48" s="2804">
        <f t="shared" si="16"/>
        <v>43070</v>
      </c>
      <c r="O48" s="2804">
        <f t="shared" si="16"/>
        <v>43040</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2559</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81" t="s">
        <v>798</v>
      </c>
      <c r="D4" s="3382"/>
      <c r="E4" s="3416" t="s">
        <v>799</v>
      </c>
      <c r="F4" s="3417"/>
      <c r="G4" s="3381" t="s">
        <v>800</v>
      </c>
      <c r="H4" s="3382"/>
      <c r="I4" s="3381" t="s">
        <v>801</v>
      </c>
      <c r="J4" s="3382"/>
      <c r="K4" s="514" t="s">
        <v>802</v>
      </c>
      <c r="L4" s="2133"/>
      <c r="M4" s="2134"/>
      <c r="N4" s="2134"/>
      <c r="O4" s="2134"/>
      <c r="P4" s="3383" t="s">
        <v>803</v>
      </c>
      <c r="Q4" s="3384"/>
      <c r="R4" s="3389" t="s">
        <v>799</v>
      </c>
      <c r="S4" s="3390"/>
      <c r="T4" s="3389" t="s">
        <v>800</v>
      </c>
      <c r="U4" s="3390"/>
      <c r="V4" s="3376" t="s">
        <v>801</v>
      </c>
      <c r="W4" s="3376"/>
      <c r="X4" s="1568"/>
      <c r="Y4" s="3389" t="s">
        <v>803</v>
      </c>
      <c r="Z4" s="3390"/>
      <c r="AA4" s="3378" t="s">
        <v>799</v>
      </c>
      <c r="AB4" s="3379" t="s">
        <v>800</v>
      </c>
      <c r="AC4" s="3378" t="s">
        <v>801</v>
      </c>
    </row>
    <row r="5" spans="1:29" ht="15">
      <c r="A5" s="515"/>
      <c r="B5" s="516"/>
      <c r="C5" s="3413" t="s">
        <v>2928</v>
      </c>
      <c r="D5" s="3398"/>
      <c r="E5" s="3418" t="s">
        <v>2929</v>
      </c>
      <c r="F5" s="3419"/>
      <c r="G5" s="3413" t="s">
        <v>2930</v>
      </c>
      <c r="H5" s="3398"/>
      <c r="I5" s="3413" t="s">
        <v>2931</v>
      </c>
      <c r="J5" s="3398"/>
      <c r="K5" s="514"/>
      <c r="L5" s="2133"/>
      <c r="M5" s="2134"/>
      <c r="N5" s="2134"/>
      <c r="O5" s="2134"/>
      <c r="P5" s="3385"/>
      <c r="Q5" s="3386"/>
      <c r="R5" s="3391"/>
      <c r="S5" s="3392"/>
      <c r="T5" s="3391"/>
      <c r="U5" s="3392"/>
      <c r="V5" s="3376"/>
      <c r="W5" s="3376"/>
      <c r="X5" s="1568"/>
      <c r="Y5" s="3391"/>
      <c r="Z5" s="3392"/>
      <c r="AA5" s="3379"/>
      <c r="AB5" s="3379"/>
      <c r="AC5" s="3379"/>
    </row>
    <row r="6" spans="1:29" ht="15.75" thickBot="1">
      <c r="A6" s="517"/>
      <c r="B6" s="518"/>
      <c r="C6" s="3395" t="s">
        <v>2932</v>
      </c>
      <c r="D6" s="3396"/>
      <c r="E6" s="3414" t="s">
        <v>2932</v>
      </c>
      <c r="F6" s="3415"/>
      <c r="G6" s="3395" t="s">
        <v>2932</v>
      </c>
      <c r="H6" s="3396"/>
      <c r="I6" s="3395" t="s">
        <v>2932</v>
      </c>
      <c r="J6" s="3396"/>
      <c r="K6" s="514" t="s">
        <v>528</v>
      </c>
      <c r="L6" s="2133"/>
      <c r="M6" s="2134"/>
      <c r="N6" s="2134"/>
      <c r="O6" s="2134"/>
      <c r="P6" s="3387"/>
      <c r="Q6" s="3388"/>
      <c r="R6" s="3391"/>
      <c r="S6" s="3392"/>
      <c r="T6" s="3393"/>
      <c r="U6" s="3394"/>
      <c r="V6" s="3376"/>
      <c r="W6" s="3376"/>
      <c r="X6" s="1568"/>
      <c r="Y6" s="3393"/>
      <c r="Z6" s="3394"/>
      <c r="AA6" s="3380"/>
      <c r="AB6" s="3380"/>
      <c r="AC6" s="3380"/>
    </row>
    <row r="7" spans="1:29" s="1220" customFormat="1" ht="15.75" thickBot="1">
      <c r="A7" s="2912"/>
      <c r="B7" s="2919" t="s">
        <v>529</v>
      </c>
      <c r="C7" s="519">
        <f>'数据-取费表'!B2</f>
        <v>43418</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6" t="s">
        <v>530</v>
      </c>
      <c r="Q7" s="3408"/>
      <c r="R7" s="1569" t="s">
        <v>8</v>
      </c>
      <c r="S7" s="1570">
        <f t="shared" ref="S7:S14" si="0">F7</f>
        <v>0</v>
      </c>
      <c r="T7" s="1569" t="s">
        <v>8</v>
      </c>
      <c r="U7" s="1570">
        <f t="shared" ref="U7:U14" si="1">H7</f>
        <v>0</v>
      </c>
      <c r="V7" s="1569" t="s">
        <v>8</v>
      </c>
      <c r="W7" s="1570">
        <f t="shared" ref="W7:W14" si="2">J7</f>
        <v>0</v>
      </c>
      <c r="X7" s="1571"/>
      <c r="Y7" s="3406" t="s">
        <v>530</v>
      </c>
      <c r="Z7" s="3407"/>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6" t="s">
        <v>533</v>
      </c>
      <c r="Q8" s="3407"/>
      <c r="R8" s="1569" t="s">
        <v>8</v>
      </c>
      <c r="S8" s="1570">
        <f t="shared" si="0"/>
        <v>0</v>
      </c>
      <c r="T8" s="1569" t="s">
        <v>8</v>
      </c>
      <c r="U8" s="1570">
        <f t="shared" si="1"/>
        <v>0</v>
      </c>
      <c r="V8" s="1569" t="s">
        <v>8</v>
      </c>
      <c r="W8" s="1570">
        <f t="shared" si="2"/>
        <v>0</v>
      </c>
      <c r="X8" s="1571"/>
      <c r="Y8" s="3406" t="s">
        <v>533</v>
      </c>
      <c r="Z8" s="3407"/>
      <c r="AA8" s="1572" t="e">
        <f t="shared" ref="AA8:AA34" si="3">D8/F8</f>
        <v>#DIV/0!</v>
      </c>
      <c r="AB8" s="1572" t="e">
        <f t="shared" ref="AB8:AB34" si="4">D8/H8</f>
        <v>#DIV/0!</v>
      </c>
      <c r="AC8" s="1572" t="e">
        <f t="shared" ref="AC8:AC34" si="5">D8/J8</f>
        <v>#DIV/0!</v>
      </c>
    </row>
    <row r="9" spans="1:29" s="1220"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75" t="s">
        <v>535</v>
      </c>
      <c r="Q9" s="1151" t="str">
        <f t="shared" ref="Q9:Q14" si="6">B9</f>
        <v>用途</v>
      </c>
      <c r="R9" s="1569" t="s">
        <v>8</v>
      </c>
      <c r="S9" s="1570">
        <f t="shared" si="0"/>
        <v>100</v>
      </c>
      <c r="T9" s="1569" t="s">
        <v>8</v>
      </c>
      <c r="U9" s="1570">
        <f t="shared" si="1"/>
        <v>100</v>
      </c>
      <c r="V9" s="1569" t="s">
        <v>8</v>
      </c>
      <c r="W9" s="1570">
        <f t="shared" si="2"/>
        <v>100</v>
      </c>
      <c r="X9" s="1571"/>
      <c r="Y9" s="3321" t="s">
        <v>536</v>
      </c>
      <c r="Z9" s="1150" t="str">
        <f t="shared" ref="Z9:Z14" si="7">Q9</f>
        <v>用途</v>
      </c>
      <c r="AA9" s="1572">
        <f t="shared" si="3"/>
        <v>1</v>
      </c>
      <c r="AB9" s="1572">
        <f t="shared" si="4"/>
        <v>1</v>
      </c>
      <c r="AC9" s="1572">
        <f t="shared" si="5"/>
        <v>1</v>
      </c>
    </row>
    <row r="10" spans="1:29" s="1338"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75"/>
      <c r="Q10" s="1151" t="str">
        <f t="shared" si="6"/>
        <v>土地使用年限（年）</v>
      </c>
      <c r="R10" s="1569" t="s">
        <v>8</v>
      </c>
      <c r="S10" s="1570">
        <f t="shared" si="0"/>
        <v>100</v>
      </c>
      <c r="T10" s="1569" t="s">
        <v>8</v>
      </c>
      <c r="U10" s="1570">
        <f t="shared" si="1"/>
        <v>100</v>
      </c>
      <c r="V10" s="1569" t="s">
        <v>8</v>
      </c>
      <c r="W10" s="1570">
        <f t="shared" si="2"/>
        <v>100</v>
      </c>
      <c r="X10" s="1571"/>
      <c r="Y10" s="3321"/>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75"/>
      <c r="Q11" s="1151">
        <f t="shared" si="6"/>
        <v>111</v>
      </c>
      <c r="R11" s="1569" t="s">
        <v>8</v>
      </c>
      <c r="S11" s="1570">
        <f t="shared" si="0"/>
        <v>100</v>
      </c>
      <c r="T11" s="1569" t="s">
        <v>8</v>
      </c>
      <c r="U11" s="1570">
        <f t="shared" si="1"/>
        <v>100</v>
      </c>
      <c r="V11" s="1569" t="s">
        <v>8</v>
      </c>
      <c r="W11" s="1570">
        <f t="shared" si="2"/>
        <v>100</v>
      </c>
      <c r="X11" s="1571"/>
      <c r="Y11" s="3321"/>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75"/>
      <c r="Q12" s="1151">
        <f t="shared" si="6"/>
        <v>111</v>
      </c>
      <c r="R12" s="1569" t="s">
        <v>8</v>
      </c>
      <c r="S12" s="1570">
        <f t="shared" si="0"/>
        <v>100</v>
      </c>
      <c r="T12" s="1569" t="s">
        <v>8</v>
      </c>
      <c r="U12" s="1570">
        <f t="shared" si="1"/>
        <v>100</v>
      </c>
      <c r="V12" s="1569" t="s">
        <v>8</v>
      </c>
      <c r="W12" s="1570">
        <f t="shared" si="2"/>
        <v>100</v>
      </c>
      <c r="X12" s="1571"/>
      <c r="Y12" s="3321"/>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75"/>
      <c r="Q13" s="1151">
        <f t="shared" si="6"/>
        <v>111</v>
      </c>
      <c r="R13" s="1569" t="s">
        <v>8</v>
      </c>
      <c r="S13" s="1570">
        <f t="shared" si="0"/>
        <v>100</v>
      </c>
      <c r="T13" s="1569" t="s">
        <v>8</v>
      </c>
      <c r="U13" s="1570">
        <f t="shared" si="1"/>
        <v>100</v>
      </c>
      <c r="V13" s="1569" t="s">
        <v>8</v>
      </c>
      <c r="W13" s="1570">
        <f t="shared" si="2"/>
        <v>100</v>
      </c>
      <c r="X13" s="1571"/>
      <c r="Y13" s="3321"/>
      <c r="Z13" s="1150">
        <f t="shared" si="7"/>
        <v>111</v>
      </c>
      <c r="AA13" s="1572">
        <f t="shared" si="3"/>
        <v>1</v>
      </c>
      <c r="AB13" s="1572">
        <f t="shared" si="4"/>
        <v>1</v>
      </c>
      <c r="AC13" s="1572">
        <f t="shared" si="5"/>
        <v>1</v>
      </c>
    </row>
    <row r="14" spans="1:29" ht="85.5">
      <c r="A14" s="2910"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9" t="s">
        <v>540</v>
      </c>
      <c r="Q14" s="1573" t="str">
        <f t="shared" si="6"/>
        <v>交通便捷度</v>
      </c>
      <c r="R14" s="1574" t="s">
        <v>8</v>
      </c>
      <c r="S14" s="1575">
        <f t="shared" si="0"/>
        <v>100</v>
      </c>
      <c r="T14" s="1574" t="s">
        <v>8</v>
      </c>
      <c r="U14" s="1575">
        <f t="shared" si="1"/>
        <v>100</v>
      </c>
      <c r="V14" s="1574" t="s">
        <v>8</v>
      </c>
      <c r="W14" s="1575">
        <f t="shared" si="2"/>
        <v>100</v>
      </c>
      <c r="X14" s="1568"/>
      <c r="Y14" s="340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10"/>
      <c r="Q15" s="1573"/>
      <c r="R15" s="1574"/>
      <c r="S15" s="1575"/>
      <c r="T15" s="1574"/>
      <c r="U15" s="1575"/>
      <c r="V15" s="1574"/>
      <c r="W15" s="1575"/>
      <c r="X15" s="1568"/>
      <c r="Y15" s="3410"/>
      <c r="Z15" s="1576"/>
      <c r="AA15" s="1577">
        <v>1</v>
      </c>
      <c r="AB15" s="1577">
        <v>1</v>
      </c>
      <c r="AC15" s="1577">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0"/>
      <c r="Q16" s="1573" t="str">
        <f>B16</f>
        <v>公共配套设施</v>
      </c>
      <c r="R16" s="1574" t="s">
        <v>8</v>
      </c>
      <c r="S16" s="1575">
        <f>F16</f>
        <v>100</v>
      </c>
      <c r="T16" s="1574" t="s">
        <v>8</v>
      </c>
      <c r="U16" s="1575">
        <f>H16</f>
        <v>100</v>
      </c>
      <c r="V16" s="1574" t="s">
        <v>8</v>
      </c>
      <c r="W16" s="1575">
        <f>J16</f>
        <v>100</v>
      </c>
      <c r="X16" s="1568"/>
      <c r="Y16" s="341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10"/>
      <c r="Q17" s="1573"/>
      <c r="R17" s="1574"/>
      <c r="S17" s="1575"/>
      <c r="T17" s="1574"/>
      <c r="U17" s="1575"/>
      <c r="V17" s="1574"/>
      <c r="W17" s="1575"/>
      <c r="X17" s="1568"/>
      <c r="Y17" s="3410"/>
      <c r="Z17" s="1576"/>
      <c r="AA17" s="1577">
        <v>1</v>
      </c>
      <c r="AB17" s="1577">
        <v>1</v>
      </c>
      <c r="AC17" s="1577">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0"/>
      <c r="Q18" s="2579" t="str">
        <f>B18</f>
        <v>基础设施水平</v>
      </c>
      <c r="R18" s="1574" t="s">
        <v>8</v>
      </c>
      <c r="S18" s="1575">
        <f>F18</f>
        <v>100</v>
      </c>
      <c r="T18" s="1574" t="s">
        <v>8</v>
      </c>
      <c r="U18" s="1575">
        <f>H18</f>
        <v>100</v>
      </c>
      <c r="V18" s="1574" t="s">
        <v>8</v>
      </c>
      <c r="W18" s="1575">
        <f>J18</f>
        <v>100</v>
      </c>
      <c r="X18" s="2581"/>
      <c r="Y18" s="3410"/>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410"/>
      <c r="Q19" s="2579"/>
      <c r="R19" s="1574"/>
      <c r="S19" s="1575"/>
      <c r="T19" s="1574"/>
      <c r="U19" s="1575"/>
      <c r="V19" s="1574"/>
      <c r="W19" s="1575"/>
      <c r="X19" s="2581"/>
      <c r="Y19" s="3410"/>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0"/>
      <c r="Q20" s="1573" t="str">
        <f>B20</f>
        <v>自然及人文环境</v>
      </c>
      <c r="R20" s="1574" t="s">
        <v>8</v>
      </c>
      <c r="S20" s="1575">
        <f>F20</f>
        <v>100</v>
      </c>
      <c r="T20" s="1574" t="s">
        <v>8</v>
      </c>
      <c r="U20" s="1575">
        <f>H20</f>
        <v>100</v>
      </c>
      <c r="V20" s="1574" t="s">
        <v>8</v>
      </c>
      <c r="W20" s="1575">
        <f>J20</f>
        <v>100</v>
      </c>
      <c r="X20" s="1568"/>
      <c r="Y20" s="341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10"/>
      <c r="Q21" s="1573"/>
      <c r="R21" s="1574"/>
      <c r="S21" s="1575"/>
      <c r="T21" s="1574"/>
      <c r="U21" s="1575"/>
      <c r="V21" s="1574"/>
      <c r="W21" s="1575"/>
      <c r="X21" s="1568"/>
      <c r="Y21" s="341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0"/>
      <c r="Q22" s="1573" t="str">
        <f>B22</f>
        <v>楼层</v>
      </c>
      <c r="R22" s="1574" t="s">
        <v>8</v>
      </c>
      <c r="S22" s="1575">
        <f>F22</f>
        <v>100</v>
      </c>
      <c r="T22" s="1574" t="s">
        <v>8</v>
      </c>
      <c r="U22" s="1575">
        <f>H22</f>
        <v>100</v>
      </c>
      <c r="V22" s="1574" t="s">
        <v>8</v>
      </c>
      <c r="W22" s="1575">
        <f>J22</f>
        <v>100</v>
      </c>
      <c r="X22" s="1568"/>
      <c r="Y22" s="341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0"/>
      <c r="Q23" s="1573">
        <f>B23</f>
        <v>111</v>
      </c>
      <c r="R23" s="1574" t="s">
        <v>8</v>
      </c>
      <c r="S23" s="1575">
        <f>F23</f>
        <v>100</v>
      </c>
      <c r="T23" s="1574" t="s">
        <v>8</v>
      </c>
      <c r="U23" s="1575">
        <f>H23</f>
        <v>100</v>
      </c>
      <c r="V23" s="1574" t="s">
        <v>8</v>
      </c>
      <c r="W23" s="1575">
        <f>J23</f>
        <v>100</v>
      </c>
      <c r="X23" s="1568"/>
      <c r="Y23" s="341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0"/>
      <c r="Q24" s="1573">
        <f t="shared" ref="Q24:Q34" si="11">B24</f>
        <v>111</v>
      </c>
      <c r="R24" s="1574" t="s">
        <v>8</v>
      </c>
      <c r="S24" s="1575">
        <f>F24</f>
        <v>100</v>
      </c>
      <c r="T24" s="1574" t="s">
        <v>8</v>
      </c>
      <c r="U24" s="1575">
        <f>H24</f>
        <v>100</v>
      </c>
      <c r="V24" s="1574" t="s">
        <v>8</v>
      </c>
      <c r="W24" s="1575">
        <f>J24</f>
        <v>100</v>
      </c>
      <c r="X24" s="1568"/>
      <c r="Y24" s="341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0"/>
      <c r="Q25" s="1151">
        <f t="shared" si="11"/>
        <v>111</v>
      </c>
      <c r="R25" s="1569" t="s">
        <v>8</v>
      </c>
      <c r="S25" s="1570">
        <f>F25</f>
        <v>100</v>
      </c>
      <c r="T25" s="1569" t="s">
        <v>8</v>
      </c>
      <c r="U25" s="1570">
        <f>H25</f>
        <v>100</v>
      </c>
      <c r="V25" s="1569" t="s">
        <v>8</v>
      </c>
      <c r="W25" s="1570">
        <f>J25</f>
        <v>100</v>
      </c>
      <c r="X25" s="1571"/>
      <c r="Y25" s="3410"/>
      <c r="Z25" s="1150">
        <f>Q25</f>
        <v>111</v>
      </c>
      <c r="AA25" s="1577">
        <f>D25/F25</f>
        <v>1</v>
      </c>
      <c r="AB25" s="1577">
        <f>D25/H25</f>
        <v>1</v>
      </c>
      <c r="AC25" s="1577">
        <f>D25/J25</f>
        <v>1</v>
      </c>
    </row>
    <row r="26" spans="1:29" ht="15">
      <c r="A26" s="2907"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2"/>
      <c r="Q27" s="1606" t="str">
        <f t="shared" si="11"/>
        <v>成新率</v>
      </c>
      <c r="R27" s="1578" t="s">
        <v>8</v>
      </c>
      <c r="S27" s="1579" t="e">
        <f t="shared" si="12"/>
        <v>#N/A</v>
      </c>
      <c r="T27" s="1578" t="s">
        <v>8</v>
      </c>
      <c r="U27" s="1579" t="e">
        <f t="shared" si="13"/>
        <v>#N/A</v>
      </c>
      <c r="V27" s="1578" t="s">
        <v>8</v>
      </c>
      <c r="W27" s="1579" t="e">
        <f t="shared" si="14"/>
        <v>#N/A</v>
      </c>
      <c r="X27" s="1580"/>
      <c r="Y27" s="341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2"/>
      <c r="Q28" s="1573" t="str">
        <f t="shared" si="11"/>
        <v>物业等级</v>
      </c>
      <c r="R28" s="1574" t="s">
        <v>8</v>
      </c>
      <c r="S28" s="1575">
        <f t="shared" si="12"/>
        <v>100</v>
      </c>
      <c r="T28" s="1574" t="s">
        <v>8</v>
      </c>
      <c r="U28" s="1575">
        <f t="shared" si="13"/>
        <v>100</v>
      </c>
      <c r="V28" s="1574" t="s">
        <v>8</v>
      </c>
      <c r="W28" s="1575">
        <f t="shared" si="14"/>
        <v>100</v>
      </c>
      <c r="X28" s="1568"/>
      <c r="Y28" s="341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2"/>
      <c r="Q29" s="1573" t="str">
        <f t="shared" si="11"/>
        <v>有无电梯</v>
      </c>
      <c r="R29" s="1574" t="s">
        <v>8</v>
      </c>
      <c r="S29" s="1575">
        <f t="shared" si="12"/>
        <v>100</v>
      </c>
      <c r="T29" s="1574" t="s">
        <v>8</v>
      </c>
      <c r="U29" s="1575">
        <f t="shared" si="13"/>
        <v>100</v>
      </c>
      <c r="V29" s="1574" t="s">
        <v>8</v>
      </c>
      <c r="W29" s="1575">
        <f t="shared" si="14"/>
        <v>100</v>
      </c>
      <c r="X29" s="1568"/>
      <c r="Y29" s="341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2"/>
      <c r="Q30" s="1573" t="str">
        <f t="shared" si="11"/>
        <v>建筑面积</v>
      </c>
      <c r="R30" s="1574" t="s">
        <v>8</v>
      </c>
      <c r="S30" s="1575" t="e">
        <f t="shared" si="12"/>
        <v>#N/A</v>
      </c>
      <c r="T30" s="1574" t="s">
        <v>8</v>
      </c>
      <c r="U30" s="1575" t="e">
        <f t="shared" si="13"/>
        <v>#N/A</v>
      </c>
      <c r="V30" s="1574" t="s">
        <v>8</v>
      </c>
      <c r="W30" s="1575" t="e">
        <f t="shared" si="14"/>
        <v>#N/A</v>
      </c>
      <c r="X30" s="1568"/>
      <c r="Y30" s="341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2"/>
      <c r="Q31" s="1151" t="str">
        <f t="shared" si="11"/>
        <v>是否封闭</v>
      </c>
      <c r="R31" s="1569" t="s">
        <v>8</v>
      </c>
      <c r="S31" s="1570">
        <f t="shared" si="12"/>
        <v>100</v>
      </c>
      <c r="T31" s="1569" t="s">
        <v>8</v>
      </c>
      <c r="U31" s="1570">
        <f t="shared" si="13"/>
        <v>100</v>
      </c>
      <c r="V31" s="1569" t="s">
        <v>8</v>
      </c>
      <c r="W31" s="1570">
        <f t="shared" si="14"/>
        <v>100</v>
      </c>
      <c r="X31" s="1571"/>
      <c r="Y31" s="341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2" t="s">
        <v>550</v>
      </c>
      <c r="Q32" s="1573">
        <f t="shared" si="11"/>
        <v>111</v>
      </c>
      <c r="R32" s="1574" t="s">
        <v>8</v>
      </c>
      <c r="S32" s="1575">
        <f t="shared" si="12"/>
        <v>100</v>
      </c>
      <c r="T32" s="1574" t="s">
        <v>8</v>
      </c>
      <c r="U32" s="1575">
        <f t="shared" si="13"/>
        <v>100</v>
      </c>
      <c r="V32" s="1574" t="s">
        <v>8</v>
      </c>
      <c r="W32" s="1575">
        <f t="shared" si="14"/>
        <v>100</v>
      </c>
      <c r="X32" s="1568"/>
      <c r="Y32" s="341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2"/>
      <c r="Q33" s="1573">
        <f t="shared" si="11"/>
        <v>111</v>
      </c>
      <c r="R33" s="1574" t="s">
        <v>8</v>
      </c>
      <c r="S33" s="1575">
        <f t="shared" si="12"/>
        <v>100</v>
      </c>
      <c r="T33" s="1574" t="s">
        <v>8</v>
      </c>
      <c r="U33" s="1575">
        <f t="shared" si="13"/>
        <v>100</v>
      </c>
      <c r="V33" s="1574" t="s">
        <v>8</v>
      </c>
      <c r="W33" s="1575">
        <f t="shared" si="14"/>
        <v>100</v>
      </c>
      <c r="X33" s="1568"/>
      <c r="Y33" s="341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2"/>
      <c r="Q34" s="1573">
        <f t="shared" si="11"/>
        <v>111</v>
      </c>
      <c r="R34" s="1574" t="s">
        <v>8</v>
      </c>
      <c r="S34" s="1575">
        <f t="shared" si="12"/>
        <v>100</v>
      </c>
      <c r="T34" s="1574" t="s">
        <v>8</v>
      </c>
      <c r="U34" s="1575">
        <f t="shared" si="13"/>
        <v>100</v>
      </c>
      <c r="V34" s="1574" t="s">
        <v>8</v>
      </c>
      <c r="W34" s="1575">
        <f t="shared" si="14"/>
        <v>100</v>
      </c>
      <c r="X34" s="1568"/>
      <c r="Y34" s="3412"/>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4"/>
      <c r="M35" s="2145"/>
      <c r="N35" s="2134"/>
      <c r="O35" s="2145"/>
      <c r="P35" s="3375" t="str">
        <f>A35</f>
        <v>成交单价（元/平方米）</v>
      </c>
      <c r="Q35" s="3375"/>
      <c r="R35" s="3489">
        <f>E35</f>
        <v>0</v>
      </c>
      <c r="S35" s="3489"/>
      <c r="T35" s="3489">
        <f>G35</f>
        <v>0</v>
      </c>
      <c r="U35" s="3489"/>
      <c r="V35" s="3489">
        <f>I35</f>
        <v>0</v>
      </c>
      <c r="W35" s="3489"/>
      <c r="X35" s="1560"/>
      <c r="Y35" s="1582"/>
      <c r="Z35" s="1560"/>
      <c r="AA35" s="1560"/>
      <c r="AB35" s="1560"/>
      <c r="AC35" s="1560"/>
    </row>
    <row r="36" spans="1:29" ht="15.75" thickBot="1">
      <c r="A36" s="615" t="s">
        <v>2762</v>
      </c>
      <c r="B36" s="888"/>
      <c r="C36" s="2633" t="e">
        <f>R37</f>
        <v>#DIV/0!</v>
      </c>
      <c r="D36" s="2634"/>
      <c r="E36" s="2635" t="e">
        <f>R36</f>
        <v>#DIV/0!</v>
      </c>
      <c r="F36" s="2635"/>
      <c r="G36" s="2633" t="e">
        <f>T36</f>
        <v>#DIV/0!</v>
      </c>
      <c r="H36" s="2634"/>
      <c r="I36" s="2635" t="e">
        <f>V36</f>
        <v>#DIV/0!</v>
      </c>
      <c r="J36" s="2634"/>
      <c r="K36" s="1613"/>
      <c r="L36" s="2144"/>
      <c r="M36" s="2145"/>
      <c r="N36" s="2134"/>
      <c r="O36" s="2145"/>
      <c r="P36" s="3375" t="str">
        <f>A36</f>
        <v>比较价格（元/平方米）</v>
      </c>
      <c r="Q36" s="3375"/>
      <c r="R36" s="3489" t="e">
        <f>IF(F1="售价",ROUND(PRODUCT(R35,AA7:AA34),0),ROUND(PRODUCT(R35,AA7:AA34),1))</f>
        <v>#DIV/0!</v>
      </c>
      <c r="S36" s="3489"/>
      <c r="T36" s="3489" t="e">
        <f>IF(F1="售价",ROUND(PRODUCT(T35,AB7:AB34),0),ROUND(PRODUCT(T35,AB7:AB34),1))</f>
        <v>#DIV/0!</v>
      </c>
      <c r="U36" s="3489"/>
      <c r="V36" s="3489" t="e">
        <f>IF(F1="售价",ROUND(PRODUCT(V35,AC7:AC34),0),ROUND(PRODUCT(V35,AC7:AC34),1))</f>
        <v>#DIV/0!</v>
      </c>
      <c r="W36" s="3489"/>
      <c r="X36" s="1560"/>
      <c r="Y36" s="1560"/>
      <c r="Z36" s="1560"/>
      <c r="AA36" s="1560"/>
      <c r="AB36" s="1560"/>
      <c r="AC36" s="1560"/>
    </row>
    <row r="37" spans="1:29" ht="15.75" thickBot="1">
      <c r="A37" s="621" t="s">
        <v>2934</v>
      </c>
      <c r="B37" s="622"/>
      <c r="C37" s="2636" t="e">
        <f>R37</f>
        <v>#DIV/0!</v>
      </c>
      <c r="D37" s="2636"/>
      <c r="E37" s="2636"/>
      <c r="F37" s="2636"/>
      <c r="G37" s="2636"/>
      <c r="H37" s="2636"/>
      <c r="I37" s="2636"/>
      <c r="J37" s="2636"/>
      <c r="K37" s="1614"/>
      <c r="L37" s="2144"/>
      <c r="M37" s="2145"/>
      <c r="N37" s="2145"/>
      <c r="O37" s="2145"/>
      <c r="P37" s="3372" t="str">
        <f>A37</f>
        <v>估价对象XX用房的比较价格（楼面单价，元/平方米）</v>
      </c>
      <c r="Q37" s="3373"/>
      <c r="R37" s="3488" t="e">
        <f>IF(F1="售价",ROUND(AVERAGE(R36:V36),0),ROUND(AVERAGE(R36:V36),1))</f>
        <v>#DIV/0!</v>
      </c>
      <c r="S37" s="3488"/>
      <c r="T37" s="3488"/>
      <c r="U37" s="3488"/>
      <c r="V37" s="3488"/>
      <c r="W37" s="3488"/>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2018-11</v>
      </c>
      <c r="D46" s="2804">
        <f>EDATE(C46,-1)</f>
        <v>43374</v>
      </c>
      <c r="E46" s="2804">
        <f t="shared" ref="E46:O46" si="16">EDATE(D46,-1)</f>
        <v>43344</v>
      </c>
      <c r="F46" s="2804">
        <f t="shared" si="16"/>
        <v>43313</v>
      </c>
      <c r="G46" s="2804">
        <f t="shared" si="16"/>
        <v>43282</v>
      </c>
      <c r="H46" s="2804">
        <f t="shared" si="16"/>
        <v>43252</v>
      </c>
      <c r="I46" s="2804">
        <f t="shared" si="16"/>
        <v>43221</v>
      </c>
      <c r="J46" s="2804">
        <f t="shared" si="16"/>
        <v>43191</v>
      </c>
      <c r="K46" s="2804">
        <f t="shared" si="16"/>
        <v>43160</v>
      </c>
      <c r="L46" s="2804">
        <f t="shared" si="16"/>
        <v>43132</v>
      </c>
      <c r="M46" s="2804">
        <f t="shared" si="16"/>
        <v>43101</v>
      </c>
      <c r="N46" s="2804">
        <f t="shared" si="16"/>
        <v>43070</v>
      </c>
      <c r="O46" s="2804">
        <f t="shared" si="16"/>
        <v>43040</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2559</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L24" sqref="L24:L30"/>
    </sheetView>
  </sheetViews>
  <sheetFormatPr defaultRowHeight="12.75"/>
  <cols>
    <col min="1" max="1" width="11.5" style="1250" customWidth="1"/>
    <col min="2" max="2" width="9.25" style="1218" customWidth="1"/>
    <col min="3" max="3" width="5" style="1218" customWidth="1"/>
    <col min="4" max="4" width="9" style="1218"/>
    <col min="5" max="5" width="10.25" style="1218" customWidth="1"/>
    <col min="6" max="6" width="9" style="1218"/>
    <col min="7" max="7" width="7.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2305</v>
      </c>
      <c r="C1" s="3499" t="s">
        <v>2306</v>
      </c>
      <c r="D1" s="3500"/>
      <c r="E1" s="3500"/>
      <c r="F1" s="3500"/>
      <c r="G1" s="3500"/>
      <c r="H1" s="3500"/>
      <c r="I1" s="3500"/>
      <c r="J1" s="3500"/>
      <c r="K1" s="3500"/>
      <c r="L1" s="3500"/>
      <c r="M1" s="3500"/>
      <c r="N1" s="3500"/>
      <c r="O1" s="3500"/>
      <c r="P1" s="3500"/>
      <c r="Q1" s="3500"/>
      <c r="R1" s="3500"/>
      <c r="S1" s="3501"/>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5" t="s">
        <v>3061</v>
      </c>
      <c r="C5" s="3183" t="s">
        <v>3056</v>
      </c>
      <c r="D5" s="3184" t="s">
        <v>3057</v>
      </c>
      <c r="E5" s="3184" t="s">
        <v>3059</v>
      </c>
      <c r="F5" s="3184" t="s">
        <v>3060</v>
      </c>
      <c r="G5" s="3184"/>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ht="24">
      <c r="A7" s="2251"/>
      <c r="B7" s="3186" t="s">
        <v>3065</v>
      </c>
      <c r="C7" s="3187" t="s">
        <v>3062</v>
      </c>
      <c r="D7" s="3188" t="s">
        <v>3063</v>
      </c>
      <c r="E7" s="3188" t="s">
        <v>3058</v>
      </c>
      <c r="F7" s="3188" t="s">
        <v>3064</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ht="24">
      <c r="A9" s="2251"/>
      <c r="B9" s="3186" t="s">
        <v>3066</v>
      </c>
      <c r="C9" s="3187" t="s">
        <v>3012</v>
      </c>
      <c r="D9" s="3188" t="s">
        <v>3013</v>
      </c>
      <c r="E9" s="3188" t="s">
        <v>3014</v>
      </c>
      <c r="F9" s="3188" t="s">
        <v>3015</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9"/>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5" t="s">
        <v>3067</v>
      </c>
      <c r="C11" s="3187" t="s">
        <v>3012</v>
      </c>
      <c r="D11" s="3188" t="s">
        <v>3013</v>
      </c>
      <c r="E11" s="3188" t="s">
        <v>3014</v>
      </c>
      <c r="F11" s="3188" t="s">
        <v>3015</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49.5">
      <c r="A13" s="2251"/>
      <c r="B13" s="3185" t="s">
        <v>3068</v>
      </c>
      <c r="C13" s="954" t="s">
        <v>3069</v>
      </c>
      <c r="D13" s="955" t="s">
        <v>3083</v>
      </c>
      <c r="E13" s="955" t="s">
        <v>3086</v>
      </c>
      <c r="F13" s="955" t="s">
        <v>3087</v>
      </c>
      <c r="G13" s="955" t="s">
        <v>3084</v>
      </c>
      <c r="H13" s="955" t="s">
        <v>3085</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5"/>
      <c r="C14" s="2245">
        <v>95</v>
      </c>
      <c r="D14" s="2246">
        <v>96</v>
      </c>
      <c r="E14" s="2246">
        <v>97</v>
      </c>
      <c r="F14" s="2246">
        <v>98</v>
      </c>
      <c r="G14" s="2246">
        <v>99</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ht="24">
      <c r="A15" s="2251"/>
      <c r="B15" s="3185" t="s">
        <v>3088</v>
      </c>
      <c r="C15" s="2252">
        <f>'数据-取费表'!F6</f>
        <v>68.62</v>
      </c>
      <c r="D15" s="2253">
        <v>68.39</v>
      </c>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v>1</v>
      </c>
      <c r="D16" s="2246">
        <v>1</v>
      </c>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79">
        <f>SUM(B24:B10000)</f>
        <v>0</v>
      </c>
      <c r="C22" s="3496" t="s">
        <v>20</v>
      </c>
      <c r="D22" s="3497"/>
      <c r="E22" s="3497"/>
      <c r="F22" s="3497"/>
      <c r="G22" s="3497"/>
      <c r="H22" s="3497"/>
      <c r="I22" s="3497"/>
      <c r="J22" s="3497"/>
      <c r="K22" s="3497"/>
      <c r="L22" s="3497"/>
      <c r="M22" s="3497"/>
      <c r="N22" s="3497"/>
      <c r="O22" s="3497"/>
      <c r="P22" s="3497"/>
      <c r="Q22" s="3498"/>
      <c r="R22" s="490" t="e">
        <f>ROUND(S22*10000/B22,0)</f>
        <v>#DIV/0!</v>
      </c>
      <c r="S22" s="53">
        <f>SUM(S24:S10000)</f>
        <v>0</v>
      </c>
    </row>
    <row r="23" spans="1:45" s="1615" customFormat="1" ht="25.5">
      <c r="A23" s="17" t="s">
        <v>831</v>
      </c>
      <c r="B23" s="17" t="s">
        <v>832</v>
      </c>
      <c r="C23" s="17" t="s">
        <v>833</v>
      </c>
      <c r="D23" s="17" t="str">
        <f>B5</f>
        <v>宗地形状</v>
      </c>
      <c r="E23" s="17" t="s">
        <v>833</v>
      </c>
      <c r="F23" s="17" t="str">
        <f>B7</f>
        <v>社区成熟度</v>
      </c>
      <c r="G23" s="17" t="s">
        <v>833</v>
      </c>
      <c r="H23" s="17" t="str">
        <f>B9</f>
        <v>交通便捷度</v>
      </c>
      <c r="I23" s="17" t="s">
        <v>833</v>
      </c>
      <c r="J23" s="17" t="str">
        <f>B11</f>
        <v>公共配套设施</v>
      </c>
      <c r="K23" s="17" t="s">
        <v>833</v>
      </c>
      <c r="L23" s="17" t="str">
        <f>B13</f>
        <v>土地面积</v>
      </c>
      <c r="M23" s="17" t="s">
        <v>833</v>
      </c>
      <c r="N23" s="17" t="str">
        <f>B15</f>
        <v>土地剩余年限</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c r="B24" s="3200"/>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c r="U27" s="257" t="s">
        <v>3070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7460.31平方米。根据《建设工程规划许可证》[]、《出让合同》[]，估价对象规划建筑面积为22380平方米。</v>
      </c>
    </row>
    <row r="7" spans="1:4" ht="93.75">
      <c r="A7" s="2873" t="s">
        <v>2750</v>
      </c>
    </row>
    <row r="8" spans="1:4" ht="18.75">
      <c r="A8" s="1796" t="s">
        <v>1906</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2028</v>
      </c>
    </row>
    <row r="11" spans="1:4" ht="18.75">
      <c r="A11" s="1782" t="str">
        <f>TEXT(项目基本情况!D3,"yyyy年m月d日;;")&amp;IF(项目基本情况!B3=项目基本情况!D3,"（评估专业人员勘察现场之日）","")</f>
        <v>2018年11月14日（评估专业人员勘察现场之日）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根据《国有土地使用证》[]，估价对象（分摊）出让国有建设用地使用权面积为7460.31平方米。根据《建设工程规划许可证》[]、《出让合同》[]，估价对象规划建筑面积为22380平方米。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5" t="s">
        <v>2751</v>
      </c>
    </row>
    <row r="24" spans="1:1" ht="18.75">
      <c r="A24" s="1793" t="s">
        <v>2077</v>
      </c>
    </row>
    <row r="25" spans="1:1" ht="93.75">
      <c r="A25" s="1793" t="str">
        <f>定义!C53</f>
        <v>本次估价的“出让国有建设用地使用权价格”是指在估价对象土地所有权为国家所有，使用权性质为出让，在公开市场条件下、于估价期日2018年11月14日，在规划利用条件下、设定土地开发程度为红线外“七通”、宗地内场地平整，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43418</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1.5</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K7" sqref="K7"/>
    </sheetView>
  </sheetViews>
  <sheetFormatPr defaultRowHeight="13.5"/>
  <cols>
    <col min="1" max="1" width="29.125" customWidth="1"/>
    <col min="2" max="2" width="21.125" customWidth="1"/>
  </cols>
  <sheetData>
    <row r="1" spans="1:13">
      <c r="A1" s="3201" t="s">
        <v>3027</v>
      </c>
      <c r="B1" s="3201" t="s">
        <v>3028</v>
      </c>
      <c r="C1" s="3201" t="s">
        <v>3029</v>
      </c>
      <c r="D1" s="3201" t="s">
        <v>3030</v>
      </c>
      <c r="E1" s="3201" t="s">
        <v>3031</v>
      </c>
      <c r="F1" s="3201" t="s">
        <v>2034</v>
      </c>
      <c r="G1" s="3201" t="s">
        <v>3032</v>
      </c>
      <c r="H1" s="3201" t="s">
        <v>3033</v>
      </c>
      <c r="I1" s="3201" t="s">
        <v>3034</v>
      </c>
      <c r="J1" s="3201" t="s">
        <v>3035</v>
      </c>
      <c r="K1" s="3201" t="s">
        <v>3036</v>
      </c>
      <c r="L1" s="3201" t="s">
        <v>3037</v>
      </c>
      <c r="M1" s="3201" t="s">
        <v>3038</v>
      </c>
    </row>
    <row r="2" spans="1:13" s="3192" customFormat="1">
      <c r="A2" s="3202" t="s">
        <v>3093</v>
      </c>
      <c r="B2" s="3202" t="s">
        <v>3094</v>
      </c>
      <c r="C2" s="3202" t="s">
        <v>3039</v>
      </c>
      <c r="D2" s="3202">
        <v>41505</v>
      </c>
      <c r="E2" s="3202">
        <v>83010</v>
      </c>
      <c r="F2" s="3202" t="s">
        <v>3095</v>
      </c>
      <c r="G2" s="3202" t="s">
        <v>3040</v>
      </c>
      <c r="H2" s="3202" t="s">
        <v>3041</v>
      </c>
      <c r="I2" s="3202">
        <v>31130</v>
      </c>
      <c r="J2" s="3202">
        <v>47630</v>
      </c>
      <c r="K2" s="3202">
        <v>5737.85</v>
      </c>
      <c r="L2" s="3202">
        <v>53</v>
      </c>
      <c r="M2" s="3202" t="s">
        <v>3096</v>
      </c>
    </row>
    <row r="3" spans="1:13">
      <c r="A3" s="3201" t="s">
        <v>3097</v>
      </c>
      <c r="B3" s="3201" t="s">
        <v>3094</v>
      </c>
      <c r="C3" s="3201" t="s">
        <v>3039</v>
      </c>
      <c r="D3" s="3201">
        <v>4857</v>
      </c>
      <c r="E3" s="3201">
        <v>10685.4</v>
      </c>
      <c r="F3" s="3201" t="s">
        <v>3098</v>
      </c>
      <c r="G3" s="3201" t="s">
        <v>3040</v>
      </c>
      <c r="H3" s="3201" t="s">
        <v>3041</v>
      </c>
      <c r="I3" s="3201">
        <v>2620</v>
      </c>
      <c r="J3" s="3201">
        <v>2620</v>
      </c>
      <c r="K3" s="3201">
        <v>2451.94</v>
      </c>
      <c r="L3" s="3201">
        <v>0</v>
      </c>
      <c r="M3" s="3201" t="s">
        <v>3099</v>
      </c>
    </row>
    <row r="4" spans="1:13" s="3192" customFormat="1">
      <c r="A4" s="3202" t="s">
        <v>3100</v>
      </c>
      <c r="B4" s="3202" t="s">
        <v>3094</v>
      </c>
      <c r="C4" s="3202" t="s">
        <v>3039</v>
      </c>
      <c r="D4" s="3202">
        <v>22487</v>
      </c>
      <c r="E4" s="3202">
        <v>49471.4</v>
      </c>
      <c r="F4" s="3202" t="s">
        <v>3098</v>
      </c>
      <c r="G4" s="3202" t="s">
        <v>3040</v>
      </c>
      <c r="H4" s="3202" t="s">
        <v>3041</v>
      </c>
      <c r="I4" s="3202">
        <v>16200</v>
      </c>
      <c r="J4" s="3202">
        <v>23600</v>
      </c>
      <c r="K4" s="3202">
        <v>4770.43</v>
      </c>
      <c r="L4" s="3202">
        <v>45.68</v>
      </c>
      <c r="M4" s="3202" t="s">
        <v>3101</v>
      </c>
    </row>
    <row r="5" spans="1:13" s="3181" customFormat="1" ht="12.75" customHeight="1">
      <c r="A5" s="3204" t="s">
        <v>3102</v>
      </c>
      <c r="B5" s="3204" t="s">
        <v>3094</v>
      </c>
      <c r="C5" s="3204" t="s">
        <v>3039</v>
      </c>
      <c r="D5" s="3204">
        <v>2524</v>
      </c>
      <c r="E5" s="3204">
        <v>8834</v>
      </c>
      <c r="F5" s="3204" t="s">
        <v>3103</v>
      </c>
      <c r="G5" s="3204" t="s">
        <v>3040</v>
      </c>
      <c r="H5" s="3204" t="s">
        <v>3104</v>
      </c>
      <c r="I5" s="3204">
        <v>3030</v>
      </c>
      <c r="J5" s="3204">
        <v>3030</v>
      </c>
      <c r="K5" s="3204">
        <v>3429.92</v>
      </c>
      <c r="L5" s="3204">
        <v>0</v>
      </c>
      <c r="M5" s="3204" t="s">
        <v>3105</v>
      </c>
    </row>
    <row r="6" spans="1:13" s="3182" customFormat="1">
      <c r="A6" s="3203" t="s">
        <v>3106</v>
      </c>
      <c r="B6" s="3203" t="s">
        <v>3094</v>
      </c>
      <c r="C6" s="3203" t="s">
        <v>3039</v>
      </c>
      <c r="D6" s="3203">
        <v>793</v>
      </c>
      <c r="E6" s="3203">
        <v>1982.5</v>
      </c>
      <c r="F6" s="3203" t="s">
        <v>3107</v>
      </c>
      <c r="G6" s="3203" t="s">
        <v>3040</v>
      </c>
      <c r="H6" s="3203" t="s">
        <v>3104</v>
      </c>
      <c r="I6" s="3203">
        <v>670</v>
      </c>
      <c r="J6" s="3203">
        <v>670</v>
      </c>
      <c r="K6" s="3203">
        <v>3379.57</v>
      </c>
      <c r="L6" s="3203">
        <v>0</v>
      </c>
      <c r="M6" s="3203" t="s">
        <v>3108</v>
      </c>
    </row>
    <row r="7" spans="1:13" s="3181" customFormat="1">
      <c r="A7" s="3201" t="s">
        <v>3109</v>
      </c>
      <c r="B7" s="3201" t="s">
        <v>3094</v>
      </c>
      <c r="C7" s="3201" t="s">
        <v>3039</v>
      </c>
      <c r="D7" s="3201">
        <v>13765</v>
      </c>
      <c r="E7" s="3201">
        <v>27530</v>
      </c>
      <c r="F7" s="3201" t="s">
        <v>3095</v>
      </c>
      <c r="G7" s="3201" t="s">
        <v>3040</v>
      </c>
      <c r="H7" s="3201" t="s">
        <v>3104</v>
      </c>
      <c r="I7" s="3201">
        <v>2478</v>
      </c>
      <c r="J7" s="3201">
        <v>2478</v>
      </c>
      <c r="K7" s="3201">
        <v>900.11</v>
      </c>
      <c r="L7" s="3201">
        <v>0</v>
      </c>
      <c r="M7" s="3201" t="s">
        <v>3110</v>
      </c>
    </row>
    <row r="8" spans="1:13" s="3181" customFormat="1">
      <c r="A8" s="3204" t="s">
        <v>3106</v>
      </c>
      <c r="B8" s="3204" t="s">
        <v>3094</v>
      </c>
      <c r="C8" s="3204" t="s">
        <v>3039</v>
      </c>
      <c r="D8" s="3204">
        <v>10799</v>
      </c>
      <c r="E8" s="3204">
        <v>26997.5</v>
      </c>
      <c r="F8" s="3204" t="s">
        <v>3107</v>
      </c>
      <c r="G8" s="3204" t="s">
        <v>3040</v>
      </c>
      <c r="H8" s="3204" t="s">
        <v>3104</v>
      </c>
      <c r="I8" s="3204">
        <v>9080</v>
      </c>
      <c r="J8" s="3204">
        <v>9080</v>
      </c>
      <c r="K8" s="3204">
        <v>3363.26</v>
      </c>
      <c r="L8" s="3204">
        <v>0</v>
      </c>
      <c r="M8" s="3204" t="s">
        <v>3108</v>
      </c>
    </row>
    <row r="9" spans="1:13" s="3182" customFormat="1">
      <c r="A9" s="3203" t="s">
        <v>3111</v>
      </c>
      <c r="B9" s="3203" t="s">
        <v>3094</v>
      </c>
      <c r="C9" s="3203" t="s">
        <v>3039</v>
      </c>
      <c r="D9" s="3203">
        <v>69847</v>
      </c>
      <c r="E9" s="3203">
        <v>153663.4</v>
      </c>
      <c r="F9" s="3203" t="s">
        <v>3098</v>
      </c>
      <c r="G9" s="3203" t="s">
        <v>3040</v>
      </c>
      <c r="H9" s="3203" t="s">
        <v>3104</v>
      </c>
      <c r="I9" s="3203">
        <v>41910</v>
      </c>
      <c r="J9" s="3203">
        <v>41910</v>
      </c>
      <c r="K9" s="3203">
        <v>2727.38</v>
      </c>
      <c r="L9" s="3203">
        <v>0</v>
      </c>
      <c r="M9" s="3203" t="s">
        <v>3099</v>
      </c>
    </row>
    <row r="10" spans="1:13" s="3181" customFormat="1">
      <c r="A10" s="3204" t="s">
        <v>3112</v>
      </c>
      <c r="B10" s="3204" t="s">
        <v>3094</v>
      </c>
      <c r="C10" s="3204" t="s">
        <v>3039</v>
      </c>
      <c r="D10" s="3204">
        <v>24054</v>
      </c>
      <c r="E10" s="3204">
        <v>36081</v>
      </c>
      <c r="F10" s="3204" t="s">
        <v>3113</v>
      </c>
      <c r="G10" s="3204" t="s">
        <v>3040</v>
      </c>
      <c r="H10" s="3204" t="s">
        <v>3104</v>
      </c>
      <c r="I10" s="3204">
        <v>13720</v>
      </c>
      <c r="J10" s="3204">
        <v>13920</v>
      </c>
      <c r="K10" s="3204">
        <v>3857.98</v>
      </c>
      <c r="L10" s="3204">
        <v>1.46</v>
      </c>
      <c r="M10" s="3204" t="s">
        <v>3114</v>
      </c>
    </row>
    <row r="11" spans="1:13">
      <c r="A11" s="3201" t="s">
        <v>3115</v>
      </c>
      <c r="B11" s="3201" t="s">
        <v>3094</v>
      </c>
      <c r="C11" s="3201" t="s">
        <v>3039</v>
      </c>
      <c r="D11" s="3201">
        <v>2615</v>
      </c>
      <c r="E11" s="3201">
        <v>6537.5</v>
      </c>
      <c r="F11" s="3201" t="s">
        <v>3116</v>
      </c>
      <c r="G11" s="3201" t="s">
        <v>3040</v>
      </c>
      <c r="H11" s="3201" t="s">
        <v>3117</v>
      </c>
      <c r="I11" s="3201">
        <v>1180</v>
      </c>
      <c r="J11" s="3201">
        <v>1180</v>
      </c>
      <c r="K11" s="3201">
        <v>1804.97</v>
      </c>
      <c r="L11" s="3201">
        <v>0</v>
      </c>
      <c r="M11" s="3201" t="s">
        <v>3118</v>
      </c>
    </row>
    <row r="12" spans="1:13">
      <c r="A12" s="3201" t="s">
        <v>3119</v>
      </c>
      <c r="B12" s="3201" t="s">
        <v>3094</v>
      </c>
      <c r="C12" s="3201" t="s">
        <v>3039</v>
      </c>
      <c r="D12" s="3201">
        <v>30365</v>
      </c>
      <c r="E12" s="3201">
        <v>39474.5</v>
      </c>
      <c r="F12" s="3201" t="s">
        <v>3120</v>
      </c>
      <c r="G12" s="3201" t="s">
        <v>3040</v>
      </c>
      <c r="H12" s="3201" t="s">
        <v>3117</v>
      </c>
      <c r="I12" s="3201">
        <v>2280</v>
      </c>
      <c r="J12" s="3201">
        <v>2280</v>
      </c>
      <c r="K12" s="3201">
        <v>577.59</v>
      </c>
      <c r="L12" s="3201">
        <v>0</v>
      </c>
      <c r="M12" s="3201" t="s">
        <v>3121</v>
      </c>
    </row>
    <row r="13" spans="1:13">
      <c r="A13" s="3201" t="s">
        <v>3119</v>
      </c>
      <c r="B13" s="3201" t="s">
        <v>3094</v>
      </c>
      <c r="C13" s="3201" t="s">
        <v>3039</v>
      </c>
      <c r="D13" s="3201">
        <v>29560</v>
      </c>
      <c r="E13" s="3201">
        <v>38428</v>
      </c>
      <c r="F13" s="3201" t="s">
        <v>3120</v>
      </c>
      <c r="G13" s="3201" t="s">
        <v>3040</v>
      </c>
      <c r="H13" s="3201" t="s">
        <v>3117</v>
      </c>
      <c r="I13" s="3201">
        <v>2220</v>
      </c>
      <c r="J13" s="3201">
        <v>2220</v>
      </c>
      <c r="K13" s="3201">
        <v>577.70000000000005</v>
      </c>
      <c r="L13" s="3201">
        <v>0</v>
      </c>
      <c r="M13" s="3201" t="s">
        <v>3121</v>
      </c>
    </row>
    <row r="14" spans="1:13">
      <c r="A14" s="3201" t="s">
        <v>3122</v>
      </c>
      <c r="B14" s="3201" t="s">
        <v>3094</v>
      </c>
      <c r="C14" s="3201" t="s">
        <v>3039</v>
      </c>
      <c r="D14" s="3201">
        <v>44892</v>
      </c>
      <c r="E14" s="3201">
        <v>80805.600000000006</v>
      </c>
      <c r="F14" s="3201" t="s">
        <v>3123</v>
      </c>
      <c r="G14" s="3201" t="s">
        <v>3040</v>
      </c>
      <c r="H14" s="3201" t="s">
        <v>3117</v>
      </c>
      <c r="I14" s="3201">
        <v>5390</v>
      </c>
      <c r="J14" s="3201">
        <v>5390</v>
      </c>
      <c r="K14" s="3201">
        <v>667.02</v>
      </c>
      <c r="L14" s="3201">
        <v>0</v>
      </c>
      <c r="M14" s="3201" t="s">
        <v>3118</v>
      </c>
    </row>
    <row r="15" spans="1:13">
      <c r="A15" s="3201" t="s">
        <v>3124</v>
      </c>
      <c r="B15" s="3201" t="s">
        <v>3094</v>
      </c>
      <c r="C15" s="3201" t="s">
        <v>3039</v>
      </c>
      <c r="D15" s="3201">
        <v>9505</v>
      </c>
      <c r="E15" s="3201">
        <v>23762.5</v>
      </c>
      <c r="F15" s="3201" t="s">
        <v>3116</v>
      </c>
      <c r="G15" s="3201" t="s">
        <v>3040</v>
      </c>
      <c r="H15" s="3201" t="s">
        <v>3117</v>
      </c>
      <c r="I15" s="3201">
        <v>2140</v>
      </c>
      <c r="J15" s="3201">
        <v>2140</v>
      </c>
      <c r="K15" s="3201">
        <v>900.58</v>
      </c>
      <c r="L15" s="3201">
        <v>0</v>
      </c>
      <c r="M15" s="3201" t="s">
        <v>3125</v>
      </c>
    </row>
    <row r="16" spans="1:13">
      <c r="A16" s="3201" t="s">
        <v>3126</v>
      </c>
      <c r="B16" s="3201" t="s">
        <v>3094</v>
      </c>
      <c r="C16" s="3201" t="s">
        <v>3039</v>
      </c>
      <c r="D16" s="3201">
        <v>29970</v>
      </c>
      <c r="E16" s="3201">
        <v>89910</v>
      </c>
      <c r="F16" s="3201" t="s">
        <v>3127</v>
      </c>
      <c r="G16" s="3201" t="s">
        <v>3040</v>
      </c>
      <c r="H16" s="3201" t="s">
        <v>3117</v>
      </c>
      <c r="I16" s="3201">
        <v>11240</v>
      </c>
      <c r="J16" s="3201">
        <v>11240</v>
      </c>
      <c r="K16" s="3201">
        <v>1250.1400000000001</v>
      </c>
      <c r="L16" s="3201">
        <v>0</v>
      </c>
      <c r="M16" s="3201" t="s">
        <v>3118</v>
      </c>
    </row>
    <row r="17" spans="1:13">
      <c r="A17" s="3201" t="s">
        <v>3128</v>
      </c>
      <c r="B17" s="3201" t="s">
        <v>3094</v>
      </c>
      <c r="C17" s="3201" t="s">
        <v>3039</v>
      </c>
      <c r="D17" s="3201">
        <v>2904</v>
      </c>
      <c r="E17" s="3201">
        <v>7260</v>
      </c>
      <c r="F17" s="3201" t="s">
        <v>3116</v>
      </c>
      <c r="G17" s="3201" t="s">
        <v>3040</v>
      </c>
      <c r="H17" s="3201" t="s">
        <v>3117</v>
      </c>
      <c r="I17" s="3201">
        <v>1530</v>
      </c>
      <c r="J17" s="3201">
        <v>1530</v>
      </c>
      <c r="K17" s="3201">
        <v>2107.44</v>
      </c>
      <c r="L17" s="3201">
        <v>0</v>
      </c>
      <c r="M17" s="3201" t="s">
        <v>3118</v>
      </c>
    </row>
    <row r="18" spans="1:13">
      <c r="A18" s="3201" t="s">
        <v>3129</v>
      </c>
      <c r="B18" s="3201" t="s">
        <v>3094</v>
      </c>
      <c r="C18" s="3201" t="s">
        <v>3039</v>
      </c>
      <c r="D18" s="3201">
        <v>58092</v>
      </c>
      <c r="E18" s="3201">
        <v>127802.4</v>
      </c>
      <c r="F18" s="3201" t="s">
        <v>3130</v>
      </c>
      <c r="G18" s="3201" t="s">
        <v>3040</v>
      </c>
      <c r="H18" s="3201" t="s">
        <v>3131</v>
      </c>
      <c r="I18" s="3201">
        <v>30500</v>
      </c>
      <c r="J18" s="3201">
        <v>31300</v>
      </c>
      <c r="K18" s="3201">
        <v>2449.09</v>
      </c>
      <c r="L18" s="3201">
        <v>2.62</v>
      </c>
      <c r="M18" s="3201" t="s">
        <v>3099</v>
      </c>
    </row>
    <row r="19" spans="1:13">
      <c r="A19" s="3201" t="s">
        <v>3132</v>
      </c>
      <c r="B19" s="3201" t="s">
        <v>3094</v>
      </c>
      <c r="C19" s="3201" t="s">
        <v>3039</v>
      </c>
      <c r="D19" s="3201">
        <v>10590</v>
      </c>
      <c r="E19" s="3201">
        <v>37065</v>
      </c>
      <c r="F19" s="3201" t="s">
        <v>3133</v>
      </c>
      <c r="G19" s="3201" t="s">
        <v>3040</v>
      </c>
      <c r="H19" s="3201" t="s">
        <v>3131</v>
      </c>
      <c r="I19" s="3201">
        <v>4770</v>
      </c>
      <c r="J19" s="3201">
        <v>6070</v>
      </c>
      <c r="K19" s="3201">
        <v>1637.66</v>
      </c>
      <c r="L19" s="3201">
        <v>27.25</v>
      </c>
      <c r="M19" s="3201" t="s">
        <v>3134</v>
      </c>
    </row>
    <row r="20" spans="1:13">
      <c r="A20" s="3201" t="s">
        <v>3129</v>
      </c>
      <c r="B20" s="3201" t="s">
        <v>3094</v>
      </c>
      <c r="C20" s="3201" t="s">
        <v>3039</v>
      </c>
      <c r="D20" s="3201">
        <v>69062</v>
      </c>
      <c r="E20" s="3201">
        <v>151936.4</v>
      </c>
      <c r="F20" s="3201" t="s">
        <v>3130</v>
      </c>
      <c r="G20" s="3201" t="s">
        <v>3040</v>
      </c>
      <c r="H20" s="3201" t="s">
        <v>3131</v>
      </c>
      <c r="I20" s="3201">
        <v>36260</v>
      </c>
      <c r="J20" s="3201">
        <v>36860</v>
      </c>
      <c r="K20" s="3201">
        <v>2426.0100000000002</v>
      </c>
      <c r="L20" s="3201">
        <v>1.65</v>
      </c>
      <c r="M20" s="3201" t="s">
        <v>3135</v>
      </c>
    </row>
    <row r="21" spans="1:13">
      <c r="A21" s="3201" t="s">
        <v>3136</v>
      </c>
      <c r="B21" s="3201" t="s">
        <v>3094</v>
      </c>
      <c r="C21" s="3201" t="s">
        <v>3039</v>
      </c>
      <c r="D21" s="3201">
        <v>88498</v>
      </c>
      <c r="E21" s="3201">
        <v>221245</v>
      </c>
      <c r="F21" s="3201" t="s">
        <v>3137</v>
      </c>
      <c r="G21" s="3201" t="s">
        <v>3040</v>
      </c>
      <c r="H21" s="3201" t="s">
        <v>3131</v>
      </c>
      <c r="I21" s="3201">
        <v>53100</v>
      </c>
      <c r="J21" s="3201">
        <v>54700</v>
      </c>
      <c r="K21" s="3201">
        <v>2472.36</v>
      </c>
      <c r="L21" s="3201">
        <v>3.01</v>
      </c>
      <c r="M21" s="3201" t="s">
        <v>3138</v>
      </c>
    </row>
    <row r="22" spans="1:13" s="3181" customFormat="1">
      <c r="A22" s="3201" t="s">
        <v>3139</v>
      </c>
      <c r="B22" s="3201" t="s">
        <v>3094</v>
      </c>
      <c r="C22" s="3201" t="s">
        <v>3039</v>
      </c>
      <c r="D22" s="3201">
        <v>37399</v>
      </c>
      <c r="E22" s="3201">
        <v>93497.5</v>
      </c>
      <c r="F22" s="3201" t="s">
        <v>3116</v>
      </c>
      <c r="G22" s="3201" t="s">
        <v>3040</v>
      </c>
      <c r="H22" s="3201" t="s">
        <v>3140</v>
      </c>
      <c r="I22" s="3201">
        <v>13470</v>
      </c>
      <c r="J22" s="3201">
        <v>33770</v>
      </c>
      <c r="K22" s="3201">
        <v>3611.86</v>
      </c>
      <c r="L22" s="3201">
        <v>150.71</v>
      </c>
      <c r="M22" s="3201" t="s">
        <v>3141</v>
      </c>
    </row>
    <row r="23" spans="1:13" s="3192" customFormat="1">
      <c r="A23" s="3202" t="s">
        <v>3142</v>
      </c>
      <c r="B23" s="3202" t="s">
        <v>3094</v>
      </c>
      <c r="C23" s="3202" t="s">
        <v>3039</v>
      </c>
      <c r="D23" s="3202">
        <v>33491</v>
      </c>
      <c r="E23" s="3202">
        <v>83727.5</v>
      </c>
      <c r="F23" s="3202" t="s">
        <v>3116</v>
      </c>
      <c r="G23" s="3202" t="s">
        <v>3040</v>
      </c>
      <c r="H23" s="3202" t="s">
        <v>3140</v>
      </c>
      <c r="I23" s="3202">
        <v>12060</v>
      </c>
      <c r="J23" s="3202">
        <v>42960</v>
      </c>
      <c r="K23" s="3202">
        <v>5130.93</v>
      </c>
      <c r="L23" s="3202">
        <v>256.22000000000003</v>
      </c>
      <c r="M23" s="3202" t="s">
        <v>3141</v>
      </c>
    </row>
    <row r="24" spans="1:13">
      <c r="A24" s="3201" t="s">
        <v>3143</v>
      </c>
      <c r="B24" s="3201" t="s">
        <v>3094</v>
      </c>
      <c r="C24" s="3201" t="s">
        <v>3039</v>
      </c>
      <c r="D24" s="3201">
        <v>58122</v>
      </c>
      <c r="E24" s="3201">
        <v>174366</v>
      </c>
      <c r="F24" s="3201" t="s">
        <v>3144</v>
      </c>
      <c r="G24" s="3201" t="s">
        <v>3040</v>
      </c>
      <c r="H24" s="3201" t="s">
        <v>3140</v>
      </c>
      <c r="I24" s="3201">
        <v>5240</v>
      </c>
      <c r="J24" s="3201">
        <v>5240</v>
      </c>
      <c r="K24" s="3201">
        <v>300.51</v>
      </c>
      <c r="L24" s="3201">
        <v>0</v>
      </c>
      <c r="M24" s="3201" t="s">
        <v>3145</v>
      </c>
    </row>
    <row r="25" spans="1:13">
      <c r="A25" s="3201" t="s">
        <v>3146</v>
      </c>
      <c r="B25" s="3201" t="s">
        <v>3094</v>
      </c>
      <c r="C25" s="3201" t="s">
        <v>3039</v>
      </c>
      <c r="D25" s="3201">
        <v>15590</v>
      </c>
      <c r="E25" s="3201">
        <v>46770</v>
      </c>
      <c r="F25" s="3201" t="s">
        <v>3144</v>
      </c>
      <c r="G25" s="3201" t="s">
        <v>3040</v>
      </c>
      <c r="H25" s="3201" t="s">
        <v>3140</v>
      </c>
      <c r="I25" s="3201">
        <v>3510</v>
      </c>
      <c r="J25" s="3201">
        <v>3510</v>
      </c>
      <c r="K25" s="3201">
        <v>750.48</v>
      </c>
      <c r="L25" s="3201">
        <v>0</v>
      </c>
      <c r="M25" s="3201" t="s">
        <v>3147</v>
      </c>
    </row>
    <row r="26" spans="1:13">
      <c r="A26" s="3201" t="s">
        <v>3142</v>
      </c>
      <c r="B26" s="3201" t="s">
        <v>3094</v>
      </c>
      <c r="C26" s="3201" t="s">
        <v>3039</v>
      </c>
      <c r="D26" s="3201">
        <v>62381</v>
      </c>
      <c r="E26" s="3201">
        <v>155952.5</v>
      </c>
      <c r="F26" s="3201" t="s">
        <v>3116</v>
      </c>
      <c r="G26" s="3201" t="s">
        <v>3040</v>
      </c>
      <c r="H26" s="3201" t="s">
        <v>3140</v>
      </c>
      <c r="I26" s="3201">
        <v>21740</v>
      </c>
      <c r="J26" s="3201">
        <v>52640</v>
      </c>
      <c r="K26" s="3201">
        <v>3375.38</v>
      </c>
      <c r="L26" s="3201">
        <v>142.13</v>
      </c>
      <c r="M26" s="3201" t="s">
        <v>3141</v>
      </c>
    </row>
    <row r="27" spans="1:13" s="3182" customFormat="1">
      <c r="A27" s="3201" t="s">
        <v>3143</v>
      </c>
      <c r="B27" s="3201" t="s">
        <v>3094</v>
      </c>
      <c r="C27" s="3201" t="s">
        <v>3039</v>
      </c>
      <c r="D27" s="3201">
        <v>61337</v>
      </c>
      <c r="E27" s="3201">
        <v>184011</v>
      </c>
      <c r="F27" s="3201" t="s">
        <v>3144</v>
      </c>
      <c r="G27" s="3201" t="s">
        <v>3040</v>
      </c>
      <c r="H27" s="3201" t="s">
        <v>3140</v>
      </c>
      <c r="I27" s="3201">
        <v>5530</v>
      </c>
      <c r="J27" s="3201">
        <v>5530</v>
      </c>
      <c r="K27" s="3201">
        <v>300.52</v>
      </c>
      <c r="L27" s="3201">
        <v>0</v>
      </c>
      <c r="M27" s="3201" t="s">
        <v>3145</v>
      </c>
    </row>
    <row r="28" spans="1:13">
      <c r="A28" s="3201" t="s">
        <v>3148</v>
      </c>
      <c r="B28" s="3201" t="s">
        <v>3094</v>
      </c>
      <c r="C28" s="3201" t="s">
        <v>3039</v>
      </c>
      <c r="D28" s="3201">
        <v>17218</v>
      </c>
      <c r="E28" s="3201">
        <v>27548.799999999999</v>
      </c>
      <c r="F28" s="3201" t="s">
        <v>3149</v>
      </c>
      <c r="G28" s="3201" t="s">
        <v>3040</v>
      </c>
      <c r="H28" s="3201" t="s">
        <v>3140</v>
      </c>
      <c r="I28" s="3201">
        <v>5170</v>
      </c>
      <c r="J28" s="3201">
        <v>5170</v>
      </c>
      <c r="K28" s="3201">
        <v>1876.67</v>
      </c>
      <c r="L28" s="3201">
        <v>0</v>
      </c>
      <c r="M28" s="3201" t="s">
        <v>3118</v>
      </c>
    </row>
    <row r="29" spans="1:13">
      <c r="A29" s="3201" t="s">
        <v>3143</v>
      </c>
      <c r="B29" s="3201" t="s">
        <v>3094</v>
      </c>
      <c r="C29" s="3201" t="s">
        <v>3039</v>
      </c>
      <c r="D29" s="3201">
        <v>41871</v>
      </c>
      <c r="E29" s="3201">
        <v>125613</v>
      </c>
      <c r="F29" s="3201" t="s">
        <v>3144</v>
      </c>
      <c r="G29" s="3201" t="s">
        <v>3040</v>
      </c>
      <c r="H29" s="3201" t="s">
        <v>3140</v>
      </c>
      <c r="I29" s="3201">
        <v>3770</v>
      </c>
      <c r="J29" s="3201">
        <v>3770</v>
      </c>
      <c r="K29" s="3201">
        <v>300.12</v>
      </c>
      <c r="L29" s="3201">
        <v>0</v>
      </c>
      <c r="M29" s="3201" t="s">
        <v>3145</v>
      </c>
    </row>
    <row r="30" spans="1:13">
      <c r="A30" s="3201" t="s">
        <v>3142</v>
      </c>
      <c r="B30" s="3201" t="s">
        <v>3094</v>
      </c>
      <c r="C30" s="3201" t="s">
        <v>3039</v>
      </c>
      <c r="D30" s="3201">
        <v>58070</v>
      </c>
      <c r="E30" s="3201">
        <v>145175</v>
      </c>
      <c r="F30" s="3201" t="s">
        <v>3116</v>
      </c>
      <c r="G30" s="3201" t="s">
        <v>3040</v>
      </c>
      <c r="H30" s="3201" t="s">
        <v>3140</v>
      </c>
      <c r="I30" s="3201">
        <v>20910</v>
      </c>
      <c r="J30" s="3201">
        <v>51810</v>
      </c>
      <c r="K30" s="3201">
        <v>3568.8</v>
      </c>
      <c r="L30" s="3201">
        <v>147.78</v>
      </c>
      <c r="M30" s="3201" t="s">
        <v>3141</v>
      </c>
    </row>
    <row r="31" spans="1:13">
      <c r="A31" s="3201" t="s">
        <v>3139</v>
      </c>
      <c r="B31" s="3201" t="s">
        <v>3094</v>
      </c>
      <c r="C31" s="3201" t="s">
        <v>3039</v>
      </c>
      <c r="D31" s="3201">
        <v>44718</v>
      </c>
      <c r="E31" s="3201">
        <v>111795</v>
      </c>
      <c r="F31" s="3201" t="s">
        <v>3116</v>
      </c>
      <c r="G31" s="3201" t="s">
        <v>3040</v>
      </c>
      <c r="H31" s="3201" t="s">
        <v>3140</v>
      </c>
      <c r="I31" s="3201">
        <v>16100</v>
      </c>
      <c r="J31" s="3201">
        <v>36400</v>
      </c>
      <c r="K31" s="3201">
        <v>3255.96</v>
      </c>
      <c r="L31" s="3201">
        <v>126.09</v>
      </c>
      <c r="M31" s="3201" t="s">
        <v>3141</v>
      </c>
    </row>
    <row r="32" spans="1:13">
      <c r="A32" s="3201" t="s">
        <v>3143</v>
      </c>
      <c r="B32" s="3201" t="s">
        <v>3094</v>
      </c>
      <c r="C32" s="3201" t="s">
        <v>3039</v>
      </c>
      <c r="D32" s="3201">
        <v>53544</v>
      </c>
      <c r="E32" s="3201">
        <v>160632</v>
      </c>
      <c r="F32" s="3201" t="s">
        <v>3144</v>
      </c>
      <c r="G32" s="3201" t="s">
        <v>3040</v>
      </c>
      <c r="H32" s="3201" t="s">
        <v>3140</v>
      </c>
      <c r="I32" s="3201">
        <v>4820</v>
      </c>
      <c r="J32" s="3201">
        <v>4820</v>
      </c>
      <c r="K32" s="3201">
        <v>300.06</v>
      </c>
      <c r="L32" s="3201">
        <v>0</v>
      </c>
      <c r="M32" s="3201" t="s">
        <v>3145</v>
      </c>
    </row>
    <row r="33" spans="1:13">
      <c r="A33" s="3201" t="s">
        <v>3143</v>
      </c>
      <c r="B33" s="3201" t="s">
        <v>3094</v>
      </c>
      <c r="C33" s="3201" t="s">
        <v>3039</v>
      </c>
      <c r="D33" s="3201">
        <v>42448</v>
      </c>
      <c r="E33" s="3201">
        <v>127344</v>
      </c>
      <c r="F33" s="3201" t="s">
        <v>3144</v>
      </c>
      <c r="G33" s="3201" t="s">
        <v>3040</v>
      </c>
      <c r="H33" s="3201" t="s">
        <v>3140</v>
      </c>
      <c r="I33" s="3201">
        <v>3830</v>
      </c>
      <c r="J33" s="3201">
        <v>3830</v>
      </c>
      <c r="K33" s="3201">
        <v>300.75</v>
      </c>
      <c r="L33" s="3201">
        <v>0</v>
      </c>
      <c r="M33" s="3201" t="s">
        <v>3145</v>
      </c>
    </row>
    <row r="34" spans="1:13">
      <c r="A34" s="3201" t="s">
        <v>3111</v>
      </c>
      <c r="B34" s="3201" t="s">
        <v>3094</v>
      </c>
      <c r="C34" s="3201" t="s">
        <v>3039</v>
      </c>
      <c r="D34" s="3201">
        <v>9271</v>
      </c>
      <c r="E34" s="3201">
        <v>27813</v>
      </c>
      <c r="F34" s="3201" t="s">
        <v>3144</v>
      </c>
      <c r="G34" s="3201" t="s">
        <v>3040</v>
      </c>
      <c r="H34" s="3201" t="s">
        <v>3150</v>
      </c>
      <c r="I34" s="3201">
        <v>3340</v>
      </c>
      <c r="J34" s="3201">
        <v>4440</v>
      </c>
      <c r="K34" s="3201">
        <v>1596.38</v>
      </c>
      <c r="L34" s="3201">
        <v>32.93</v>
      </c>
      <c r="M34" s="3201" t="s">
        <v>3151</v>
      </c>
    </row>
    <row r="35" spans="1:13">
      <c r="A35" s="3201" t="s">
        <v>3128</v>
      </c>
      <c r="B35" s="3201" t="s">
        <v>3094</v>
      </c>
      <c r="C35" s="3201" t="s">
        <v>3039</v>
      </c>
      <c r="D35" s="3201">
        <v>10538</v>
      </c>
      <c r="E35" s="3201">
        <v>26345</v>
      </c>
      <c r="F35" s="3201" t="s">
        <v>3116</v>
      </c>
      <c r="G35" s="3201" t="s">
        <v>3040</v>
      </c>
      <c r="H35" s="3201" t="s">
        <v>3150</v>
      </c>
      <c r="I35" s="3201">
        <v>4110</v>
      </c>
      <c r="J35" s="3201">
        <v>4110</v>
      </c>
      <c r="K35" s="3201">
        <v>1560.06</v>
      </c>
      <c r="L35" s="3201">
        <v>0</v>
      </c>
      <c r="M35" s="3201" t="s">
        <v>3118</v>
      </c>
    </row>
    <row r="36" spans="1:13">
      <c r="A36" s="3201" t="s">
        <v>3152</v>
      </c>
      <c r="B36" s="3201" t="s">
        <v>3094</v>
      </c>
      <c r="C36" s="3201" t="s">
        <v>3039</v>
      </c>
      <c r="D36" s="3201">
        <v>32327</v>
      </c>
      <c r="E36" s="3201">
        <v>96981</v>
      </c>
      <c r="F36" s="3201" t="s">
        <v>3144</v>
      </c>
      <c r="G36" s="3201" t="s">
        <v>3040</v>
      </c>
      <c r="H36" s="3201" t="s">
        <v>3150</v>
      </c>
      <c r="I36" s="3201">
        <v>11640</v>
      </c>
      <c r="J36" s="3201">
        <v>14540</v>
      </c>
      <c r="K36" s="3201">
        <v>1499.25</v>
      </c>
      <c r="L36" s="3201">
        <v>24.91</v>
      </c>
      <c r="M36" s="3201" t="s">
        <v>3151</v>
      </c>
    </row>
    <row r="37" spans="1:13">
      <c r="A37" s="3201" t="s">
        <v>3153</v>
      </c>
      <c r="B37" s="3201" t="s">
        <v>3094</v>
      </c>
      <c r="C37" s="3201" t="s">
        <v>3039</v>
      </c>
      <c r="D37" s="3201">
        <v>19135</v>
      </c>
      <c r="E37" s="3201">
        <v>57405</v>
      </c>
      <c r="F37" s="3201" t="s">
        <v>3144</v>
      </c>
      <c r="G37" s="3201" t="s">
        <v>3040</v>
      </c>
      <c r="H37" s="3201" t="s">
        <v>3150</v>
      </c>
      <c r="I37" s="3201">
        <v>6890</v>
      </c>
      <c r="J37" s="3201">
        <v>8690</v>
      </c>
      <c r="K37" s="3201">
        <v>1513.8</v>
      </c>
      <c r="L37" s="3201">
        <v>26.12</v>
      </c>
      <c r="M37" s="3201" t="s">
        <v>3151</v>
      </c>
    </row>
    <row r="38" spans="1:13">
      <c r="A38" s="3201" t="s">
        <v>3111</v>
      </c>
      <c r="B38" s="3201" t="s">
        <v>3094</v>
      </c>
      <c r="C38" s="3201" t="s">
        <v>3039</v>
      </c>
      <c r="D38" s="3201">
        <v>66123</v>
      </c>
      <c r="E38" s="3201">
        <v>198369</v>
      </c>
      <c r="F38" s="3201" t="s">
        <v>3144</v>
      </c>
      <c r="G38" s="3201" t="s">
        <v>3040</v>
      </c>
      <c r="H38" s="3201" t="s">
        <v>3150</v>
      </c>
      <c r="I38" s="3201">
        <v>23810</v>
      </c>
      <c r="J38" s="3201">
        <v>31810</v>
      </c>
      <c r="K38" s="3201">
        <v>1603.57</v>
      </c>
      <c r="L38" s="3201">
        <v>33.6</v>
      </c>
      <c r="M38" s="3201" t="s">
        <v>3151</v>
      </c>
    </row>
    <row r="39" spans="1:13">
      <c r="A39" s="3201" t="s">
        <v>3154</v>
      </c>
      <c r="B39" s="3201" t="s">
        <v>3094</v>
      </c>
      <c r="C39" s="3201" t="s">
        <v>3039</v>
      </c>
      <c r="D39" s="3201">
        <v>7460</v>
      </c>
      <c r="E39" s="3201">
        <v>22380</v>
      </c>
      <c r="F39" s="3201" t="s">
        <v>3144</v>
      </c>
      <c r="G39" s="3201" t="s">
        <v>3040</v>
      </c>
      <c r="H39" s="3201" t="s">
        <v>3150</v>
      </c>
      <c r="I39" s="3201">
        <v>2690</v>
      </c>
      <c r="J39" s="3201">
        <v>3140</v>
      </c>
      <c r="K39" s="3201">
        <v>1403.03</v>
      </c>
      <c r="L39" s="3201">
        <v>16.73</v>
      </c>
      <c r="M39" s="3201" t="s">
        <v>3151</v>
      </c>
    </row>
    <row r="40" spans="1:13">
      <c r="A40" s="3201" t="s">
        <v>3155</v>
      </c>
      <c r="B40" s="3201" t="s">
        <v>3094</v>
      </c>
      <c r="C40" s="3201" t="s">
        <v>3039</v>
      </c>
      <c r="D40" s="3201">
        <v>21371</v>
      </c>
      <c r="E40" s="3201">
        <v>53427.5</v>
      </c>
      <c r="F40" s="3201" t="s">
        <v>3116</v>
      </c>
      <c r="G40" s="3201" t="s">
        <v>3040</v>
      </c>
      <c r="H40" s="3201" t="s">
        <v>3150</v>
      </c>
      <c r="I40" s="3201">
        <v>4810</v>
      </c>
      <c r="J40" s="3201">
        <v>4810</v>
      </c>
      <c r="K40" s="3201">
        <v>900.28</v>
      </c>
      <c r="L40" s="3201">
        <v>0</v>
      </c>
      <c r="M40" s="3201" t="s">
        <v>3125</v>
      </c>
    </row>
    <row r="41" spans="1:13">
      <c r="A41" s="3201" t="s">
        <v>3124</v>
      </c>
      <c r="B41" s="3201" t="s">
        <v>3094</v>
      </c>
      <c r="C41" s="3201" t="s">
        <v>3039</v>
      </c>
      <c r="D41" s="3201">
        <v>10729</v>
      </c>
      <c r="E41" s="3201">
        <v>32187</v>
      </c>
      <c r="F41" s="3201" t="s">
        <v>3127</v>
      </c>
      <c r="G41" s="3201" t="s">
        <v>3040</v>
      </c>
      <c r="H41" s="3201" t="s">
        <v>3156</v>
      </c>
      <c r="I41" s="3201">
        <v>2420</v>
      </c>
      <c r="J41" s="3201">
        <v>2420</v>
      </c>
      <c r="K41" s="3201">
        <v>751.86</v>
      </c>
      <c r="L41" s="3201">
        <v>0</v>
      </c>
      <c r="M41" s="3201" t="s">
        <v>3125</v>
      </c>
    </row>
    <row r="42" spans="1:13">
      <c r="A42" s="3201" t="s">
        <v>3124</v>
      </c>
      <c r="B42" s="3201" t="s">
        <v>3094</v>
      </c>
      <c r="C42" s="3201" t="s">
        <v>3039</v>
      </c>
      <c r="D42" s="3201">
        <v>32484</v>
      </c>
      <c r="E42" s="3201">
        <v>97452</v>
      </c>
      <c r="F42" s="3201" t="s">
        <v>3127</v>
      </c>
      <c r="G42" s="3201" t="s">
        <v>3040</v>
      </c>
      <c r="H42" s="3201" t="s">
        <v>3156</v>
      </c>
      <c r="I42" s="3201">
        <v>7310</v>
      </c>
      <c r="J42" s="3201">
        <v>7310</v>
      </c>
      <c r="K42" s="3201">
        <v>750.11</v>
      </c>
      <c r="L42" s="3201">
        <v>0</v>
      </c>
      <c r="M42" s="3201" t="s">
        <v>3125</v>
      </c>
    </row>
    <row r="43" spans="1:13">
      <c r="A43" s="3201" t="s">
        <v>3124</v>
      </c>
      <c r="B43" s="3201" t="s">
        <v>3094</v>
      </c>
      <c r="C43" s="3201" t="s">
        <v>3039</v>
      </c>
      <c r="D43" s="3201">
        <v>42183</v>
      </c>
      <c r="E43" s="3201">
        <v>126549</v>
      </c>
      <c r="F43" s="3201" t="s">
        <v>3127</v>
      </c>
      <c r="G43" s="3201" t="s">
        <v>3040</v>
      </c>
      <c r="H43" s="3201" t="s">
        <v>3156</v>
      </c>
      <c r="I43" s="3201">
        <v>9500</v>
      </c>
      <c r="J43" s="3201">
        <v>9500</v>
      </c>
      <c r="K43" s="3201">
        <v>750.7</v>
      </c>
      <c r="L43" s="3201">
        <v>0</v>
      </c>
      <c r="M43" s="3201" t="s">
        <v>3125</v>
      </c>
    </row>
    <row r="44" spans="1:13">
      <c r="A44" s="3201" t="s">
        <v>3124</v>
      </c>
      <c r="B44" s="3201" t="s">
        <v>3094</v>
      </c>
      <c r="C44" s="3201" t="s">
        <v>3039</v>
      </c>
      <c r="D44" s="3201">
        <v>21232</v>
      </c>
      <c r="E44" s="3201">
        <v>63696</v>
      </c>
      <c r="F44" s="3201" t="s">
        <v>3127</v>
      </c>
      <c r="G44" s="3201" t="s">
        <v>3040</v>
      </c>
      <c r="H44" s="3201" t="s">
        <v>3156</v>
      </c>
      <c r="I44" s="3201">
        <v>4780</v>
      </c>
      <c r="J44" s="3201">
        <v>4780</v>
      </c>
      <c r="K44" s="3201">
        <v>750.44</v>
      </c>
      <c r="L44" s="3201">
        <v>0</v>
      </c>
      <c r="M44" s="3201" t="s">
        <v>3125</v>
      </c>
    </row>
    <row r="45" spans="1:13">
      <c r="A45" s="3201" t="s">
        <v>3124</v>
      </c>
      <c r="B45" s="3201" t="s">
        <v>3094</v>
      </c>
      <c r="C45" s="3201" t="s">
        <v>3039</v>
      </c>
      <c r="D45" s="3201">
        <v>31570</v>
      </c>
      <c r="E45" s="3201">
        <v>94710</v>
      </c>
      <c r="F45" s="3201" t="s">
        <v>3127</v>
      </c>
      <c r="G45" s="3201" t="s">
        <v>3040</v>
      </c>
      <c r="H45" s="3201" t="s">
        <v>3156</v>
      </c>
      <c r="I45" s="3201">
        <v>7110</v>
      </c>
      <c r="J45" s="3201">
        <v>7110</v>
      </c>
      <c r="K45" s="3201">
        <v>750.71</v>
      </c>
      <c r="L45" s="3201">
        <v>0</v>
      </c>
      <c r="M45" s="3201" t="s">
        <v>3125</v>
      </c>
    </row>
    <row r="46" spans="1:13">
      <c r="A46" s="3201" t="s">
        <v>3124</v>
      </c>
      <c r="B46" s="3201" t="s">
        <v>3094</v>
      </c>
      <c r="C46" s="3201" t="s">
        <v>3039</v>
      </c>
      <c r="D46" s="3201">
        <v>66652</v>
      </c>
      <c r="E46" s="3201">
        <v>199956</v>
      </c>
      <c r="F46" s="3201" t="s">
        <v>3127</v>
      </c>
      <c r="G46" s="3201" t="s">
        <v>3040</v>
      </c>
      <c r="H46" s="3201" t="s">
        <v>3156</v>
      </c>
      <c r="I46" s="3201">
        <v>15000</v>
      </c>
      <c r="J46" s="3201">
        <v>15000</v>
      </c>
      <c r="K46" s="3201">
        <v>750.16</v>
      </c>
      <c r="L46" s="3201">
        <v>0</v>
      </c>
      <c r="M46" s="3201" t="s">
        <v>3125</v>
      </c>
    </row>
    <row r="47" spans="1:13">
      <c r="A47" s="3201" t="s">
        <v>3157</v>
      </c>
      <c r="B47" s="3201" t="s">
        <v>3094</v>
      </c>
      <c r="C47" s="3201" t="s">
        <v>3039</v>
      </c>
      <c r="D47" s="3201">
        <v>26701</v>
      </c>
      <c r="E47" s="3201">
        <v>64082.400000000001</v>
      </c>
      <c r="F47" s="3201" t="s">
        <v>3158</v>
      </c>
      <c r="G47" s="3201" t="s">
        <v>3040</v>
      </c>
      <c r="H47" s="3201" t="s">
        <v>3159</v>
      </c>
      <c r="I47" s="3201">
        <v>8020</v>
      </c>
      <c r="J47" s="3201">
        <v>8020</v>
      </c>
      <c r="K47" s="3201">
        <v>1251.5</v>
      </c>
      <c r="L47" s="3201">
        <v>0</v>
      </c>
      <c r="M47" s="3201" t="s">
        <v>3118</v>
      </c>
    </row>
    <row r="48" spans="1:13">
      <c r="A48" s="3201" t="s">
        <v>3160</v>
      </c>
      <c r="B48" s="3201" t="s">
        <v>3094</v>
      </c>
      <c r="C48" s="3201" t="s">
        <v>3039</v>
      </c>
      <c r="D48" s="3201">
        <v>25272</v>
      </c>
      <c r="E48" s="3201">
        <v>50544</v>
      </c>
      <c r="F48" s="3201" t="s">
        <v>3161</v>
      </c>
      <c r="G48" s="3201" t="s">
        <v>3040</v>
      </c>
      <c r="H48" s="3201" t="s">
        <v>3159</v>
      </c>
      <c r="I48" s="3201">
        <v>9100</v>
      </c>
      <c r="J48" s="3201">
        <v>9100</v>
      </c>
      <c r="K48" s="3201">
        <v>1800.41</v>
      </c>
      <c r="L48" s="3201">
        <v>0</v>
      </c>
      <c r="M48" s="3201" t="s">
        <v>3118</v>
      </c>
    </row>
    <row r="49" spans="1:13">
      <c r="A49" s="3201" t="s">
        <v>3109</v>
      </c>
      <c r="B49" s="3201" t="s">
        <v>3094</v>
      </c>
      <c r="C49" s="3201" t="s">
        <v>3039</v>
      </c>
      <c r="D49" s="3201">
        <v>27758</v>
      </c>
      <c r="E49" s="3201">
        <v>66619.199999999997</v>
      </c>
      <c r="F49" s="3201" t="s">
        <v>3158</v>
      </c>
      <c r="G49" s="3201" t="s">
        <v>3040</v>
      </c>
      <c r="H49" s="3201" t="s">
        <v>3159</v>
      </c>
      <c r="I49" s="3201">
        <v>8330</v>
      </c>
      <c r="J49" s="3201">
        <v>8530</v>
      </c>
      <c r="K49" s="3201">
        <v>1280.4100000000001</v>
      </c>
      <c r="L49" s="3201">
        <v>2.4</v>
      </c>
      <c r="M49" s="3201" t="s">
        <v>3118</v>
      </c>
    </row>
    <row r="50" spans="1:13">
      <c r="A50" s="3201" t="s">
        <v>3162</v>
      </c>
      <c r="B50" s="3201" t="s">
        <v>3094</v>
      </c>
      <c r="C50" s="3201" t="s">
        <v>3039</v>
      </c>
      <c r="D50" s="3201">
        <v>27388</v>
      </c>
      <c r="E50" s="3201">
        <v>82164</v>
      </c>
      <c r="F50" s="3201" t="s">
        <v>3127</v>
      </c>
      <c r="G50" s="3201" t="s">
        <v>3040</v>
      </c>
      <c r="H50" s="3201" t="s">
        <v>3159</v>
      </c>
      <c r="I50" s="3201">
        <v>9040</v>
      </c>
      <c r="J50" s="3201">
        <v>9240</v>
      </c>
      <c r="K50" s="3201">
        <v>1124.57</v>
      </c>
      <c r="L50" s="3201">
        <v>2.21</v>
      </c>
      <c r="M50" s="3201" t="s">
        <v>3118</v>
      </c>
    </row>
    <row r="51" spans="1:13">
      <c r="A51" s="3201" t="s">
        <v>3163</v>
      </c>
      <c r="B51" s="3201" t="s">
        <v>3094</v>
      </c>
      <c r="C51" s="3201" t="s">
        <v>3039</v>
      </c>
      <c r="D51" s="3201">
        <v>62518</v>
      </c>
      <c r="E51" s="3201">
        <v>150043.20000000001</v>
      </c>
      <c r="F51" s="3201" t="s">
        <v>3158</v>
      </c>
      <c r="G51" s="3201" t="s">
        <v>3040</v>
      </c>
      <c r="H51" s="3201" t="s">
        <v>3159</v>
      </c>
      <c r="I51" s="3201">
        <v>19700</v>
      </c>
      <c r="J51" s="3201">
        <v>19700</v>
      </c>
      <c r="K51" s="3201">
        <v>1312.96</v>
      </c>
      <c r="L51" s="3201">
        <v>0</v>
      </c>
      <c r="M51" s="3201" t="s">
        <v>3099</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Q28" sqref="Q28"/>
    </sheetView>
  </sheetViews>
  <sheetFormatPr defaultRowHeight="13.5"/>
  <sheetData>
    <row r="8" spans="5:7">
      <c r="G8" t="s">
        <v>3076</v>
      </c>
    </row>
    <row r="12" spans="5:7">
      <c r="E12">
        <v>0</v>
      </c>
    </row>
    <row r="18" spans="1:9">
      <c r="I18" s="3190"/>
    </row>
    <row r="21" spans="1:9">
      <c r="E21" s="3191"/>
    </row>
    <row r="22" spans="1:9">
      <c r="C22" s="3192"/>
      <c r="E22" s="3193"/>
    </row>
    <row r="23" spans="1:9">
      <c r="B23" s="3192"/>
      <c r="C23" s="3192"/>
      <c r="D23" s="3192"/>
      <c r="E23" s="3191"/>
    </row>
    <row r="24" spans="1:9">
      <c r="C24" s="3192"/>
      <c r="E24" s="3193"/>
    </row>
    <row r="25" spans="1:9">
      <c r="B25" s="3192"/>
      <c r="C25" s="3192"/>
      <c r="D25" s="3192"/>
      <c r="E25" s="3191"/>
    </row>
    <row r="26" spans="1:9">
      <c r="B26" s="3192"/>
      <c r="C26" s="3192"/>
      <c r="D26" s="3192"/>
      <c r="E26" s="3191"/>
    </row>
    <row r="27" spans="1:9">
      <c r="B27" s="3192"/>
      <c r="C27" s="3192"/>
      <c r="D27" s="3192"/>
      <c r="E27" s="3191"/>
    </row>
    <row r="28" spans="1:9">
      <c r="B28" s="3192"/>
      <c r="C28" s="3192"/>
      <c r="D28" s="3192"/>
      <c r="E28" s="3191"/>
    </row>
    <row r="29" spans="1:9">
      <c r="A29" s="3190"/>
      <c r="B29" s="3190"/>
      <c r="C29" s="3190"/>
      <c r="D29" s="3190"/>
      <c r="E29" s="3190"/>
      <c r="F29" s="3190"/>
      <c r="G29" s="3190"/>
      <c r="H29" s="3190"/>
      <c r="I29" s="3190"/>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0"/>
  <sheetViews>
    <sheetView workbookViewId="0">
      <selection activeCell="B8" sqref="B8"/>
    </sheetView>
  </sheetViews>
  <sheetFormatPr defaultRowHeight="13.5"/>
  <cols>
    <col min="2" max="6" width="11.625" bestFit="1" customWidth="1"/>
    <col min="7" max="7" width="9.5" bestFit="1" customWidth="1"/>
  </cols>
  <sheetData>
    <row r="2" spans="1:29">
      <c r="B2" s="3196"/>
      <c r="C2" s="3196"/>
      <c r="D2" s="3196"/>
      <c r="E2" s="3196"/>
      <c r="F2" s="3196"/>
      <c r="G2" s="3196"/>
      <c r="H2" s="3196"/>
      <c r="I2" s="3199"/>
      <c r="J2" s="3199"/>
      <c r="K2" s="3199"/>
    </row>
    <row r="3" spans="1:29">
      <c r="B3" s="3197"/>
      <c r="C3" s="3198"/>
      <c r="D3" s="3198"/>
      <c r="E3" s="3198"/>
      <c r="F3" s="3198"/>
      <c r="G3" s="3198"/>
      <c r="H3" s="3198"/>
      <c r="I3" s="3197"/>
      <c r="J3" s="3197"/>
      <c r="K3" s="3197"/>
      <c r="AC3">
        <v>391.38</v>
      </c>
    </row>
    <row r="4" spans="1:29">
      <c r="B4" s="3197"/>
      <c r="C4" s="3198"/>
      <c r="D4" s="3198"/>
      <c r="E4" s="3198"/>
      <c r="F4" s="3198"/>
      <c r="G4" s="3198"/>
      <c r="H4" s="3198"/>
      <c r="I4" s="3197"/>
      <c r="J4" s="3197"/>
      <c r="K4" s="3197"/>
    </row>
    <row r="5" spans="1:29">
      <c r="B5" s="3197"/>
      <c r="C5" s="3198"/>
      <c r="D5" s="3198"/>
      <c r="E5" s="3198"/>
      <c r="F5" s="3198"/>
      <c r="G5" s="3198"/>
      <c r="H5" s="3198"/>
      <c r="I5" s="3197"/>
      <c r="J5" s="3197"/>
      <c r="K5" s="3197"/>
    </row>
    <row r="6" spans="1:29">
      <c r="B6" s="3197"/>
      <c r="C6" s="3198"/>
      <c r="D6" s="3198"/>
      <c r="E6" s="3198"/>
      <c r="F6" s="3198"/>
      <c r="G6" s="3198"/>
      <c r="H6" s="3198"/>
      <c r="I6" s="3197"/>
      <c r="J6" s="3197"/>
      <c r="K6" s="3197"/>
    </row>
    <row r="7" spans="1:29">
      <c r="B7" s="3197"/>
      <c r="C7" s="3198"/>
      <c r="D7" s="3198"/>
      <c r="E7" s="3198"/>
      <c r="F7" s="3198"/>
      <c r="G7" s="3198"/>
      <c r="H7" s="3198"/>
      <c r="I7" s="3197"/>
      <c r="J7" s="3197"/>
      <c r="K7" s="3197"/>
    </row>
    <row r="8" spans="1:29">
      <c r="B8" s="3197"/>
      <c r="C8" s="3198"/>
      <c r="D8" s="3198"/>
      <c r="E8" s="3198"/>
      <c r="F8" s="3198"/>
      <c r="G8" s="3198"/>
      <c r="H8" s="3198"/>
      <c r="I8" s="3197"/>
      <c r="J8" s="3197"/>
      <c r="K8" s="3197"/>
    </row>
    <row r="9" spans="1:29">
      <c r="B9" s="3197"/>
      <c r="C9" s="3198"/>
      <c r="D9" s="3198"/>
      <c r="E9" s="3198"/>
      <c r="F9" s="3198"/>
      <c r="G9" s="3198"/>
      <c r="H9" s="3198"/>
      <c r="I9" s="3197"/>
      <c r="J9" s="3197"/>
      <c r="K9" s="3197"/>
    </row>
    <row r="10" spans="1:29">
      <c r="A10" s="3195"/>
      <c r="B10" s="3197"/>
      <c r="C10" s="3198"/>
      <c r="D10" s="3197"/>
      <c r="E10" s="3198"/>
      <c r="F10" s="3198"/>
      <c r="G10" s="3197"/>
      <c r="H10" s="3198"/>
      <c r="I10" s="3197"/>
      <c r="J10" s="3197"/>
      <c r="K10" s="3197"/>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0"/>
  <sheetViews>
    <sheetView workbookViewId="0">
      <selection activeCell="O10" sqref="O10"/>
    </sheetView>
  </sheetViews>
  <sheetFormatPr defaultRowHeight="13.5"/>
  <sheetData>
    <row r="1" spans="1:1" ht="112.5">
      <c r="A1" s="3205" t="s">
        <v>3170</v>
      </c>
    </row>
    <row r="2" spans="1:1">
      <c r="A2" s="3206" t="s">
        <v>3171</v>
      </c>
    </row>
    <row r="29" spans="1:1" ht="112.5">
      <c r="A29" s="3205" t="s">
        <v>3172</v>
      </c>
    </row>
    <row r="30" spans="1:1">
      <c r="A30" s="3206" t="s">
        <v>3171</v>
      </c>
    </row>
    <row r="59" spans="1:1" ht="180">
      <c r="A59" s="3205" t="s">
        <v>3173</v>
      </c>
    </row>
    <row r="60" spans="1:1">
      <c r="A60" s="3206" t="s">
        <v>3171</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2040</v>
      </c>
      <c r="B1" s="3211"/>
      <c r="C1" s="3211"/>
      <c r="D1" s="3211"/>
      <c r="E1" s="3211"/>
      <c r="F1" s="3211"/>
      <c r="G1" s="3211"/>
      <c r="H1" s="3211"/>
      <c r="I1" s="3211"/>
      <c r="J1" s="3211"/>
      <c r="K1" s="3211"/>
      <c r="L1" s="3211"/>
      <c r="M1" s="3211"/>
      <c r="N1" s="3211"/>
      <c r="O1" s="3211"/>
      <c r="P1" s="3211"/>
      <c r="Q1" s="3211"/>
      <c r="R1" s="3211"/>
    </row>
    <row r="2" spans="1:18">
      <c r="A2" s="1809" t="s">
        <v>2042</v>
      </c>
      <c r="B2" s="1809"/>
      <c r="C2" s="1809"/>
      <c r="D2" s="1809"/>
      <c r="E2" s="1809"/>
      <c r="F2" s="1809"/>
      <c r="G2" s="1809"/>
      <c r="H2" s="1809"/>
      <c r="I2" s="1810"/>
      <c r="J2" s="1810"/>
      <c r="K2" s="1811" t="str">
        <f>"估价期日："&amp;TEXT(项目基本情况!D3,"yyyy年m月d日;;")</f>
        <v>估价期日：2018年11月14日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2" t="s">
        <v>2031</v>
      </c>
      <c r="B3" s="3212" t="s">
        <v>2733</v>
      </c>
      <c r="C3" s="3213" t="s">
        <v>2032</v>
      </c>
      <c r="D3" s="3212" t="s">
        <v>2737</v>
      </c>
      <c r="E3" s="3215" t="s">
        <v>2033</v>
      </c>
      <c r="F3" s="3215"/>
      <c r="G3" s="3215"/>
      <c r="H3" s="3215" t="s">
        <v>2034</v>
      </c>
      <c r="I3" s="3215"/>
      <c r="J3" s="3215"/>
      <c r="K3" s="3213" t="s">
        <v>2035</v>
      </c>
      <c r="L3" s="3213" t="s">
        <v>2036</v>
      </c>
      <c r="M3" s="3212" t="s">
        <v>2734</v>
      </c>
      <c r="N3" s="3214" t="str">
        <f>"（分摊）"&amp;项目基本情况!B16&amp;"国有建设用地使用权面积/㎡"</f>
        <v>（分摊）出让国有建设用地使用权面积/㎡</v>
      </c>
      <c r="O3" s="3212" t="s">
        <v>2065</v>
      </c>
      <c r="P3" s="3213" t="s">
        <v>2045</v>
      </c>
      <c r="Q3" s="3213" t="s">
        <v>2066</v>
      </c>
      <c r="R3" s="3213" t="s">
        <v>2037</v>
      </c>
    </row>
    <row r="4" spans="1:18" ht="36.75" customHeight="1">
      <c r="A4" s="3212"/>
      <c r="B4" s="3212"/>
      <c r="C4" s="3213"/>
      <c r="D4" s="3212"/>
      <c r="E4" s="2649" t="s">
        <v>2044</v>
      </c>
      <c r="F4" s="2649" t="s">
        <v>2746</v>
      </c>
      <c r="G4" s="2649" t="s">
        <v>2038</v>
      </c>
      <c r="H4" s="2649" t="s">
        <v>2039</v>
      </c>
      <c r="I4" s="2649" t="s">
        <v>2747</v>
      </c>
      <c r="J4" s="2649" t="s">
        <v>2038</v>
      </c>
      <c r="K4" s="3213"/>
      <c r="L4" s="3213"/>
      <c r="M4" s="3212"/>
      <c r="N4" s="3214"/>
      <c r="O4" s="3212"/>
      <c r="P4" s="3213"/>
      <c r="Q4" s="3213"/>
      <c r="R4" s="3213"/>
    </row>
    <row r="5" spans="1:18" ht="135" customHeight="1">
      <c r="A5" s="1945" t="s">
        <v>2657</v>
      </c>
      <c r="B5" s="2867" t="s">
        <v>2655</v>
      </c>
      <c r="C5" s="2648">
        <v>22</v>
      </c>
      <c r="D5" s="2647" t="s">
        <v>2656</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7460.31</v>
      </c>
      <c r="O5" s="1812">
        <f>项目基本情况!C21</f>
        <v>22380</v>
      </c>
      <c r="P5" s="1812">
        <f ca="1">结果表!E42</f>
        <v>8047</v>
      </c>
      <c r="Q5" s="1812">
        <f ca="1">结果表!D42</f>
        <v>2682</v>
      </c>
      <c r="R5" s="1813">
        <f ca="1">结果表!C42</f>
        <v>6003</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4" t="str">
        <f>结果表!O39</f>
        <v>——</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4" t="str">
        <f>结果表!O40</f>
        <v>——</v>
      </c>
    </row>
    <row r="8" spans="1:18">
      <c r="A8" s="3208">
        <f>IF(项目基本情况!B9="市场价格","——",项目基本情况!E9)</f>
        <v>0</v>
      </c>
      <c r="B8" s="3209"/>
      <c r="C8" s="3209"/>
      <c r="D8" s="3209"/>
      <c r="E8" s="3209"/>
      <c r="F8" s="3209"/>
      <c r="G8" s="3209"/>
      <c r="H8" s="3209"/>
      <c r="I8" s="3209"/>
      <c r="J8" s="3209"/>
      <c r="K8" s="3209"/>
      <c r="L8" s="3209"/>
      <c r="M8" s="3209"/>
      <c r="N8" s="3209"/>
      <c r="O8" s="3209"/>
      <c r="P8" s="3209"/>
      <c r="Q8" s="3210"/>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7" t="s">
        <v>2067</v>
      </c>
      <c r="B1" s="3217"/>
      <c r="C1" s="3217"/>
      <c r="D1" s="3217"/>
    </row>
    <row r="2" spans="1:4" ht="47.25" customHeight="1">
      <c r="A2" s="3218" t="str">
        <f>"1.权利限制："&amp;项目基本情况!L24&amp;"未设定租赁等其他他项权利。"</f>
        <v>1.权利限制：根据估价对象《不动产权证书》原件、《国有土地使用权》复印件，截至估价期日，估价对象抵押权未见登记。未设定租赁等其他他项权利。</v>
      </c>
      <c r="B2" s="3218"/>
      <c r="C2" s="3218"/>
      <c r="D2" s="3218"/>
    </row>
    <row r="3" spans="1:4" ht="48" customHeight="1">
      <c r="A3" s="321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7"/>
      <c r="C3" s="3217"/>
      <c r="D3" s="3217"/>
    </row>
    <row r="4" spans="1:4" ht="36.75" customHeight="1">
      <c r="A4" s="3217" t="str">
        <f>"3.估价规划限制条件：详见"&amp;项目基本情况!E21&amp;"。"</f>
        <v>3.估价规划限制条件：详见《建设工程规划许可证》[]、《出让合同》[]。</v>
      </c>
      <c r="B4" s="3217"/>
      <c r="C4" s="3217"/>
      <c r="D4" s="3217"/>
    </row>
    <row r="5" spans="1:4">
      <c r="A5" s="3216" t="s">
        <v>2068</v>
      </c>
      <c r="B5" s="3216"/>
      <c r="C5" s="3216"/>
      <c r="D5" s="3216"/>
    </row>
    <row r="6" spans="1:4">
      <c r="A6" s="3217" t="s">
        <v>2046</v>
      </c>
      <c r="B6" s="3217"/>
      <c r="C6" s="3217"/>
      <c r="D6" s="3217"/>
    </row>
    <row r="7" spans="1:4" ht="33" customHeight="1">
      <c r="A7" s="3217" t="s">
        <v>2577</v>
      </c>
      <c r="B7" s="3217"/>
      <c r="C7" s="3217"/>
      <c r="D7" s="3217"/>
    </row>
    <row r="8" spans="1:4" ht="32.25" customHeight="1">
      <c r="A8" s="321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17"/>
      <c r="C8" s="3217"/>
      <c r="D8" s="3217"/>
    </row>
    <row r="9" spans="1:4" ht="33.75" customHeight="1">
      <c r="A9" s="3217" t="str">
        <f>IF(项目基本情况!B8="抵押","3.抵押双方在办理抵押登记手续时，应使用本公司出具的正式《土地估价报告》，特提请报告使用者注意。","——")</f>
        <v>——</v>
      </c>
      <c r="B9" s="3217"/>
      <c r="C9" s="3217"/>
      <c r="D9" s="3217"/>
    </row>
    <row r="10" spans="1:4">
      <c r="A10" s="3217" t="str">
        <f>IF(项目基本情况!B8="抵押","4.估价师所知悉的法定优先受偿款情况为：","——")</f>
        <v>——</v>
      </c>
      <c r="B10" s="3217"/>
      <c r="C10" s="3217"/>
      <c r="D10" s="3217"/>
    </row>
    <row r="11" spans="1:4" ht="37.5" customHeight="1">
      <c r="A11" s="3219" t="str">
        <f>IF(项目基本情况!B8="抵押","（1）"&amp;CONCATENATE(项目基本情况!L24,项目基本情况!L25,项目基本情况!L26),"——")</f>
        <v>——</v>
      </c>
      <c r="B11" s="3219"/>
      <c r="C11" s="3219"/>
      <c r="D11" s="3219"/>
    </row>
    <row r="12" spans="1:4" ht="168" customHeight="1">
      <c r="A12" s="3216" t="s">
        <v>2070</v>
      </c>
      <c r="B12" s="3216"/>
      <c r="C12" s="3216"/>
      <c r="D12" s="3216"/>
    </row>
    <row r="13" spans="1:4">
      <c r="A13" s="3220" t="s">
        <v>2748</v>
      </c>
      <c r="B13" s="3220"/>
      <c r="C13" s="3220"/>
      <c r="D13" s="3220"/>
    </row>
    <row r="14" spans="1:4">
      <c r="A14" s="3219" t="str">
        <f>IF(项目基本情况!B8="抵押","综上，"&amp;结果表!K47,"——")</f>
        <v>——</v>
      </c>
      <c r="B14" s="3219"/>
      <c r="C14" s="3219"/>
      <c r="D14" s="3219"/>
    </row>
    <row r="15" spans="1:4" ht="58.5" customHeight="1">
      <c r="A15" s="321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7"/>
      <c r="C15" s="3217"/>
      <c r="D15" s="3217"/>
    </row>
    <row r="16" spans="1:4" ht="70.5" customHeight="1">
      <c r="A16" s="321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7"/>
      <c r="C16" s="3217"/>
      <c r="D16" s="3217"/>
    </row>
    <row r="17" spans="1:4">
      <c r="A17" s="3217" t="s">
        <v>2704</v>
      </c>
      <c r="B17" s="3217"/>
      <c r="C17" s="3217"/>
      <c r="D17" s="3217"/>
    </row>
    <row r="18" spans="1:4">
      <c r="A18" s="3217" t="s">
        <v>2696</v>
      </c>
      <c r="B18" s="3217"/>
      <c r="C18" s="3217"/>
      <c r="D18" s="3217"/>
    </row>
    <row r="19" spans="1:4">
      <c r="A19" s="2868" t="s">
        <v>2697</v>
      </c>
      <c r="B19" s="2868" t="s">
        <v>2698</v>
      </c>
      <c r="C19" s="2868" t="s">
        <v>2699</v>
      </c>
      <c r="D19" s="2868" t="s">
        <v>2700</v>
      </c>
    </row>
    <row r="20" spans="1:4">
      <c r="A20" s="2868" t="str">
        <f>项目基本情况!B4</f>
        <v>土地估价师</v>
      </c>
      <c r="B20" s="2868">
        <f>项目基本情况!C4</f>
        <v>0</v>
      </c>
      <c r="C20" s="2870"/>
      <c r="D20" s="1802" t="s">
        <v>2705</v>
      </c>
    </row>
    <row r="21" spans="1:4">
      <c r="A21" s="2868" t="str">
        <f>项目基本情况!D4</f>
        <v>土地估价师</v>
      </c>
      <c r="B21" s="2868">
        <f>项目基本情况!E4</f>
        <v>0</v>
      </c>
      <c r="C21" s="2870"/>
      <c r="D21" s="1802" t="s">
        <v>2706</v>
      </c>
    </row>
    <row r="23" spans="1:4">
      <c r="A23" s="3217" t="s">
        <v>2701</v>
      </c>
      <c r="B23" s="3217"/>
      <c r="C23" s="3217"/>
      <c r="D23" s="3217"/>
    </row>
    <row r="24" spans="1:4">
      <c r="A24" s="2868" t="s">
        <v>2697</v>
      </c>
      <c r="B24" s="2868" t="s">
        <v>2702</v>
      </c>
      <c r="C24" s="2868" t="s">
        <v>2699</v>
      </c>
      <c r="D24" s="2868" t="s">
        <v>2700</v>
      </c>
    </row>
    <row r="25" spans="1:4">
      <c r="A25" s="2871" t="s">
        <v>2703</v>
      </c>
      <c r="B25" s="2868" t="s">
        <v>951</v>
      </c>
      <c r="C25" s="2870"/>
      <c r="D25" s="1802"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28" t="s">
        <v>53</v>
      </c>
      <c r="B15" s="3229" t="s">
        <v>845</v>
      </c>
      <c r="C15" s="3225"/>
    </row>
    <row r="16" spans="1:7" ht="14.25">
      <c r="A16" s="3228"/>
      <c r="B16" s="3226" t="s">
        <v>54</v>
      </c>
      <c r="C16" s="1172" t="s">
        <v>53</v>
      </c>
    </row>
    <row r="17" spans="1:3" ht="14.25">
      <c r="A17" s="3228"/>
      <c r="B17" s="3226"/>
      <c r="C17" s="1172" t="s">
        <v>55</v>
      </c>
    </row>
    <row r="18" spans="1:3" ht="14.25">
      <c r="A18" s="3228"/>
      <c r="B18" s="3226"/>
      <c r="C18" s="1172" t="s">
        <v>56</v>
      </c>
    </row>
    <row r="19" spans="1:3" ht="14.25">
      <c r="A19" s="3228"/>
      <c r="B19" s="3224" t="s">
        <v>57</v>
      </c>
      <c r="C19" s="3225"/>
    </row>
    <row r="20" spans="1:3" ht="14.25">
      <c r="A20" s="1173" t="s">
        <v>58</v>
      </c>
      <c r="B20" s="1174"/>
      <c r="C20" s="1175"/>
    </row>
    <row r="21" spans="1:3" ht="14.25">
      <c r="A21" s="3227" t="s">
        <v>59</v>
      </c>
      <c r="B21" s="3224" t="s">
        <v>60</v>
      </c>
      <c r="C21" s="3225"/>
    </row>
    <row r="22" spans="1:3" ht="14.25">
      <c r="A22" s="3227"/>
      <c r="B22" s="3224" t="s">
        <v>61</v>
      </c>
      <c r="C22" s="3225"/>
    </row>
    <row r="23" spans="1:3" ht="14.25">
      <c r="A23" s="3227"/>
      <c r="B23" s="3224" t="s">
        <v>62</v>
      </c>
      <c r="C23" s="3225"/>
    </row>
    <row r="24" spans="1:3" ht="14.25">
      <c r="A24" s="3227"/>
      <c r="B24" s="3230" t="s">
        <v>63</v>
      </c>
      <c r="C24" s="1176" t="s">
        <v>836</v>
      </c>
    </row>
    <row r="25" spans="1:3" ht="14.25">
      <c r="A25" s="3227"/>
      <c r="B25" s="3231"/>
      <c r="C25" s="1176" t="s">
        <v>837</v>
      </c>
    </row>
    <row r="26" spans="1:3" ht="14.25">
      <c r="A26" s="3227"/>
      <c r="B26" s="3231"/>
      <c r="C26" s="1176" t="s">
        <v>838</v>
      </c>
    </row>
    <row r="27" spans="1:3" ht="14.25">
      <c r="A27" s="3227"/>
      <c r="B27" s="3231"/>
      <c r="C27" s="1176" t="s">
        <v>839</v>
      </c>
    </row>
    <row r="28" spans="1:3" ht="14.25">
      <c r="A28" s="3227"/>
      <c r="B28" s="3231"/>
      <c r="C28" s="1176" t="s">
        <v>840</v>
      </c>
    </row>
    <row r="29" spans="1:3" ht="14.25">
      <c r="A29" s="3227"/>
      <c r="B29" s="3231"/>
      <c r="C29" s="1176" t="s">
        <v>841</v>
      </c>
    </row>
    <row r="30" spans="1:3" ht="14.25">
      <c r="A30" s="3227"/>
      <c r="B30" s="3231"/>
      <c r="C30" s="1176" t="s">
        <v>842</v>
      </c>
    </row>
    <row r="31" spans="1:3" ht="14.25">
      <c r="A31" s="3227"/>
      <c r="B31" s="3231"/>
      <c r="C31" s="1176" t="s">
        <v>843</v>
      </c>
    </row>
    <row r="32" spans="1:3" ht="14.25">
      <c r="A32" s="3227"/>
      <c r="B32" s="3231"/>
      <c r="C32" s="1176" t="s">
        <v>1646</v>
      </c>
    </row>
    <row r="33" spans="1:3" ht="14.25">
      <c r="A33" s="3227"/>
      <c r="B33" s="3221" t="s">
        <v>1652</v>
      </c>
      <c r="C33" s="1176" t="s">
        <v>1647</v>
      </c>
    </row>
    <row r="34" spans="1:3" ht="14.25">
      <c r="A34" s="3227"/>
      <c r="B34" s="3222"/>
      <c r="C34" s="1181" t="s">
        <v>1648</v>
      </c>
    </row>
    <row r="35" spans="1:3" ht="14.25">
      <c r="A35" s="3227"/>
      <c r="B35" s="3222"/>
      <c r="C35" s="1182" t="s">
        <v>1649</v>
      </c>
    </row>
    <row r="36" spans="1:3" ht="14.25">
      <c r="A36" s="3227"/>
      <c r="B36" s="3222"/>
      <c r="C36" s="1182" t="s">
        <v>1650</v>
      </c>
    </row>
    <row r="37" spans="1:3" ht="14.25">
      <c r="A37" s="3227"/>
      <c r="B37" s="3223"/>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8">
        <f ca="1">TODAY()</f>
        <v>43463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2977</v>
      </c>
      <c r="B12" s="2343">
        <v>1120110054</v>
      </c>
      <c r="C12" s="3006">
        <v>43937</v>
      </c>
      <c r="D12" s="2343" t="s">
        <v>2977</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132</v>
      </c>
      <c r="C1" s="1551"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4" t="s">
        <v>873</v>
      </c>
    </row>
    <row r="2" spans="1:23">
      <c r="A2" s="8" t="s">
        <v>73</v>
      </c>
      <c r="B2" s="8" t="s">
        <v>150</v>
      </c>
      <c r="C2" s="1552" t="s">
        <v>1709</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151</v>
      </c>
      <c r="C3" s="1553"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875</v>
      </c>
    </row>
    <row r="4" spans="1:23">
      <c r="A4" s="8" t="s">
        <v>87</v>
      </c>
      <c r="B4" s="8" t="s">
        <v>152</v>
      </c>
      <c r="C4" s="1552" t="s">
        <v>1711</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876</v>
      </c>
    </row>
    <row r="5" spans="1:23">
      <c r="A5" s="8" t="s">
        <v>94</v>
      </c>
      <c r="B5" s="8" t="s">
        <v>153</v>
      </c>
      <c r="C5" s="1552" t="s">
        <v>1712</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154</v>
      </c>
      <c r="H7" s="9" t="s">
        <v>104</v>
      </c>
      <c r="I7" s="9" t="s">
        <v>105</v>
      </c>
    </row>
    <row r="8" spans="1:23">
      <c r="A8" s="8" t="s">
        <v>106</v>
      </c>
      <c r="B8" s="8" t="s">
        <v>107</v>
      </c>
      <c r="C8" s="1552" t="s">
        <v>1715</v>
      </c>
      <c r="F8" s="9" t="s">
        <v>155</v>
      </c>
      <c r="H8" s="9"/>
      <c r="I8" s="9" t="s">
        <v>108</v>
      </c>
    </row>
    <row r="9" spans="1:23">
      <c r="A9" s="8" t="s">
        <v>109</v>
      </c>
      <c r="B9" s="8" t="s">
        <v>156</v>
      </c>
      <c r="C9" s="1552" t="s">
        <v>1716</v>
      </c>
      <c r="F9" s="9" t="s">
        <v>110</v>
      </c>
      <c r="H9" s="9"/>
    </row>
    <row r="10" spans="1:23">
      <c r="A10" s="8" t="s">
        <v>111</v>
      </c>
      <c r="B10" s="8" t="s">
        <v>157</v>
      </c>
      <c r="C10" s="1552" t="s">
        <v>1717</v>
      </c>
      <c r="F10" s="9" t="s">
        <v>6</v>
      </c>
    </row>
    <row r="11" spans="1:23">
      <c r="A11" s="8" t="s">
        <v>112</v>
      </c>
      <c r="B11" s="8" t="s">
        <v>158</v>
      </c>
      <c r="C11" s="1552" t="s">
        <v>1718</v>
      </c>
    </row>
    <row r="12" spans="1:23">
      <c r="A12" s="8" t="s">
        <v>113</v>
      </c>
      <c r="B12" s="8" t="s">
        <v>159</v>
      </c>
      <c r="C12" s="1552" t="s">
        <v>1719</v>
      </c>
    </row>
    <row r="13" spans="1:23">
      <c r="A13" s="8" t="s">
        <v>114</v>
      </c>
      <c r="B13" s="8" t="s">
        <v>160</v>
      </c>
      <c r="C13" s="1552" t="s">
        <v>1720</v>
      </c>
    </row>
    <row r="14" spans="1:23">
      <c r="A14" s="8" t="s">
        <v>115</v>
      </c>
      <c r="B14" s="8" t="s">
        <v>161</v>
      </c>
      <c r="C14" s="1555" t="s">
        <v>1896</v>
      </c>
    </row>
    <row r="15" spans="1:23">
      <c r="A15" s="8" t="s">
        <v>116</v>
      </c>
      <c r="B15" s="8" t="s">
        <v>1681</v>
      </c>
      <c r="C15" s="1555"/>
    </row>
    <row r="16" spans="1:23">
      <c r="A16" s="8" t="s">
        <v>117</v>
      </c>
      <c r="B16" s="8" t="s">
        <v>1682</v>
      </c>
      <c r="C16" s="1555"/>
    </row>
    <row r="17" spans="1:3">
      <c r="A17" s="8" t="s">
        <v>118</v>
      </c>
      <c r="B17" s="8" t="s">
        <v>1683</v>
      </c>
      <c r="C17" s="1555"/>
    </row>
    <row r="18" spans="1:3">
      <c r="A18" s="8" t="s">
        <v>119</v>
      </c>
      <c r="B18" s="3110" t="s">
        <v>2955</v>
      </c>
      <c r="C18" s="1555"/>
    </row>
    <row r="19" spans="1:3">
      <c r="A19" s="8" t="s">
        <v>120</v>
      </c>
      <c r="B19" s="3110" t="s">
        <v>2963</v>
      </c>
      <c r="C19" s="1555"/>
    </row>
    <row r="20" spans="1:3">
      <c r="A20" s="8" t="s">
        <v>121</v>
      </c>
      <c r="B20" s="8" t="s">
        <v>1641</v>
      </c>
      <c r="C20" s="1555"/>
    </row>
    <row r="21" spans="1:3">
      <c r="A21" s="8" t="s">
        <v>122</v>
      </c>
      <c r="B21" s="8" t="s">
        <v>1641</v>
      </c>
      <c r="C21" s="1555"/>
    </row>
    <row r="22" spans="1:3">
      <c r="A22" s="8" t="s">
        <v>123</v>
      </c>
      <c r="B22" s="8" t="s">
        <v>1641</v>
      </c>
      <c r="C22" s="1555"/>
    </row>
    <row r="23" spans="1:3">
      <c r="A23" s="8" t="s">
        <v>124</v>
      </c>
      <c r="B23" s="8" t="s">
        <v>1641</v>
      </c>
      <c r="C23" s="1555"/>
    </row>
    <row r="24" spans="1:3">
      <c r="A24" s="8" t="s">
        <v>12</v>
      </c>
      <c r="B24" s="8" t="s">
        <v>1641</v>
      </c>
      <c r="C24" s="1555"/>
    </row>
    <row r="25" spans="1:3">
      <c r="A25" s="8" t="s">
        <v>125</v>
      </c>
      <c r="B25" s="8" t="s">
        <v>1641</v>
      </c>
      <c r="C25" s="1555"/>
    </row>
    <row r="26" spans="1:3">
      <c r="A26" s="8" t="s">
        <v>126</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34"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11月14日，在规划利用条件下、设定土地开发程度为红线外“七通”、宗地内场地平整，设定用途为，剩余土地使用年限为的出让国有建设用地使用权价格。</v>
      </c>
      <c r="D53" s="1769"/>
      <c r="E53" s="1769"/>
    </row>
    <row r="54" spans="1:5">
      <c r="A54" s="3234"/>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4"/>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4"/>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4"/>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2018-12-29T05:54:37Z</dcterms:modified>
</cp:coreProperties>
</file>