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700" yWindow="435" windowWidth="13560" windowHeight="1381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A地块"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 name="结果汇总表" sheetId="81" state="hidden"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6" i="74" l="1"/>
  <c r="C16" i="74" l="1"/>
  <c r="D16" i="74" l="1"/>
  <c r="C15" i="74" l="1"/>
  <c r="B15" i="74"/>
  <c r="G16" i="74" l="1"/>
  <c r="K16" i="74" s="1"/>
  <c r="B3" i="81" l="1"/>
  <c r="C4" i="81"/>
  <c r="B4" i="81"/>
  <c r="C6" i="81"/>
  <c r="B6" i="81"/>
  <c r="C17" i="74"/>
  <c r="C5" i="81" s="1"/>
  <c r="B17" i="74"/>
  <c r="B5" i="81" s="1"/>
  <c r="B7" i="81" l="1"/>
  <c r="B14" i="74"/>
  <c r="AT17" i="3" l="1"/>
  <c r="AL18" i="3"/>
  <c r="I16" i="3"/>
  <c r="I15" i="3"/>
  <c r="I14" i="3"/>
  <c r="I13" i="3"/>
  <c r="C18" i="3"/>
  <c r="G13" i="4"/>
  <c r="F13" i="4"/>
  <c r="I12" i="80"/>
  <c r="J10" i="80"/>
  <c r="G10" i="80"/>
  <c r="F10" i="80"/>
  <c r="E9" i="80"/>
  <c r="E8" i="80"/>
  <c r="E7" i="80"/>
  <c r="E6" i="80"/>
  <c r="E5" i="80"/>
  <c r="E4" i="80"/>
  <c r="H3" i="80"/>
  <c r="E3" i="80" s="1"/>
  <c r="E10" i="80" l="1"/>
  <c r="E11" i="80" s="1"/>
  <c r="I13" i="80" s="1"/>
  <c r="H10" i="80"/>
  <c r="G14" i="73"/>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M8" i="15"/>
  <c r="F36" i="67"/>
  <c r="E13" i="76"/>
  <c r="F42" i="67"/>
  <c r="J15" i="15"/>
  <c r="B8" i="76"/>
  <c r="L48" i="15"/>
  <c r="F42" i="15"/>
  <c r="F36" i="15"/>
  <c r="F7" i="15"/>
  <c r="F13" i="67"/>
  <c r="D3" i="73"/>
  <c r="F6" i="67"/>
  <c r="D7" i="73"/>
  <c r="M28" i="67"/>
  <c r="F7" i="73"/>
  <c r="F4" i="73"/>
  <c r="M22" i="67"/>
  <c r="M6" i="67"/>
  <c r="M29" i="15"/>
  <c r="E7" i="76"/>
  <c r="E2" i="69"/>
  <c r="M28" i="15"/>
  <c r="F3" i="73"/>
  <c r="F38" i="15"/>
  <c r="F26" i="15"/>
  <c r="M26" i="15"/>
  <c r="F37" i="67"/>
  <c r="D5" i="73"/>
  <c r="L47" i="15"/>
  <c r="M26" i="67"/>
  <c r="M29" i="67"/>
  <c r="C76" i="67"/>
  <c r="F40" i="15"/>
  <c r="E10" i="76"/>
  <c r="B12" i="76"/>
  <c r="AO13" i="1"/>
  <c r="F13" i="15"/>
  <c r="M9" i="15"/>
  <c r="M22" i="15"/>
  <c r="B7" i="76"/>
  <c r="L48" i="67"/>
  <c r="M24" i="67"/>
  <c r="F6" i="73"/>
  <c r="B9" i="76"/>
  <c r="M9" i="67"/>
  <c r="B10" i="76"/>
  <c r="F43" i="15"/>
  <c r="F40" i="67"/>
  <c r="E9" i="76"/>
  <c r="E2" i="68"/>
  <c r="F16" i="15"/>
  <c r="M23" i="67"/>
  <c r="D6" i="73"/>
  <c r="D4" i="73"/>
  <c r="E11" i="76"/>
  <c r="F9" i="15"/>
  <c r="M6" i="15"/>
  <c r="F26" i="67"/>
  <c r="F5" i="73"/>
  <c r="F43" i="67"/>
  <c r="B13" i="76"/>
  <c r="F6" i="15"/>
  <c r="C76" i="15"/>
  <c r="M24" i="15"/>
  <c r="F38" i="67"/>
  <c r="F8" i="15"/>
  <c r="M8" i="67"/>
  <c r="F9" i="67"/>
  <c r="F16" i="67"/>
  <c r="E8" i="76"/>
  <c r="J15" i="67"/>
  <c r="E12" i="76"/>
  <c r="L47" i="67"/>
  <c r="F37" i="15"/>
  <c r="M23" i="15"/>
  <c r="F8" i="67"/>
  <c r="B11" i="76"/>
  <c r="F7" i="67"/>
  <c r="C21" i="68" l="1"/>
  <c r="C40" i="69"/>
  <c r="G5" i="3"/>
  <c r="B3" i="3" s="1"/>
  <c r="G28" i="6"/>
  <c r="F29" i="6"/>
  <c r="BA5" i="3"/>
  <c r="BL5" i="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85" i="3"/>
  <c r="E511" i="3"/>
  <c r="E45" i="3"/>
  <c r="E519" i="3"/>
  <c r="E458" i="3"/>
  <c r="E457" i="3"/>
  <c r="E571" i="3"/>
  <c r="E433" i="3"/>
  <c r="E111" i="3"/>
  <c r="E279" i="3"/>
  <c r="E318" i="3"/>
  <c r="E567" i="3"/>
  <c r="E269" i="3"/>
  <c r="E107" i="3"/>
  <c r="E515" i="3"/>
  <c r="E414" i="3"/>
  <c r="E505" i="3"/>
  <c r="E531" i="3"/>
  <c r="E489" i="3"/>
  <c r="E28" i="3"/>
  <c r="E70" i="3"/>
  <c r="E182" i="3"/>
  <c r="E211" i="3"/>
  <c r="E273" i="3"/>
  <c r="E316" i="3"/>
  <c r="E377" i="3"/>
  <c r="E334" i="3"/>
  <c r="E572" i="3"/>
  <c r="E30" i="3"/>
  <c r="E109" i="3"/>
  <c r="E480" i="3"/>
  <c r="E14" i="6"/>
  <c r="E63" i="39" s="1"/>
  <c r="I4" i="6"/>
  <c r="G3" i="43" s="1"/>
  <c r="F26" i="43" s="1"/>
  <c r="E29" i="6"/>
  <c r="K15" i="1" s="1"/>
  <c r="F30" i="6"/>
  <c r="G30" i="6"/>
  <c r="G31" i="6" s="1"/>
  <c r="E28" i="6"/>
  <c r="L19" i="6"/>
  <c r="L27" i="6" s="1"/>
  <c r="M6" i="1"/>
  <c r="O6" i="1" s="1"/>
  <c r="P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9" i="15" s="1"/>
  <c r="L58" i="15"/>
  <c r="M59" i="15"/>
  <c r="F66" i="15"/>
  <c r="Q71" i="67"/>
  <c r="F64" i="15"/>
  <c r="C27" i="67"/>
  <c r="F71" i="67"/>
  <c r="C27" i="15"/>
  <c r="F65" i="15"/>
  <c r="N59" i="67"/>
  <c r="L59" i="67"/>
  <c r="L58" i="67"/>
  <c r="M59" i="67"/>
  <c r="B13" i="70"/>
  <c r="M7" i="67"/>
  <c r="J6" i="67" s="1"/>
  <c r="F50" i="67"/>
  <c r="F68" i="67"/>
  <c r="F64" i="67"/>
  <c r="F68" i="15"/>
  <c r="D9" i="69"/>
  <c r="F27" i="69"/>
  <c r="C36" i="69"/>
  <c r="D9" i="68"/>
  <c r="C13" i="12"/>
  <c r="D19" i="12"/>
  <c r="C16" i="67"/>
  <c r="G1" i="73"/>
  <c r="C16" i="15"/>
  <c r="C19" i="12" l="1"/>
  <c r="E77" i="3"/>
  <c r="AT6" i="3"/>
  <c r="E441" i="3"/>
  <c r="E29" i="3"/>
  <c r="E44" i="3"/>
  <c r="AM6" i="3"/>
  <c r="E384" i="3"/>
  <c r="E317" i="3"/>
  <c r="E331" i="3"/>
  <c r="E291" i="3"/>
  <c r="E295" i="3"/>
  <c r="E166" i="3"/>
  <c r="E121" i="3"/>
  <c r="E88" i="3"/>
  <c r="E404" i="3"/>
  <c r="E444" i="3"/>
  <c r="E581" i="3"/>
  <c r="E477" i="3"/>
  <c r="E478" i="3"/>
  <c r="E585" i="3"/>
  <c r="E271" i="3"/>
  <c r="E549" i="3"/>
  <c r="E31" i="3"/>
  <c r="E351" i="3"/>
  <c r="E150" i="3"/>
  <c r="E72" i="3"/>
  <c r="E450" i="3"/>
  <c r="E562" i="3"/>
  <c r="E527" i="3"/>
  <c r="E573" i="3"/>
  <c r="E193" i="3"/>
  <c r="E99" i="3"/>
  <c r="E314" i="3"/>
  <c r="E453" i="3"/>
  <c r="E210" i="3"/>
  <c r="E272" i="3"/>
  <c r="E186" i="3"/>
  <c r="E126" i="3"/>
  <c r="E162" i="3"/>
  <c r="E92" i="3"/>
  <c r="E27" i="3"/>
  <c r="E71" i="3"/>
  <c r="E447" i="3"/>
  <c r="E546" i="3"/>
  <c r="E476" i="3"/>
  <c r="E403" i="3"/>
  <c r="AS6"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E341" i="3"/>
  <c r="AF6" i="3"/>
  <c r="E50" i="3"/>
  <c r="E102" i="3"/>
  <c r="E20" i="3"/>
  <c r="E80" i="3"/>
  <c r="E62" i="3"/>
  <c r="E113" i="3"/>
  <c r="E176" i="3"/>
  <c r="E158" i="3"/>
  <c r="E218" i="3"/>
  <c r="E287" i="3"/>
  <c r="E265" i="3"/>
  <c r="E308" i="3"/>
  <c r="E365" i="3"/>
  <c r="E326" i="3"/>
  <c r="E524" i="3"/>
  <c r="E22" i="3"/>
  <c r="E101" i="3"/>
  <c r="E83" i="3"/>
  <c r="E381" i="3"/>
  <c r="Y6" i="3"/>
  <c r="E68" i="3"/>
  <c r="E51" i="3"/>
  <c r="E63" i="3"/>
  <c r="E19" i="3"/>
  <c r="E81" i="3"/>
  <c r="E154" i="3"/>
  <c r="E118" i="3"/>
  <c r="E179" i="3"/>
  <c r="E264" i="3"/>
  <c r="E222" i="3"/>
  <c r="E283" i="3"/>
  <c r="E323" i="3"/>
  <c r="E309" i="3"/>
  <c r="E373" i="3"/>
  <c r="E513" i="3"/>
  <c r="E82" i="3"/>
  <c r="E21" i="3"/>
  <c r="E59" i="40"/>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28" i="12"/>
  <c r="AE6" i="1"/>
  <c r="F41" i="67"/>
  <c r="C29" i="12" l="1"/>
  <c r="D28" i="12"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D14" i="12"/>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5" i="6"/>
  <c r="D15" i="6"/>
  <c r="D22" i="6"/>
  <c r="D21" i="6"/>
  <c r="D24" i="6"/>
  <c r="D20" i="6"/>
  <c r="M19" i="9"/>
  <c r="C118" i="9" s="1"/>
  <c r="D26" i="6"/>
  <c r="D8" i="6"/>
  <c r="D14" i="6"/>
  <c r="D6" i="6"/>
  <c r="D9" i="6"/>
  <c r="D10" i="6"/>
  <c r="L19" i="9"/>
  <c r="D29" i="6"/>
  <c r="H22" i="6"/>
  <c r="H21" i="6"/>
  <c r="H24" i="6"/>
  <c r="D19" i="6"/>
  <c r="C18" i="4"/>
  <c r="D23" i="6"/>
  <c r="D5" i="6"/>
  <c r="D12" i="6"/>
  <c r="D11" i="6"/>
  <c r="D13" i="6"/>
  <c r="D28" i="6"/>
  <c r="E61" i="40"/>
  <c r="H26" i="6"/>
  <c r="P14" i="1"/>
  <c r="P16" i="1"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1" i="12"/>
  <c r="D20" i="12"/>
  <c r="C17" i="67"/>
  <c r="C14" i="67"/>
  <c r="C17" i="15"/>
  <c r="D30" i="6" l="1"/>
  <c r="B2" i="74"/>
  <c r="C14" i="74"/>
  <c r="C3" i="81" s="1"/>
  <c r="C7" i="81" s="1"/>
  <c r="C20" i="12"/>
  <c r="B29" i="1" s="1"/>
  <c r="C8" i="68" s="1"/>
  <c r="C5" i="68" s="1"/>
  <c r="C23" i="68" s="1"/>
  <c r="H25" i="6"/>
  <c r="C18" i="67"/>
  <c r="C15" i="67"/>
  <c r="H23" i="6"/>
  <c r="C30" i="43"/>
  <c r="C31" i="43"/>
  <c r="H20" i="6"/>
  <c r="R20" i="6" s="1"/>
  <c r="R7" i="1" s="1"/>
  <c r="C38" i="69"/>
  <c r="C35" i="69"/>
  <c r="E12" i="70"/>
  <c r="F34" i="11"/>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F11" i="12"/>
  <c r="C19" i="9"/>
  <c r="C14" i="15"/>
  <c r="E6" i="76"/>
  <c r="B6" i="76"/>
  <c r="C102" i="9" l="1"/>
  <c r="C21" i="9"/>
  <c r="B3" i="43"/>
  <c r="H18" i="12"/>
  <c r="C18" i="12"/>
  <c r="D8" i="71"/>
  <c r="C7" i="7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0" i="9"/>
  <c r="C103" i="9" l="1"/>
  <c r="F7" i="21"/>
  <c r="S7" i="21"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5"/>
  <c r="D2" i="36"/>
  <c r="Q57" i="67" l="1"/>
  <c r="Q62" i="67" s="1"/>
  <c r="Q66" i="67"/>
  <c r="Q75" i="67" s="1"/>
  <c r="B3" i="67"/>
  <c r="L57" i="15"/>
  <c r="L60" i="15" s="1"/>
  <c r="Q57" i="15" s="1"/>
  <c r="Q67" i="15"/>
  <c r="B2" i="36"/>
  <c r="B3" i="36" s="1"/>
  <c r="B2" i="35"/>
  <c r="B3" i="35" s="1"/>
  <c r="M3" i="35"/>
  <c r="B2" i="37"/>
  <c r="B3" i="37" s="1"/>
  <c r="B2" i="34"/>
  <c r="B3" i="34" s="1"/>
  <c r="L46" i="15"/>
  <c r="B2" i="15" s="1"/>
  <c r="C8" i="12" s="1"/>
  <c r="C4" i="12" s="1"/>
  <c r="Q47" i="15"/>
  <c r="Q53" i="15" s="1"/>
  <c r="C43" i="15"/>
  <c r="Q65" i="15"/>
  <c r="C83" i="15"/>
  <c r="C82" i="15" s="1"/>
  <c r="Q56" i="15"/>
  <c r="W7" i="39"/>
  <c r="AC7" i="39"/>
  <c r="V47" i="39" s="1"/>
  <c r="I47" i="39" s="1"/>
  <c r="E47" i="39"/>
  <c r="R48" i="39"/>
  <c r="U7" i="39"/>
  <c r="AB7" i="39"/>
  <c r="T47" i="39" s="1"/>
  <c r="G47" i="39" s="1"/>
  <c r="J7" i="40"/>
  <c r="F7" i="40"/>
  <c r="H7" i="40"/>
  <c r="AO10" i="1"/>
  <c r="AO12" i="1"/>
  <c r="AO9" i="1"/>
  <c r="AO7" i="1"/>
  <c r="AO6" i="1"/>
  <c r="AO8" i="1"/>
  <c r="AO11" i="1"/>
  <c r="C31" i="12" l="1"/>
  <c r="C23" i="12"/>
  <c r="Q66" i="15"/>
  <c r="Q75" i="15" s="1"/>
  <c r="Q62" i="15"/>
  <c r="B9" i="70"/>
  <c r="B11" i="70"/>
  <c r="B7" i="70"/>
  <c r="B10" i="70"/>
  <c r="B12" i="70"/>
  <c r="B6" i="70"/>
  <c r="B8" i="70"/>
  <c r="B3" i="15"/>
  <c r="C6" i="12"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7" i="12" l="1"/>
  <c r="C25" i="12" s="1"/>
  <c r="C30" i="12"/>
  <c r="C28" i="12"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B3" i="12" s="1"/>
  <c r="C42" i="40"/>
  <c r="C43" i="40"/>
  <c r="E47" i="40"/>
  <c r="F47" i="40" s="1"/>
  <c r="E46" i="40"/>
  <c r="F46" i="40" s="1"/>
  <c r="I47" i="40"/>
  <c r="J47" i="40" s="1"/>
  <c r="D19" i="9"/>
  <c r="D20" i="9"/>
  <c r="D22" i="9" l="1"/>
  <c r="G19" i="9"/>
  <c r="G21" i="9" s="1"/>
  <c r="D102" i="9"/>
  <c r="D21" i="9"/>
  <c r="G20" i="9"/>
  <c r="D103"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c r="D34" i="9" l="1"/>
  <c r="D35" i="9"/>
  <c r="D118" i="9" l="1"/>
  <c r="D4" i="52" s="1"/>
  <c r="B47" i="72" s="1"/>
  <c r="H118" i="9"/>
  <c r="F118" i="9"/>
  <c r="F4" i="52" s="1"/>
  <c r="B51" i="72" s="1"/>
  <c r="H4" i="52" l="1"/>
  <c r="D14" i="74"/>
  <c r="G118" i="9"/>
  <c r="G4" i="52" s="1"/>
  <c r="B52" i="72" s="1"/>
  <c r="D119" i="9"/>
  <c r="D5" i="52" s="1"/>
  <c r="B49" i="72" s="1"/>
  <c r="C104" i="9"/>
  <c r="H101" i="9"/>
  <c r="I118" i="9"/>
  <c r="F119" i="9"/>
  <c r="F5" i="52" s="1"/>
  <c r="B53" i="72" s="1"/>
  <c r="H119" i="9"/>
  <c r="H5" i="52" s="1"/>
  <c r="G14" i="74" l="1"/>
  <c r="K14" i="74" s="1"/>
  <c r="D3" i="81"/>
  <c r="F14" i="74"/>
  <c r="E14" i="74"/>
  <c r="E3" i="81" s="1"/>
  <c r="I3" i="81" s="1"/>
  <c r="I4" i="52"/>
  <c r="E118" i="9"/>
  <c r="E4" i="52" s="1"/>
  <c r="B48" i="72" s="1"/>
  <c r="C105" i="9"/>
  <c r="H102" i="9"/>
  <c r="D45" i="9"/>
  <c r="M48" i="9"/>
  <c r="D5" i="53"/>
  <c r="H107" i="9"/>
  <c r="H3" i="81" l="1"/>
  <c r="D7" i="53"/>
  <c r="B21" i="72" s="1"/>
  <c r="D122" i="9"/>
  <c r="H108" i="9"/>
  <c r="D13" i="53"/>
  <c r="M49" i="9"/>
  <c r="D6" i="53"/>
  <c r="B22" i="72" s="1"/>
  <c r="B20" i="72"/>
  <c r="D53" i="9"/>
  <c r="D55" i="9"/>
  <c r="M53" i="9" s="1"/>
  <c r="C78" i="9"/>
  <c r="C73" i="9" s="1"/>
  <c r="C64" i="9"/>
  <c r="C63" i="9" s="1"/>
  <c r="C67" i="9" s="1"/>
  <c r="C85" i="9"/>
  <c r="D52" i="9"/>
  <c r="C72" i="9"/>
  <c r="C93" i="9"/>
  <c r="C86" i="9" s="1"/>
  <c r="C79" i="9" l="1"/>
  <c r="C68" i="9"/>
  <c r="D54" i="9" s="1"/>
  <c r="D59" i="9"/>
  <c r="M55" i="9" s="1"/>
  <c r="L65" i="9"/>
  <c r="M65" i="9" s="1"/>
  <c r="L63" i="9"/>
  <c r="M63" i="9" s="1"/>
  <c r="L67" i="9"/>
  <c r="M67" i="9" s="1"/>
  <c r="L68" i="9"/>
  <c r="M68" i="9" s="1"/>
  <c r="L66" i="9"/>
  <c r="M66" i="9" s="1"/>
  <c r="L64" i="9"/>
  <c r="M64" i="9" s="1"/>
  <c r="D15" i="53"/>
  <c r="B31" i="72" s="1"/>
  <c r="C80" i="9"/>
  <c r="E80" i="9" s="1"/>
  <c r="E81" i="9" s="1"/>
  <c r="C95" i="9"/>
  <c r="D14" i="53"/>
  <c r="B32" i="72" s="1"/>
  <c r="B30" i="72"/>
  <c r="D8" i="52"/>
  <c r="D123" i="9"/>
  <c r="D9" i="52" s="1"/>
  <c r="M69" i="9" l="1"/>
  <c r="N69" i="9" s="1"/>
  <c r="C96" i="9"/>
  <c r="E96" i="9" s="1"/>
  <c r="E97" i="9" s="1"/>
  <c r="C81" i="9"/>
  <c r="C97" i="9" l="1"/>
  <c r="D58" i="9" s="1"/>
  <c r="D56" i="9" s="1"/>
  <c r="M54" i="9" s="1"/>
  <c r="N57" i="9" s="1"/>
  <c r="N58" i="9" s="1"/>
  <c r="P57" i="9" l="1"/>
  <c r="N59" i="9"/>
  <c r="N61" i="9" s="1"/>
  <c r="N60" i="9" l="1"/>
  <c r="H6" i="81" l="1"/>
  <c r="F16" i="74" l="1"/>
  <c r="E16" i="74"/>
  <c r="I6" i="81" s="1"/>
  <c r="G6" i="81" l="1"/>
  <c r="F6" i="81"/>
  <c r="F7" i="81" s="1"/>
  <c r="F8" i="81" s="1"/>
  <c r="D6" i="81" l="1"/>
  <c r="E6" i="81" l="1"/>
  <c r="D15" i="74" l="1"/>
  <c r="G15" i="74" l="1"/>
  <c r="K15" i="74" s="1"/>
  <c r="D4" i="81"/>
  <c r="E15" i="74"/>
  <c r="E4" i="81" s="1"/>
  <c r="I4" i="81" s="1"/>
  <c r="F15" i="74"/>
  <c r="H4" i="81" l="1"/>
  <c r="D17" i="74" l="1"/>
  <c r="B5" i="74" s="1"/>
  <c r="C5" i="74" l="1"/>
  <c r="D5" i="74"/>
  <c r="D5" i="81"/>
  <c r="E17" i="74"/>
  <c r="E5" i="81" s="1"/>
  <c r="I5" i="81" s="1"/>
  <c r="F17" i="74"/>
  <c r="H5" i="81" l="1"/>
  <c r="H7" i="81" s="1"/>
  <c r="H8" i="81" s="1"/>
  <c r="D7" i="81"/>
  <c r="D8" i="81" s="1"/>
  <c r="G17" i="74" l="1"/>
  <c r="B6" i="74" l="1"/>
  <c r="C6" i="74" s="1"/>
  <c r="K17" i="74"/>
  <c r="D6"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<sst xmlns="http://schemas.openxmlformats.org/spreadsheetml/2006/main" count="7872" uniqueCount="3446">
  <si>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</si>
  <si>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</si>
  <si>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</si>
  <si>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</si>
  <si>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</si>
  <si>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</si>
  <si>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</si>
  <si>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</si>
  <si>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</si>
  <si>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</si>
  <si>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</si>
  <si>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</si>
  <si>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</si>
  <si>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</si>
  <si>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</si>
  <si>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</si>
  <si>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</si>
  <si>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</si>
  <si>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</si>
  <si>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</si>
  <si>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</si>
  <si>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</si>
  <si>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</si>
  <si>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</si>
  <si>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</si>
  <si>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</si>
  <si>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</si>
  <si>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</si>
  <si>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</si>
  <si>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</si>
  <si>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</si>
  <si>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</si>
  <si>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</si>
  <si>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</si>
  <si>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</si>
  <si>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</si>
  <si>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</si>
  <si>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</si>
  <si>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</si>
  <si>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</si>
  <si>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</si>
  <si>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</si>
  <si>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</si>
  <si>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</si>
  <si>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</si>
  <si>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</si>
  <si>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</si>
  <si>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</si>
  <si>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</si>
  <si>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</si>
  <si>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</si>
  <si>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</si>
  <si>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</si>
  <si>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</si>
  <si>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</si>
  <si>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</si>
  <si>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</si>
  <si>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</si>
  <si>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</si>
  <si>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</si>
  <si>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</si>
  <si>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</si>
  <si>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</si>
  <si>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</si>
  <si>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</si>
  <si>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</si>
  <si>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</si>
  <si>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</si>
  <si>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</si>
  <si>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</si>
  <si>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</si>
  <si>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</si>
  <si>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</si>
  <si>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</si>
  <si>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</si>
  <si>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</si>
  <si>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</si>
  <si>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</si>
  <si>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</si>
  <si>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</si>
  <si>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</si>
  <si>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</si>
  <si>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</si>
  <si>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</si>
  <si>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</si>
  <si>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</si>
  <si>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</si>
  <si>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</si>
  <si>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</si>
  <si>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</si>
  <si>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</si>
  <si>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</si>
  <si>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</si>
  <si>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</si>
  <si>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</si>
  <si>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</si>
  <si>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</si>
  <si>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</si>
  <si>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</si>
  <si>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</si>
  <si>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</si>
  <si>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</si>
  <si>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</si>
  <si>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</si>
  <si>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</si>
  <si>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</si>
  <si>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</si>
  <si>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</si>
  <si>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</si>
  <si>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</si>
  <si>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</si>
  <si>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</si>
  <si>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</si>
  <si>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</si>
  <si>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</si>
  <si>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</si>
  <si>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</si>
  <si>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</si>
  <si>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</si>
  <si>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</si>
  <si>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</si>
  <si>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</si>
  <si>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</si>
  <si>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</si>
  <si>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</si>
  <si>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</si>
  <si>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</si>
  <si>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</si>
  <si>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</si>
  <si>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</si>
  <si>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</si>
  <si>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</si>
  <si>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</si>
  <si>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</si>
  <si>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</si>
  <si>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</si>
  <si>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</si>
  <si>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</si>
  <si>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</si>
  <si>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</si>
  <si>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</si>
  <si>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</si>
  <si>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</si>
  <si>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</si>
  <si>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</si>
  <si>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</si>
  <si>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</si>
  <si>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</si>
  <si>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</si>
  <si>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</si>
  <si>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</si>
  <si>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</si>
  <si>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</si>
  <si>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</si>
  <si>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</si>
  <si>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</si>
  <si>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</si>
  <si>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</si>
  <si>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</si>
  <si>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</si>
  <si>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</si>
  <si>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</si>
  <si>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</si>
  <si>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</si>
  <si>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</si>
  <si>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</si>
  <si>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</si>
  <si>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</si>
  <si>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</si>
  <si>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</si>
  <si>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</si>
  <si>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</si>
  <si>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</si>
  <si>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</si>
  <si>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</si>
  <si>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</si>
  <si>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</si>
  <si>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</si>
  <si>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</si>
  <si>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</si>
  <si>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</si>
  <si>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</si>
  <si>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</si>
  <si>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</si>
  <si>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</si>
  <si>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</si>
  <si>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</si>
  <si>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</si>
  <si>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</si>
  <si>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</si>
  <si>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</si>
  <si>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</si>
  <si>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</si>
  <si>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</si>
  <si>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</si>
  <si>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</si>
  <si>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</si>
  <si>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</si>
  <si>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</si>
  <si>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</si>
  <si>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</si>
  <si>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</si>
  <si>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</si>
  <si>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</si>
  <si>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</si>
  <si>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</si>
  <si>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</si>
  <si>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</si>
  <si>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</si>
  <si>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</si>
  <si>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</si>
  <si>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</si>
  <si>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</si>
  <si>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</si>
  <si>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</si>
  <si>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</si>
  <si>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</si>
  <si>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</si>
  <si>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</si>
  <si>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</si>
  <si>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</si>
  <si>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</si>
  <si>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</si>
  <si>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</si>
  <si>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</si>
  <si>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</si>
  <si>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</si>
  <si>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</si>
  <si>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</si>
  <si>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</si>
  <si>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</si>
  <si>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</si>
  <si>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</si>
  <si>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</si>
  <si>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</si>
  <si>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</si>
  <si>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</si>
  <si>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</si>
  <si>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</si>
  <si>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</si>
  <si>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</si>
  <si>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</si>
  <si>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</si>
  <si>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</si>
  <si>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</si>
  <si>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</si>
  <si>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</si>
  <si>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</si>
  <si>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</si>
  <si>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</si>
  <si>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</si>
  <si>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</si>
  <si>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</si>
  <si>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</si>
  <si>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</si>
  <si>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</si>
  <si>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</si>
  <si>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</si>
  <si>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</si>
  <si>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</si>
  <si>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</si>
  <si>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</si>
  <si>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</si>
  <si>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</si>
  <si>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</si>
  <si>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</si>
  <si>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</si>
  <si>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</si>
  <si>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</si>
  <si>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</si>
  <si>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</si>
  <si>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</si>
  <si>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</si>
  <si>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</si>
  <si>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</si>
  <si>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</si>
  <si>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</si>
  <si>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</si>
  <si>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</si>
  <si>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</si>
  <si>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</si>
  <si>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</si>
  <si>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</si>
  <si>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</si>
  <si>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</si>
  <si>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</si>
  <si>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</si>
  <si>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</si>
  <si>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</si>
  <si>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</si>
  <si>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</si>
  <si>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</si>
  <si>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</si>
  <si>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</si>
  <si>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</si>
  <si>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</si>
  <si>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</si>
  <si>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</si>
  <si>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</si>
  <si>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</si>
  <si>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</si>
  <si>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</si>
  <si>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</si>
  <si>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</si>
  <si>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</si>
  <si>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</si>
  <si>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</si>
  <si>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</si>
  <si>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</si>
  <si>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</si>
  <si>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</si>
  <si>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</si>
  <si>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</si>
  <si>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</si>
  <si>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</si>
  <si>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</si>
  <si>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</si>
  <si>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</si>
  <si>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</si>
  <si>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</si>
  <si>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</si>
  <si>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</si>
  <si>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</si>
  <si>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</si>
  <si>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</si>
  <si>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</si>
  <si>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</si>
  <si>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</si>
  <si>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</si>
  <si>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</si>
  <si>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</si>
  <si>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</si>
  <si>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</si>
  <si>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</si>
  <si>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</si>
  <si>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</si>
  <si>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</si>
  <si>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</si>
  <si>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</si>
  <si>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</si>
  <si>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</si>
  <si>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</si>
  <si>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</si>
  <si>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</si>
  <si>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</si>
  <si>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</si>
  <si>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</si>
  <si>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</si>
  <si>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</si>
  <si>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</si>
  <si>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</si>
  <si>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</si>
  <si>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</si>
  <si>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</si>
  <si>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</si>
  <si>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</si>
  <si>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</si>
  <si>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</si>
  <si>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</si>
  <si>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</si>
  <si>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</si>
  <si>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</si>
  <si>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</si>
  <si>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</si>
  <si>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</si>
  <si>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</si>
  <si>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</si>
  <si>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</si>
  <si>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</si>
  <si>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</si>
  <si>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</si>
  <si>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</si>
  <si>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</si>
  <si>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</si>
  <si>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</si>
  <si>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</si>
  <si>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</si>
  <si>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</si>
  <si>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</si>
  <si>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</si>
  <si>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</si>
  <si>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</si>
  <si>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</si>
  <si>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</si>
  <si>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</si>
  <si>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</si>
  <si>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</si>
  <si>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</si>
  <si>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</si>
  <si>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</si>
  <si>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</si>
  <si>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</si>
  <si>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</si>
  <si>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</si>
  <si>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</si>
  <si>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</si>
  <si>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</si>
  <si>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</si>
  <si>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</si>
  <si>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</si>
  <si>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</si>
  <si>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</si>
  <si>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</si>
  <si>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</si>
  <si>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</si>
  <si>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</si>
  <si>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</si>
  <si>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</si>
  <si>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</si>
  <si>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</si>
  <si>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</si>
  <si>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</si>
  <si>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</si>
  <si>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</si>
  <si>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</si>
  <si>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</si>
  <si>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</si>
  <si>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</si>
  <si>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</si>
  <si>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</si>
  <si>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</si>
  <si>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</si>
  <si>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</si>
  <si>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</si>
  <si>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</si>
  <si>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</si>
  <si>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</si>
  <si>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</si>
  <si>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</si>
  <si>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</si>
  <si>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</si>
  <si>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</si>
  <si>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</si>
  <si>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</si>
  <si>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</si>
  <si>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</si>
  <si>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</si>
  <si>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</si>
  <si>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</si>
  <si>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</si>
  <si>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</si>
  <si>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</si>
  <si>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</si>
  <si>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</si>
  <si>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</si>
  <si>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</si>
  <si>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</si>
  <si>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</si>
  <si>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</si>
  <si>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</si>
  <si>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</si>
  <si>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</si>
  <si>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</si>
  <si>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</si>
  <si>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</si>
  <si>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</si>
  <si>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</si>
  <si>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</si>
  <si>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</si>
  <si>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</si>
  <si>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</si>
  <si>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</si>
  <si>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</si>
  <si>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</si>
  <si>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</si>
  <si>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</si>
  <si>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</si>
  <si>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</si>
  <si>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</si>
  <si>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</si>
  <si>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</si>
  <si>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</si>
  <si>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</si>
  <si>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</si>
  <si>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</si>
  <si>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</si>
  <si>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</si>
  <si>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</si>
  <si>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</si>
  <si>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</si>
  <si>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</si>
  <si>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</si>
  <si>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</si>
  <si>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</si>
  <si>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</si>
  <si>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</si>
  <si>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</si>
  <si>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</si>
  <si>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</si>
  <si>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</si>
  <si>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</si>
  <si>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</si>
  <si>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</si>
  <si>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</si>
  <si>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</si>
  <si>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</si>
  <si>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</si>
  <si>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</si>
  <si>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</si>
  <si>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</si>
  <si>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</si>
  <si>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</si>
  <si>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</si>
  <si>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</si>
  <si>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</si>
  <si>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</si>
  <si>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</si>
  <si>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</si>
  <si>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</si>
  <si>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</si>
  <si>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</si>
  <si>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</si>
  <si>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</si>
  <si>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</si>
  <si>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</si>
  <si>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</si>
  <si>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</si>
  <si>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</si>
  <si>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</si>
  <si>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</si>
  <si>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</si>
  <si>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</si>
  <si>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</si>
  <si>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</si>
  <si>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</si>
  <si>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</si>
  <si>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</si>
  <si>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</si>
  <si>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</si>
  <si>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</si>
  <si>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</si>
  <si>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</si>
  <si>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</si>
  <si>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</si>
  <si>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</si>
  <si>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</si>
  <si>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</si>
  <si>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</si>
  <si>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</si>
  <si>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</si>
  <si>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</si>
  <si>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</si>
  <si>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</si>
  <si>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</si>
  <si>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</si>
  <si>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</si>
  <si>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</si>
  <si>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</si>
  <si>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</si>
  <si>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</si>
  <si>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</si>
  <si>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</si>
  <si>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</si>
  <si>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</si>
  <si>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</si>
  <si>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</si>
  <si>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</si>
  <si>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</si>
  <si>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</si>
  <si>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</si>
  <si>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</si>
  <si>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</si>
  <si>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</si>
  <si>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</si>
  <si>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</si>
  <si>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</si>
  <si>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</si>
  <si>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</si>
  <si>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</si>
  <si>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</si>
  <si>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</si>
  <si>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</si>
  <si>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</si>
  <si>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</si>
  <si>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</si>
  <si>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</si>
  <si>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</si>
  <si>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</si>
  <si>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</si>
  <si>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</si>
  <si>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</si>
  <si>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</si>
  <si>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</si>
  <si>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</si>
  <si>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</si>
  <si>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</si>
  <si>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</si>
  <si>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</si>
  <si>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</si>
  <si>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</si>
  <si>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</si>
  <si>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</si>
  <si>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</si>
  <si>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</si>
  <si>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</si>
  <si>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</si>
  <si>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</si>
  <si>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</si>
  <si>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</si>
  <si>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</si>
  <si>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</si>
  <si>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</si>
  <si>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</si>
  <si>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</si>
  <si>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</si>
  <si>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</si>
  <si>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</si>
  <si>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</si>
  <si>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</si>
  <si>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</si>
  <si>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</si>
  <si>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</si>
  <si>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</si>
  <si>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</si>
  <si>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</si>
  <si>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</si>
  <si>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</si>
  <si>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</si>
  <si>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</si>
  <si>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</si>
  <si>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</si>
  <si>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</si>
  <si>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</si>
  <si>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</si>
  <si>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</si>
  <si>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</si>
  <si>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</si>
  <si>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</si>
  <si>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</si>
  <si>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</si>
  <si>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</si>
  <si>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</si>
  <si>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</si>
  <si>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</si>
  <si>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</si>
  <si>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</si>
  <si>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</si>
  <si>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</si>
  <si>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</si>
  <si>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</si>
  <si>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</si>
  <si>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</si>
  <si>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</si>
  <si>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</si>
  <si>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</si>
  <si>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</si>
  <si>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</si>
  <si>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</si>
  <si>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</si>
  <si>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</si>
  <si>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</si>
  <si>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</si>
  <si>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</si>
  <si>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</si>
  <si>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</si>
  <si>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</si>
  <si>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</si>
  <si>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</si>
  <si>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</si>
  <si>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</si>
  <si>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</si>
  <si>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</si>
  <si>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</si>
  <si>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</si>
  <si>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</si>
  <si>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</si>
  <si>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</si>
  <si>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</si>
  <si>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</si>
  <si>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</si>
  <si>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</si>
  <si>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</si>
  <si>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</si>
  <si>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</si>
  <si>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</si>
  <si>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</si>
  <si>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</si>
  <si>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</si>
  <si>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</si>
  <si>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</si>
  <si>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</si>
  <si>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</si>
  <si>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</si>
  <si>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</si>
  <si>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</si>
  <si>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</si>
  <si>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</si>
  <si>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</si>
  <si>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</si>
  <si>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</si>
  <si>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</si>
  <si>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</si>
  <si>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</si>
  <si>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</si>
  <si>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</si>
  <si>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</si>
  <si>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</si>
  <si>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</si>
  <si>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</si>
  <si>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</si>
  <si>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</si>
  <si>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</si>
  <si>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</si>
  <si>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</si>
  <si>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</si>
  <si>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</si>
  <si>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</si>
  <si>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</si>
  <si>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</si>
  <si>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</si>
  <si>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</si>
  <si>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</si>
  <si>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</si>
  <si>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</si>
  <si>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</si>
  <si>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</si>
  <si>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</si>
  <si>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</si>
  <si>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</si>
  <si>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</si>
  <si>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</si>
  <si>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</si>
  <si>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</si>
  <si>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</si>
  <si>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</si>
  <si>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</si>
  <si>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</si>
  <si>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</si>
  <si>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</si>
  <si>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</si>
  <si>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</si>
  <si>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</si>
  <si>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</si>
  <si>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</si>
  <si>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</si>
  <si>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</si>
  <si>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</si>
  <si>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</si>
  <si>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</si>
  <si>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</si>
  <si>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</si>
  <si>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</si>
  <si>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</si>
  <si>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</si>
  <si>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</si>
  <si>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</si>
  <si>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</si>
  <si>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</si>
  <si>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</si>
  <si>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</si>
  <si>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</si>
  <si>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</si>
  <si>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</si>
  <si>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</si>
  <si>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</si>
  <si>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</si>
  <si>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</si>
  <si>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</si>
  <si>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</si>
  <si>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</si>
  <si>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</si>
  <si>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</si>
  <si>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</si>
  <si>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</si>
  <si>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</si>
  <si>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</si>
  <si>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</si>
  <si>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</si>
  <si>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</si>
  <si>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</si>
  <si>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</si>
  <si>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</si>
  <si>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</si>
  <si>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</si>
  <si>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</si>
  <si>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</si>
  <si>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</si>
  <si>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</si>
  <si>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</si>
  <si>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</si>
  <si>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</si>
  <si>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</si>
  <si>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</si>
  <si>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</si>
  <si>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</si>
  <si>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</si>
  <si>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</si>
  <si>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</si>
  <si>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</si>
  <si>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</si>
  <si>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</si>
  <si>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</si>
  <si>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</si>
  <si>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</si>
  <si>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</si>
  <si>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</si>
  <si>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</si>
  <si>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</si>
  <si>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</si>
  <si>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</si>
  <si>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</si>
  <si>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</si>
  <si>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</si>
  <si>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</si>
  <si>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</si>
  <si>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</si>
  <si>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</si>
  <si>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</si>
  <si>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</si>
  <si>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</si>
  <si>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</si>
  <si>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</si>
  <si>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</si>
  <si>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</si>
  <si>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</si>
  <si>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</si>
  <si>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</si>
  <si>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</si>
  <si>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</si>
  <si>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</si>
  <si>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</si>
  <si>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</si>
  <si>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</si>
  <si>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</si>
  <si>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</si>
  <si>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</si>
  <si>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</si>
  <si>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</si>
  <si>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</si>
  <si>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</si>
  <si>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</si>
  <si>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</si>
  <si>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</si>
  <si>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</si>
  <si>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</si>
  <si>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</si>
  <si>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</si>
  <si>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</si>
  <si>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</si>
  <si>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</si>
  <si>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</si>
  <si>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</si>
  <si>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</si>
  <si>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</si>
  <si>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</si>
  <si>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</si>
  <si>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</si>
  <si>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</si>
  <si>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</si>
  <si>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</si>
  <si>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</si>
  <si>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</si>
  <si>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</si>
  <si>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</si>
  <si>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</si>
  <si>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</si>
  <si>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</si>
  <si>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</si>
  <si>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</si>
  <si>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</si>
  <si>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</si>
  <si>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</si>
  <si>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</si>
  <si>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</si>
  <si>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</si>
  <si>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</si>
  <si>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</si>
  <si>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</si>
  <si>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</si>
  <si>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</si>
  <si>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</si>
  <si>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</si>
  <si>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</si>
  <si>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</si>
  <si>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</si>
  <si>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</si>
  <si>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</si>
  <si>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</si>
  <si>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</si>
  <si>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</si>
  <si>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</si>
  <si>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</si>
  <si>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</si>
  <si>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</si>
  <si>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</si>
  <si>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</si>
  <si>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</si>
  <si>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</si>
  <si>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</si>
  <si>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</si>
  <si>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</si>
  <si>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</si>
  <si>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</si>
  <si>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</si>
  <si>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</si>
  <si>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</si>
  <si>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</si>
  <si>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</si>
  <si>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</si>
  <si>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</si>
  <si>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</si>
  <si>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</si>
  <si>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</si>
  <si>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</si>
  <si>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</si>
  <si>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</si>
  <si>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</si>
  <si>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</si>
  <si>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</si>
  <si>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</si>
  <si>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</si>
  <si>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</si>
  <si>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</si>
  <si>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</si>
  <si>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</si>
  <si>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</si>
  <si>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</si>
  <si>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</si>
  <si>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</si>
  <si>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</si>
  <si>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</si>
  <si>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</si>
  <si>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</si>
  <si>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</si>
  <si>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</si>
  <si>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</si>
  <si>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</si>
  <si>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</si>
  <si>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</si>
  <si>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</si>
  <si>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</si>
  <si>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</si>
  <si>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</si>
  <si>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</si>
  <si>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</si>
  <si>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</si>
  <si>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</si>
  <si>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</si>
  <si>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</si>
  <si>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</si>
  <si>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</si>
  <si>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</si>
  <si>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</si>
  <si>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</si>
  <si>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</si>
  <si>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</si>
  <si>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</si>
  <si>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</si>
  <si>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</si>
  <si>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</si>
  <si>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</si>
  <si>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</si>
  <si>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</si>
  <si>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</si>
  <si>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</si>
  <si>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</si>
  <si>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</si>
  <si>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</si>
  <si>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</si>
  <si>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</si>
  <si>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</si>
  <si>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</si>
  <si>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</si>
  <si>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</si>
  <si>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</si>
  <si>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</si>
  <si>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</si>
  <si>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</si>
  <si>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</si>
  <si>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</si>
  <si>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</si>
  <si>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</si>
  <si>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</si>
  <si>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</si>
  <si>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</si>
  <si>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</si>
  <si>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</si>
  <si>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</si>
  <si>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</si>
  <si>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</si>
  <si>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</si>
  <si>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</si>
  <si>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</si>
  <si>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</si>
  <si>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</si>
  <si>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</si>
  <si>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</si>
  <si>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</si>
  <si>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</si>
  <si>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</si>
  <si>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</si>
  <si>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</si>
  <si>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</si>
  <si>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</si>
  <si>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</si>
  <si>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</si>
  <si>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</si>
  <si>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</si>
  <si>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</si>
  <si>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</si>
  <si>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</si>
  <si>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</si>
  <si>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</si>
  <si>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</si>
  <si>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</si>
  <si>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</si>
  <si>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</si>
  <si>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</si>
  <si>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</si>
  <si>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</si>
  <si>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</si>
  <si>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</si>
  <si>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</si>
  <si>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</si>
  <si>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</si>
  <si>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</si>
  <si>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</si>
  <si>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</si>
  <si>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</si>
  <si>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</si>
  <si>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</si>
  <si>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</si>
  <si>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</si>
  <si>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</si>
  <si>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</si>
  <si>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</si>
  <si>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</si>
  <si>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</si>
  <si>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</si>
  <si>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</si>
  <si>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</si>
  <si>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</si>
  <si>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</si>
  <si>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</si>
  <si>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</si>
  <si>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</si>
  <si>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</si>
  <si>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</si>
  <si>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</si>
  <si>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</si>
  <si>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</si>
  <si>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</si>
  <si>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</si>
  <si>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</si>
  <si>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</si>
  <si>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</si>
  <si>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</si>
  <si>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</si>
  <si>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</si>
  <si>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</si>
  <si>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</si>
  <si>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</si>
  <si>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</si>
  <si>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</si>
  <si>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</si>
  <si>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</si>
  <si>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</si>
  <si>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</si>
  <si>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</si>
  <si>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</si>
  <si>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</si>
  <si>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</si>
  <si>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</si>
  <si>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</si>
  <si>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</si>
  <si>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</si>
  <si>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</si>
  <si>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</si>
  <si>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</si>
  <si>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</si>
  <si>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</si>
  <si>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</si>
  <si>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</si>
  <si>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</si>
  <si>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</si>
  <si>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</si>
  <si>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</si>
  <si>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</si>
  <si>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</si>
  <si>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</si>
  <si>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</si>
  <si>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</si>
  <si>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</si>
  <si>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</si>
  <si>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</si>
  <si>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</si>
  <si>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</si>
  <si>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</si>
  <si>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</si>
  <si>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</si>
  <si>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</si>
  <si>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</si>
  <si>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</si>
  <si>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</si>
  <si>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</si>
  <si>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</si>
  <si>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</si>
  <si>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</si>
  <si>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</si>
  <si>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</si>
  <si>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</si>
  <si>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</si>
  <si>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</si>
  <si>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</si>
  <si>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</si>
  <si>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</si>
  <si>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</si>
  <si>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</si>
  <si>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</si>
  <si>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</si>
  <si>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</si>
  <si>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</si>
  <si>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</si>
  <si>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</si>
  <si>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</si>
  <si>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</si>
  <si>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</si>
  <si>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</si>
  <si>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</si>
  <si>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</si>
  <si>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</si>
  <si>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</si>
  <si>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</si>
  <si>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</si>
  <si>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</si>
  <si>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</si>
  <si>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</si>
  <si>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</si>
  <si>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</si>
  <si>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</si>
  <si>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</si>
  <si>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</si>
  <si>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</si>
  <si>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</si>
  <si>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</si>
  <si>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</si>
  <si>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</si>
  <si>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</si>
  <si>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</si>
  <si>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</si>
  <si>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</si>
  <si>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</si>
  <si>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</si>
  <si>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</si>
  <si>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</si>
  <si>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</si>
  <si>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</si>
  <si>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</si>
  <si>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</si>
  <si>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</si>
  <si>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</si>
  <si>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</si>
  <si>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</si>
  <si>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</si>
  <si>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</si>
  <si>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</si>
  <si>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</si>
  <si>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</si>
  <si>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</si>
  <si>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</si>
  <si>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</si>
  <si>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</si>
  <si>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</si>
  <si>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</si>
  <si>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</si>
  <si>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</si>
  <si>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</si>
  <si>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</si>
  <si>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</si>
  <si>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</si>
  <si>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</si>
  <si>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</si>
  <si>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</si>
  <si>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</si>
  <si>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</si>
  <si>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</si>
  <si>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</si>
  <si>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</si>
  <si>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</si>
  <si>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</si>
  <si>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</si>
  <si>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</si>
  <si>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</si>
  <si>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</si>
  <si>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</si>
  <si>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</si>
  <si>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</si>
  <si>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</si>
  <si>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</si>
  <si>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</si>
  <si>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</si>
  <si>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</si>
  <si>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</si>
  <si>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</si>
  <si>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</si>
  <si>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</si>
  <si>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</si>
  <si>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</si>
  <si>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</si>
  <si>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</si>
  <si>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</si>
  <si>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</si>
  <si>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</si>
  <si>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</si>
  <si>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</si>
  <si>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</si>
  <si>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</si>
  <si>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</si>
  <si>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</si>
  <si>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</si>
  <si>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</si>
  <si>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</si>
  <si>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</si>
  <si>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</si>
  <si>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</si>
  <si>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</si>
  <si>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</si>
  <si>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</si>
  <si>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</si>
  <si>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</si>
  <si>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</si>
  <si>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</si>
  <si>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</si>
  <si>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</si>
  <si>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</si>
  <si>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</si>
  <si>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</si>
  <si>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</si>
  <si>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</si>
  <si>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</si>
  <si>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</si>
  <si>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</si>
  <si>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</si>
  <si>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</si>
  <si>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</si>
  <si>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</si>
  <si>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</si>
  <si>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</si>
  <si>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</si>
  <si>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</si>
  <si>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</si>
  <si>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</si>
  <si>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</si>
  <si>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</si>
  <si>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</si>
  <si>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</si>
  <si>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</si>
  <si>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</si>
  <si>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</si>
  <si>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</si>
  <si>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</si>
  <si>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</si>
  <si>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</si>
  <si>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</si>
  <si>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</si>
  <si>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</si>
  <si>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</si>
  <si>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</si>
  <si>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</si>
  <si>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</si>
  <si>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</si>
  <si>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</si>
  <si>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</si>
  <si>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</si>
  <si>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</si>
  <si>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</si>
  <si>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</si>
  <si>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</si>
  <si>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</si>
  <si>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</si>
  <si>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</si>
  <si>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</si>
  <si>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</si>
  <si>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</si>
  <si>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</si>
  <si>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</si>
  <si>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</si>
  <si>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</si>
  <si>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</si>
  <si>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</si>
  <si>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</si>
  <si>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</si>
  <si>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</si>
  <si>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</si>
  <si>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</si>
  <si>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</si>
  <si>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</si>
  <si>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</si>
  <si>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</si>
  <si>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</si>
  <si>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</si>
  <si>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</si>
  <si>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</si>
  <si>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</si>
  <si>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</si>
  <si>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</si>
  <si>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</si>
  <si>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</si>
  <si>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</si>
  <si>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</si>
  <si>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</si>
  <si>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</si>
  <si>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</si>
  <si>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</si>
  <si>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</si>
  <si>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</si>
  <si>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</si>
  <si>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</si>
  <si>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</si>
  <si>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</si>
  <si>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</si>
  <si>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</si>
  <si>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</si>
  <si>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</si>
  <si>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</si>
  <si>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</si>
  <si>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</si>
  <si>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</si>
  <si>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</si>
  <si>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</si>
  <si>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</si>
  <si>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</si>
  <si>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</si>
  <si>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</si>
  <si>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</si>
  <si>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</si>
  <si>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</si>
  <si>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</si>
  <si>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</si>
  <si>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</si>
  <si>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</si>
  <si>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</si>
  <si>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</si>
  <si>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</si>
  <si>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</si>
  <si>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</si>
  <si>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</si>
  <si>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</si>
  <si>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</si>
  <si>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</si>
  <si>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</si>
  <si>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</si>
  <si>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</si>
  <si>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</si>
  <si>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</si>
  <si>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</si>
  <si>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</si>
  <si>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</si>
  <si>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</si>
  <si>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</si>
  <si>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</si>
  <si>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</si>
  <si>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</si>
  <si>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</si>
  <si>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</si>
  <si>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</si>
  <si>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</si>
  <si>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</si>
  <si>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</si>
  <si>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</si>
  <si>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</si>
  <si>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</si>
  <si>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</si>
  <si>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</si>
  <si>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</si>
  <si>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</si>
  <si>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</si>
  <si>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</si>
  <si>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</si>
  <si>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</si>
  <si>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</si>
  <si>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</si>
  <si>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</si>
  <si>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</si>
  <si>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</si>
  <si>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</si>
  <si>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</si>
  <si>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</si>
  <si>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</si>
  <si>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</si>
  <si>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</si>
  <si>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</si>
  <si>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</si>
  <si>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</si>
  <si>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</si>
  <si>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</si>
  <si>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</si>
  <si>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</si>
  <si>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</si>
  <si>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</si>
  <si>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</si>
  <si>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</si>
  <si>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</si>
  <si>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</si>
  <si>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</si>
  <si>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</si>
  <si>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</si>
  <si>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</si>
  <si>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</si>
  <si>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</si>
  <si>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</si>
  <si>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</si>
  <si>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</si>
  <si>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</si>
  <si>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</si>
  <si>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</si>
  <si>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</si>
  <si>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</si>
  <si>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</si>
  <si>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</si>
  <si>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</si>
  <si>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</si>
  <si>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</si>
  <si>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</si>
  <si>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</si>
  <si>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</si>
  <si>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</si>
  <si>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</si>
  <si>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</si>
  <si>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</si>
  <si>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</si>
  <si>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</si>
  <si>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</si>
  <si>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</si>
  <si>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</si>
  <si>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</si>
  <si>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</si>
  <si>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</si>
  <si>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</si>
  <si>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</si>
  <si>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</si>
  <si>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</si>
  <si>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</si>
  <si>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</si>
  <si>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</si>
  <si>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</si>
  <si>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</si>
  <si>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</si>
  <si>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</si>
  <si>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</si>
  <si>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</si>
  <si>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</si>
  <si>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</si>
  <si>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</si>
  <si>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</si>
  <si>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</si>
  <si>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</si>
  <si>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</si>
  <si>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</si>
  <si>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</si>
  <si>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</si>
  <si>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</si>
  <si>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</si>
  <si>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</si>
  <si>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</si>
  <si>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</si>
  <si>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</si>
  <si>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</si>
  <si>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</si>
  <si>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</si>
  <si>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</si>
  <si>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</si>
  <si>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</si>
  <si>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</si>
  <si>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</si>
  <si>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</si>
  <si>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</si>
  <si>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</si>
  <si>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</si>
  <si>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</si>
  <si>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</si>
  <si>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</si>
  <si>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</si>
  <si>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</si>
  <si>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</si>
  <si>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</si>
  <si>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</si>
  <si>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</si>
  <si>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</si>
  <si>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</si>
  <si>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</si>
  <si>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</si>
  <si>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</si>
  <si>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</si>
  <si>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</si>
  <si>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</si>
  <si>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</si>
  <si>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</si>
  <si>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</si>
  <si>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</si>
  <si>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</si>
  <si>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</si>
  <si>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</si>
  <si>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</si>
  <si>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</si>
  <si>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</si>
  <si>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</si>
  <si>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</si>
  <si>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</si>
  <si>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</si>
  <si>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</si>
  <si>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</si>
  <si>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</si>
  <si>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</si>
  <si>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</si>
  <si>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</si>
  <si>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</si>
  <si>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</si>
  <si>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</si>
  <si>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</si>
  <si>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</si>
  <si>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</si>
  <si>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</si>
  <si>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</si>
  <si>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</si>
  <si>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</si>
  <si>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</si>
  <si>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</si>
  <si>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</si>
  <si>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</si>
  <si>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</si>
  <si>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</si>
  <si>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</si>
  <si>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</si>
  <si>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</si>
  <si>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</si>
  <si>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</si>
  <si>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</si>
  <si>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</si>
  <si>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</si>
  <si>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</si>
  <si>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</si>
  <si>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</si>
  <si>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</si>
  <si>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</si>
  <si>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</si>
  <si>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</si>
  <si>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</si>
  <si>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</si>
  <si>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</si>
  <si>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</si>
  <si>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</si>
  <si>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</si>
  <si>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</si>
  <si>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</si>
  <si>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</si>
  <si>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</si>
  <si>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</si>
  <si>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</si>
  <si>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</si>
  <si>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</si>
  <si>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</si>
  <si>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</si>
  <si>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</si>
  <si>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</si>
  <si>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</si>
  <si>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</si>
  <si>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</si>
  <si>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</si>
  <si>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</si>
  <si>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</si>
  <si>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</si>
  <si>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</si>
  <si>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</si>
  <si>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</si>
  <si>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</si>
  <si>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</si>
  <si>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</si>
  <si>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</si>
  <si>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</si>
  <si>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</si>
  <si>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</si>
  <si>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</si>
  <si>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</si>
  <si>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</si>
  <si>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</si>
  <si>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</si>
  <si>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</si>
  <si>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</si>
  <si>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</si>
  <si>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</si>
  <si>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</si>
  <si>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</si>
  <si>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</si>
  <si>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</si>
  <si>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</si>
  <si>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</si>
  <si>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</si>
  <si>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</si>
  <si>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</si>
  <si>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</si>
  <si>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</si>
  <si>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</si>
  <si>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</si>
  <si>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</si>
  <si>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</si>
  <si>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</si>
  <si>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</si>
  <si>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</si>
  <si>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</si>
  <si>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</si>
  <si>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</si>
  <si>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</si>
  <si>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</si>
  <si>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</si>
  <si>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</si>
  <si>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</si>
  <si>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</si>
  <si>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</si>
  <si>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</si>
  <si>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</si>
  <si>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</si>
  <si>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</si>
  <si>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</si>
  <si>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</si>
  <si>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</si>
  <si>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</si>
  <si>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</si>
  <si>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</si>
  <si>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</si>
  <si>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</si>
  <si>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</si>
  <si>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</si>
  <si>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</si>
  <si>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</si>
  <si>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</si>
  <si>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</si>
  <si>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</si>
  <si>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</si>
  <si>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</si>
  <si>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</si>
  <si>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</si>
  <si>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</si>
  <si>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</si>
  <si>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</si>
  <si>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</si>
  <si>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</si>
  <si>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</si>
  <si>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</si>
  <si>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</si>
  <si>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</si>
  <si>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</si>
  <si>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</si>
  <si>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</si>
  <si>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</si>
  <si>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</si>
  <si>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</si>
  <si>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</si>
  <si>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</si>
  <si>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</si>
  <si>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</si>
  <si>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</si>
  <si>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</si>
  <si>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</si>
  <si>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</si>
  <si>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</si>
  <si>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</si>
  <si>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</si>
  <si>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</si>
  <si>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</si>
  <si>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</si>
  <si>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</si>
  <si>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</si>
  <si>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</si>
  <si>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</si>
  <si>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</si>
  <si>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</si>
  <si>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</si>
  <si>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</si>
  <si>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</si>
  <si>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</si>
  <si>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</si>
  <si>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</si>
  <si>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</si>
  <si>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</si>
  <si>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</si>
  <si>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</si>
  <si>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</si>
  <si>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</si>
  <si>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</si>
  <si>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</si>
  <si>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</si>
  <si>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</si>
  <si>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</si>
  <si>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</si>
  <si>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</si>
  <si>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</si>
  <si>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</si>
  <si>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</si>
  <si>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</si>
  <si>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</si>
  <si>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</si>
  <si>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</si>
  <si>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</si>
  <si>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</si>
  <si>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</si>
  <si>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</si>
  <si>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</si>
  <si>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</si>
  <si>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</si>
  <si>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</si>
  <si>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</si>
  <si>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</si>
  <si>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</si>
  <si>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</si>
  <si>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</si>
  <si>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</si>
  <si>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</si>
  <si>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</si>
  <si>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</si>
  <si>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</si>
  <si>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</si>
  <si>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</si>
  <si>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</si>
  <si>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</si>
  <si>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</si>
  <si>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</si>
  <si>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</si>
  <si>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</si>
  <si>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</si>
  <si>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</si>
  <si>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</si>
  <si>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</si>
  <si>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</si>
  <si>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</si>
  <si>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</si>
  <si>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</si>
  <si>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</si>
  <si>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</si>
  <si>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</si>
  <si>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</si>
  <si>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</si>
  <si>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</si>
  <si>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</si>
  <si>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</si>
  <si>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</si>
  <si>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</si>
  <si>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</si>
  <si>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</si>
  <si>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</si>
  <si>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</si>
  <si>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</si>
  <si>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</si>
  <si>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</si>
  <si>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</si>
  <si>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</si>
  <si>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</si>
  <si>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</si>
  <si>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</si>
  <si>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</si>
  <si>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</si>
  <si>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</si>
  <si>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</si>
  <si>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</si>
  <si>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</si>
  <si>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</si>
  <si>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</si>
  <si>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</si>
  <si>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</si>
  <si>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</si>
  <si>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</si>
  <si>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</si>
  <si>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</si>
  <si>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</si>
  <si>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</si>
  <si>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</si>
  <si>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</si>
  <si>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</si>
  <si>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</si>
  <si>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</si>
  <si>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</si>
  <si>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</si>
  <si>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</si>
  <si>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</si>
  <si>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</si>
  <si>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</si>
  <si>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</si>
  <si>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</si>
  <si>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</si>
  <si>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</si>
  <si>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</si>
  <si>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</si>
  <si>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</si>
  <si>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</si>
  <si>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</si>
  <si>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</si>
  <si>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</si>
  <si>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</si>
  <si>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</si>
  <si>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</si>
  <si>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</si>
  <si>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</si>
  <si>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</si>
  <si>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</si>
  <si>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</si>
  <si>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</si>
  <si>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</si>
  <si>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</si>
  <si>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</si>
  <si>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</si>
  <si>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</si>
  <si>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</si>
  <si>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</si>
  <si>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</si>
  <si>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</si>
  <si>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</si>
  <si>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</si>
  <si>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</si>
  <si>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</si>
  <si>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</si>
  <si>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</si>
  <si>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</si>
  <si>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</si>
  <si>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</si>
  <si>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</si>
  <si>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</si>
  <si>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</si>
  <si>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</si>
  <si>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</si>
  <si>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</si>
  <si>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</si>
  <si>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</si>
  <si>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</si>
  <si>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</si>
  <si>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</si>
  <si>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</si>
  <si>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</si>
  <si>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</si>
  <si>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</si>
  <si>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</si>
  <si>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</si>
  <si>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</si>
  <si>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</si>
  <si>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</si>
  <si>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</si>
  <si>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</si>
  <si>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</si>
  <si>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</si>
  <si>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</si>
  <si>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</si>
  <si>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</si>
  <si>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</si>
  <si>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</si>
  <si>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</si>
  <si>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</si>
  <si>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</si>
  <si>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</si>
  <si>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</si>
  <si>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</si>
  <si>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</si>
  <si>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</si>
  <si>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</si>
  <si>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</si>
  <si>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</si>
  <si>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</si>
  <si>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</si>
  <si>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</si>
  <si>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</si>
  <si>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</si>
  <si>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</si>
  <si>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</si>
  <si>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</si>
  <si>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</si>
  <si>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</si>
  <si>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</si>
  <si>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</si>
  <si>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</si>
  <si>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</si>
  <si>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</si>
  <si>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</si>
  <si>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</si>
  <si>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</si>
  <si>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</si>
  <si>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</si>
  <si>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</si>
  <si>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</si>
  <si>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</si>
  <si>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</si>
  <si>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</si>
  <si>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</si>
  <si>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</si>
  <si>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</si>
  <si>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</si>
  <si>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</si>
  <si>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</si>
  <si>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</si>
  <si>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</si>
  <si>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</si>
  <si>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</si>
  <si>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</si>
  <si>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</si>
  <si>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</si>
  <si>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</si>
  <si>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</si>
  <si>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</si>
  <si>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</si>
  <si>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</si>
  <si>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</si>
  <si>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</si>
  <si>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</si>
  <si>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</si>
  <si>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</si>
  <si>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</si>
  <si>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</si>
  <si>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</si>
  <si>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</si>
  <si>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</si>
  <si>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</si>
  <si>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</si>
  <si>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</si>
  <si>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</si>
  <si>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</si>
  <si>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</si>
  <si>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</si>
  <si>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</si>
  <si>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</si>
  <si>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</si>
  <si>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</si>
  <si>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</si>
  <si>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</si>
  <si>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</si>
  <si>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</si>
  <si>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</si>
  <si>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</si>
  <si>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</si>
  <si>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</si>
  <si>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</si>
  <si>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</si>
  <si>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</si>
  <si>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</si>
  <si>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</si>
  <si>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</si>
  <si>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</si>
  <si>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</si>
  <si>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</si>
  <si>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</si>
  <si>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</si>
  <si>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</si>
  <si>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</si>
  <si>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</si>
  <si>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</si>
  <si>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</si>
  <si>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</si>
  <si>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</si>
  <si>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</si>
  <si>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</si>
  <si>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</si>
  <si>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</si>
  <si>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</si>
  <si>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</si>
  <si>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</si>
  <si>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</si>
  <si>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</si>
  <si>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</si>
  <si>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</si>
  <si>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</si>
  <si>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</si>
  <si>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</si>
  <si>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</si>
  <si>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</si>
  <si>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</si>
  <si>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</si>
  <si>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</si>
  <si>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</si>
  <si>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</si>
  <si>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</si>
  <si>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</si>
  <si>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</si>
  <si>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</si>
  <si>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</si>
  <si>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</si>
  <si>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</si>
  <si>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</si>
  <si>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</si>
  <si>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</si>
  <si>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</si>
  <si>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</si>
  <si>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</si>
  <si>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</si>
  <si>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</si>
  <si>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</si>
  <si>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</si>
  <si>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</si>
  <si>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</si>
  <si>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</si>
  <si>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</si>
  <si>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</si>
  <si>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</si>
  <si>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</si>
  <si>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</si>
  <si>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</si>
  <si>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</si>
  <si>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</si>
  <si>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</si>
  <si>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</si>
  <si>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</si>
  <si>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</si>
  <si>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</si>
  <si>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</si>
  <si>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</si>
  <si>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</si>
  <si>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</si>
  <si>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</si>
  <si>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</si>
  <si>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</si>
  <si>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</si>
  <si>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</si>
  <si>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</si>
  <si>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</si>
  <si>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</si>
  <si>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</si>
  <si>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</si>
  <si>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</si>
  <si>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</si>
  <si>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</si>
  <si>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</si>
  <si>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</si>
  <si>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</si>
  <si>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</si>
  <si>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</si>
  <si>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</si>
  <si>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</si>
  <si>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</si>
  <si>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</si>
  <si>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</si>
  <si>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</si>
  <si>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</si>
  <si>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</si>
  <si>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</si>
  <si>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</si>
  <si>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</si>
  <si>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</si>
  <si>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</si>
  <si>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</si>
  <si>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</si>
  <si>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</si>
  <si>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</si>
  <si>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</si>
  <si>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</si>
  <si>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</si>
  <si>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</si>
  <si>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</si>
  <si>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</si>
  <si>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</si>
  <si>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</si>
  <si>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</si>
  <si>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</si>
  <si>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</si>
  <si>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</si>
  <si>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</si>
  <si>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</si>
  <si>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</si>
  <si>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</si>
  <si>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</si>
  <si>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</si>
  <si>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</si>
  <si>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</si>
  <si>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</si>
  <si>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</si>
  <si>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</si>
  <si>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</si>
  <si>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</si>
  <si>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</si>
  <si>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</si>
  <si>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</si>
  <si>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</si>
  <si>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</si>
  <si>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</si>
  <si>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</si>
  <si>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</si>
  <si>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</si>
  <si>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</si>
  <si>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</si>
  <si>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</si>
  <si>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</si>
  <si>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</si>
  <si>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</si>
  <si>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</si>
  <si>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</si>
  <si>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</si>
  <si>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</si>
  <si>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</si>
  <si>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</si>
  <si>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</si>
  <si>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</si>
  <si>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</si>
  <si>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</si>
  <si>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</si>
  <si>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</si>
  <si>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</si>
  <si>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</si>
  <si>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</si>
  <si>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</si>
  <si>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</si>
  <si>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</si>
  <si>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</si>
  <si>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</si>
  <si>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</si>
  <si>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</si>
  <si>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</si>
  <si>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</si>
  <si>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</si>
  <si>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</si>
  <si>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</si>
  <si>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</si>
  <si>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</si>
  <si>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</si>
  <si>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</si>
  <si>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</si>
  <si>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</si>
  <si>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</si>
  <si>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</si>
  <si>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</si>
  <si>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</si>
  <si>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</si>
  <si>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</si>
  <si>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</si>
  <si>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</si>
  <si>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</si>
  <si>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</si>
  <si>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</si>
  <si>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</si>
  <si>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</si>
  <si>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</si>
  <si>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</si>
  <si>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</si>
  <si>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</si>
  <si>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</si>
  <si>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</si>
  <si>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</si>
  <si>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</si>
  <si>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</si>
  <si>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</si>
  <si>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</si>
  <si>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</si>
  <si>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</si>
  <si>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</si>
  <si>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</si>
  <si>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</si>
  <si>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</si>
  <si>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</si>
  <si>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</si>
  <si>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</si>
  <si>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</si>
  <si>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</si>
  <si>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</si>
  <si>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</si>
  <si>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</si>
  <si>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</si>
  <si>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</si>
  <si>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</si>
  <si>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</si>
  <si>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</si>
  <si>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</si>
  <si>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</si>
  <si>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</si>
  <si>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</si>
  <si>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</si>
  <si>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</si>
  <si>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</si>
  <si>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</si>
  <si>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</si>
  <si>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</si>
  <si>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</si>
  <si>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</si>
  <si>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</si>
  <si>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</si>
  <si>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</si>
  <si>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</si>
  <si>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</si>
  <si>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</si>
  <si>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</si>
  <si>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</si>
  <si>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</si>
  <si>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</si>
  <si>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</si>
  <si>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</si>
  <si>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</si>
  <si>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</si>
  <si>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</si>
  <si>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</si>
  <si>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</si>
  <si>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</si>
  <si>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</si>
  <si>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</si>
  <si>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</si>
  <si>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</si>
  <si>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</si>
  <si>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</si>
  <si>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</si>
  <si>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</si>
  <si>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</si>
  <si>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</si>
  <si>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</si>
  <si>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</si>
  <si>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</si>
  <si>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</si>
  <si>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</si>
  <si>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</si>
  <si>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</si>
  <si>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</si>
  <si>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</si>
  <si>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</si>
  <si>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</si>
  <si>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</si>
  <si>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</si>
  <si>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</si>
  <si>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</si>
  <si>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</si>
  <si>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</si>
  <si>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</si>
  <si>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</si>
  <si>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</si>
  <si>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</si>
  <si>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</si>
  <si>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</si>
  <si>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</si>
  <si>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</si>
  <si>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</si>
  <si>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</si>
  <si>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</si>
  <si>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</si>
  <si>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</si>
  <si>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</si>
  <si>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</si>
  <si>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</si>
  <si>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</si>
  <si>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</si>
  <si>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</si>
  <si>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</si>
  <si>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</si>
  <si>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</si>
  <si>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</si>
  <si>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</si>
  <si>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</si>
  <si>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</si>
  <si>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</si>
  <si>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</si>
  <si>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</si>
  <si>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</si>
  <si>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</si>
  <si>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</si>
  <si>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</si>
  <si>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</si>
  <si>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</si>
  <si>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</si>
  <si>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</si>
  <si>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</si>
  <si>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</si>
  <si>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</si>
  <si>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</si>
  <si>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</si>
  <si>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</si>
  <si>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</si>
  <si>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</si>
  <si>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</si>
  <si>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</si>
  <si>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</si>
  <si>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</si>
  <si>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</si>
  <si>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</si>
  <si>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</si>
  <si>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</si>
  <si>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</si>
  <si>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</si>
  <si>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</si>
  <si>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</si>
  <si>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</si>
  <si>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</si>
  <si>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</si>
  <si>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</si>
  <si>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</si>
  <si>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</si>
  <si>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</si>
  <si>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</si>
  <si>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</si>
  <si>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</si>
  <si>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</si>
  <si>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</si>
  <si>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</si>
  <si>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</si>
  <si>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</si>
  <si>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</si>
  <si>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</si>
  <si>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</si>
  <si>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</si>
  <si>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</si>
  <si>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</si>
  <si>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</si>
  <si>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</si>
  <si>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</si>
  <si>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</si>
  <si>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</si>
  <si>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</si>
  <si>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</si>
  <si>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</si>
  <si>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</si>
  <si>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</si>
  <si>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</si>
  <si>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</si>
  <si>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</si>
  <si>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</si>
  <si>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</si>
  <si>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</si>
  <si>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</si>
  <si>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</si>
  <si>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</si>
  <si>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</si>
  <si>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</si>
  <si>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</si>
  <si>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</si>
  <si>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</si>
  <si>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</si>
  <si>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</si>
  <si>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</si>
  <si>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</si>
  <si>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</si>
  <si>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</si>
  <si>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</si>
  <si>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</si>
  <si>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</si>
  <si>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</si>
  <si>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</si>
  <si>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</si>
  <si>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</si>
  <si>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</si>
  <si>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</si>
  <si>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</si>
  <si>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</si>
  <si>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</si>
  <si>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</si>
  <si>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</si>
  <si>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</si>
  <si>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</si>
  <si>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</si>
  <si>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</si>
  <si>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</si>
  <si>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</si>
  <si>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</si>
  <si>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</si>
  <si>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</si>
  <si>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</si>
  <si>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</si>
  <si>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</si>
  <si>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</si>
  <si>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</si>
  <si>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</si>
  <si>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</si>
  <si>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</si>
  <si>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</si>
  <si>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</si>
  <si>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</si>
  <si>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</si>
  <si>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</si>
  <si>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</si>
  <si>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</si>
  <si>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</si>
  <si>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</si>
  <si>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</si>
  <si>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</si>
  <si>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</si>
  <si>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</si>
  <si>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</si>
  <si>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</si>
  <si>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</si>
  <si>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</si>
  <si>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</si>
  <si>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</si>
  <si>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</si>
  <si>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</si>
  <si>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</si>
  <si>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</si>
  <si>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</si>
  <si>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</si>
  <si>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</si>
  <si>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</si>
  <si>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</si>
  <si>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</si>
  <si>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</si>
  <si>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</si>
  <si>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</si>
  <si>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</si>
  <si>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</si>
  <si>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</si>
  <si>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</si>
  <si>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</si>
  <si>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</si>
  <si>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</si>
  <si>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</si>
  <si>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</si>
  <si>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</si>
  <si>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</si>
  <si>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</si>
  <si>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</si>
  <si>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</si>
  <si>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</si>
  <si>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</si>
  <si>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</si>
  <si>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</si>
  <si>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</si>
  <si>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</si>
  <si>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</si>
  <si>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</si>
  <si>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</si>
  <si>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</si>
  <si>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</si>
  <si>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</si>
  <si>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</si>
  <si>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</si>
  <si>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</si>
  <si>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</si>
  <si>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</si>
  <si>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</si>
  <si>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</si>
  <si>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</si>
  <si>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</si>
  <si>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</si>
  <si>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</si>
  <si>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</si>
  <si>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</si>
  <si>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</si>
  <si>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</si>
  <si>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</si>
  <si>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</si>
  <si>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</si>
  <si>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</si>
  <si>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</si>
  <si>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</si>
  <si>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</si>
  <si>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</si>
  <si>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</si>
  <si>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</si>
  <si>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</si>
  <si>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</si>
  <si>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</si>
  <si>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</si>
  <si>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</si>
  <si>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</si>
  <si>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</si>
  <si>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</si>
  <si>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</si>
  <si>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</si>
  <si>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</si>
  <si>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</si>
  <si>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</si>
  <si>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</si>
  <si>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</si>
  <si>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</si>
  <si>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</si>
  <si>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</si>
  <si>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</si>
  <si>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</si>
  <si>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</si>
  <si>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</si>
  <si>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</si>
  <si>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</si>
  <si>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</si>
  <si>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</si>
  <si>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</si>
  <si>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</si>
  <si>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</si>
  <si>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</si>
  <si>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</si>
  <si>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</si>
  <si>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</si>
  <si>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</si>
  <si>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</si>
  <si>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</si>
  <si>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</si>
  <si>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</si>
  <si>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</si>
  <si>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</si>
  <si>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</si>
  <si>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</si>
  <si>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</si>
  <si>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</si>
  <si>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</si>
  <si>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</si>
  <si>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</si>
  <si>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</si>
  <si>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</si>
  <si>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</si>
  <si>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</si>
  <si>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</si>
  <si>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</si>
  <si>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</si>
  <si>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</si>
  <si>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</si>
  <si>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</si>
  <si>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</si>
  <si>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</si>
  <si>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</si>
  <si>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</si>
  <si>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</si>
  <si>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</si>
  <si>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</si>
  <si>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</si>
  <si>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</si>
  <si>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</si>
  <si>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</si>
  <si>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</si>
  <si>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</si>
  <si>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</si>
  <si>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</si>
  <si>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</si>
  <si>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</si>
  <si>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</si>
  <si>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</si>
  <si>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</si>
  <si>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</si>
  <si>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</si>
  <si>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</si>
  <si>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</si>
  <si>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</si>
  <si>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</si>
  <si>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</si>
  <si>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</si>
  <si>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</si>
  <si>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</si>
  <si>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</si>
  <si>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</si>
  <si>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</si>
  <si>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</si>
  <si>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</si>
  <si>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</si>
  <si>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</si>
  <si>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</si>
  <si>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</si>
  <si>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</si>
  <si>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</si>
  <si>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</si>
  <si>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</si>
  <si>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</si>
  <si>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</si>
  <si>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</si>
  <si>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</si>
  <si>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</si>
  <si>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</si>
  <si>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</si>
  <si>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</si>
  <si>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</si>
  <si>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</si>
  <si>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</si>
  <si>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</si>
  <si>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</si>
  <si>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</si>
  <si>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</si>
  <si>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</si>
  <si>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</si>
  <si>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</si>
  <si>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</si>
  <si>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</si>
  <si>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</si>
  <si>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</si>
  <si>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</si>
  <si>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</si>
  <si>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</si>
  <si>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</si>
  <si>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</si>
  <si>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</si>
  <si>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</si>
  <si>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</si>
  <si>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</si>
  <si>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</si>
  <si>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</si>
  <si>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</si>
  <si>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</si>
  <si>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</si>
  <si>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</si>
  <si>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</si>
  <si>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</si>
  <si>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</si>
  <si>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</si>
  <si>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</si>
  <si>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</si>
  <si>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</si>
  <si>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</si>
  <si>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</si>
  <si>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</si>
  <si>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</si>
  <si>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</si>
  <si>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</si>
  <si>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</si>
  <si>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</si>
  <si>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</si>
  <si>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</si>
  <si>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</si>
  <si>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</si>
  <si>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</si>
  <si>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</si>
  <si>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</si>
  <si>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</si>
  <si>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</si>
  <si>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</si>
  <si>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</si>
  <si>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</si>
  <si>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</si>
  <si>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</si>
  <si>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</si>
  <si>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</si>
  <si>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</si>
  <si>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</si>
  <si>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</si>
  <si>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</si>
  <si>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</si>
  <si>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</si>
  <si>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</si>
  <si>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</si>
  <si>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</si>
  <si>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</si>
  <si>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</si>
  <si>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</si>
  <si>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</si>
  <si>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</si>
  <si>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</si>
  <si>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</si>
  <si>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</si>
  <si>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</si>
  <si>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</si>
  <si>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</si>
  <si>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</si>
  <si>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</si>
  <si>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</si>
  <si>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</si>
  <si>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</si>
  <si>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</si>
  <si>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</si>
  <si>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</si>
  <si>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</si>
  <si>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</si>
  <si>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</si>
  <si>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</si>
  <si>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</si>
  <si>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</si>
  <si>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</si>
  <si>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</si>
  <si>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</si>
  <si>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</si>
  <si>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</si>
  <si>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</si>
  <si>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</si>
  <si>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</si>
  <si>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</si>
  <si>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</si>
  <si>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</si>
  <si>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</si>
  <si>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</si>
  <si>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</si>
  <si>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</si>
  <si>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</si>
  <si>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</si>
  <si>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</si>
  <si>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</si>
  <si>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</si>
  <si>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</si>
  <si>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</si>
  <si>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</si>
  <si>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</si>
  <si>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</si>
  <si>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</si>
  <si>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</si>
  <si>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</si>
  <si>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</si>
  <si>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</si>
  <si>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</si>
  <si>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</si>
  <si>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</si>
  <si>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</si>
  <si>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</si>
  <si>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</si>
  <si>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</si>
  <si>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</si>
  <si>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</si>
  <si>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</si>
  <si>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</si>
  <si>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</si>
  <si>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</si>
  <si>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</si>
  <si>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</si>
  <si>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</si>
  <si>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</si>
  <si>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</si>
  <si>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</si>
  <si>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</si>
  <si>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</si>
  <si>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</si>
  <si>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</si>
  <si>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</si>
  <si>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</si>
  <si>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</si>
  <si>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</si>
  <si>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</si>
  <si>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</si>
  <si>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</si>
  <si>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</si>
  <si>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</si>
  <si>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</si>
  <si>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</si>
  <si>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</si>
  <si>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</si>
  <si>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</si>
  <si>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</si>
  <si>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</si>
  <si>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</si>
  <si>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</si>
  <si>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</si>
  <si>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</si>
  <si>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</si>
  <si>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</si>
  <si>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</si>
  <si>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</si>
  <si>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</si>
  <si>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</si>
  <si>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</si>
  <si>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</si>
  <si>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</si>
  <si>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</si>
  <si>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</si>
  <si>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</si>
  <si>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</si>
  <si>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</si>
  <si>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</si>
  <si>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</si>
  <si>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</si>
  <si>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</si>
  <si>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</si>
  <si>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</si>
  <si>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</si>
  <si>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</si>
  <si>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</si>
  <si>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</si>
  <si>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</si>
  <si>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</si>
  <si>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</si>
  <si>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</si>
  <si>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</si>
  <si>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</si>
  <si>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</si>
  <si>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</si>
  <si>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</si>
  <si>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</si>
  <si>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</si>
  <si>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</si>
  <si>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</si>
  <si>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</si>
  <si>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</si>
  <si>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</si>
  <si>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</si>
  <si>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</si>
  <si>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</si>
  <si>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</si>
  <si>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</si>
  <si>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</si>
  <si>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</si>
  <si>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</si>
  <si>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</si>
  <si>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</si>
  <si>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</si>
  <si>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</si>
  <si>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</si>
  <si>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</si>
  <si>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</si>
  <si>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</si>
  <si>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</si>
  <si>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</si>
  <si>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</si>
  <si>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</si>
  <si>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</si>
  <si>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</si>
  <si>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</si>
  <si>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</si>
  <si>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</si>
  <si>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</si>
  <si>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</si>
  <si>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</si>
  <si>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</si>
  <si>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</si>
  <si>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</si>
  <si>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</si>
  <si>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</si>
  <si>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</si>
  <si>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</si>
  <si>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</si>
  <si>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</si>
  <si>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</si>
  <si>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</si>
  <si>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</si>
  <si>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</si>
  <si>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</si>
  <si>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</si>
  <si>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</si>
  <si>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</si>
  <si>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</si>
  <si>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</si>
  <si>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</si>
  <si>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</si>
  <si>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</si>
  <si>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</si>
  <si>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</si>
  <si>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</si>
  <si>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</si>
  <si>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</si>
  <si>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</si>
  <si>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</si>
  <si>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</si>
  <si>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</si>
  <si>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</si>
  <si>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</si>
  <si>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</si>
  <si>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</si>
  <si>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</si>
  <si>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</si>
  <si>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</si>
  <si>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</si>
  <si>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</si>
  <si>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</si>
  <si>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</si>
  <si>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</si>
  <si>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</si>
  <si>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</si>
  <si>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</si>
  <si>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</si>
  <si>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</si>
  <si>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</si>
  <si>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</si>
  <si>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</si>
  <si>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</si>
  <si>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</si>
  <si>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</si>
  <si>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</si>
  <si>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</si>
  <si>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</si>
  <si>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</si>
  <si>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</si>
  <si>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</si>
  <si>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</si>
  <si>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</si>
  <si>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</si>
  <si>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</si>
  <si>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</si>
  <si>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</si>
  <si>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</si>
  <si>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</si>
  <si>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</si>
  <si>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</si>
  <si>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</si>
  <si>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</si>
  <si>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</si>
  <si>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</si>
  <si>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</si>
  <si>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</si>
  <si>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</si>
  <si>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</si>
  <si>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</si>
  <si>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</si>
  <si>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</si>
  <si>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</si>
  <si>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</si>
  <si>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</si>
  <si>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</si>
  <si>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</si>
  <si>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</si>
  <si>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</si>
  <si>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</si>
  <si>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</si>
  <si>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</si>
  <si>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</si>
  <si>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</si>
  <si>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</si>
  <si>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</si>
  <si>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</si>
  <si>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</si>
  <si>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</si>
  <si>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</si>
  <si>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</si>
  <si>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</si>
  <si>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</si>
  <si>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</si>
  <si>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</si>
  <si>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</si>
  <si>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</si>
  <si>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</si>
  <si>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</si>
  <si>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</si>
  <si>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</si>
  <si>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</si>
  <si>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</si>
  <si>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</si>
  <si>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</si>
  <si>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</si>
  <si>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</si>
  <si>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</si>
  <si>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</si>
  <si>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</si>
  <si>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</si>
  <si>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</si>
  <si>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</si>
  <si>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</si>
  <si>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</si>
  <si>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</si>
  <si>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</si>
  <si>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</si>
  <si>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</si>
  <si>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</si>
  <si>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</si>
  <si>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</si>
  <si>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</si>
  <si>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</si>
  <si>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</si>
  <si>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</si>
  <si>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</si>
  <si>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</si>
  <si>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</si>
  <si>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</si>
  <si>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</si>
  <si>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</si>
  <si>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</si>
  <si>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</si>
  <si>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</si>
  <si>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</si>
  <si>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</si>
  <si>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</si>
  <si>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</si>
  <si>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</si>
  <si>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</si>
  <si>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</si>
  <si>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</si>
  <si>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</si>
  <si>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</si>
  <si>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</si>
  <si>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</si>
  <si>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</si>
  <si>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</si>
  <si>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</si>
  <si>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</si>
  <si>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</si>
  <si>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</si>
  <si>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</si>
  <si>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</si>
  <si>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</si>
  <si>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</si>
  <si>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</si>
  <si>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</si>
  <si>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</si>
  <si>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</si>
  <si>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</si>
  <si>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</si>
  <si>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</si>
  <si>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</si>
  <si>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</si>
  <si>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</si>
  <si>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</si>
  <si>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</si>
  <si>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</si>
  <si>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</si>
  <si>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</si>
  <si>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</si>
  <si>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</si>
  <si>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</si>
  <si>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</si>
  <si>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</si>
  <si>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</si>
  <si>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</si>
  <si>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</si>
  <si>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</si>
  <si>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</si>
  <si>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</si>
  <si>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</si>
  <si>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</si>
  <si>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</si>
  <si>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</si>
  <si>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</si>
  <si>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</si>
  <si>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</si>
  <si>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</si>
  <si>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</si>
  <si>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</si>
  <si>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</si>
  <si>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</si>
  <si>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</si>
  <si>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</si>
  <si>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</si>
  <si>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</si>
  <si>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</si>
  <si>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</si>
  <si>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</si>
  <si>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</si>
  <si>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</si>
  <si>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</si>
  <si>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</si>
  <si>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</si>
  <si>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</si>
  <si>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</si>
  <si>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</si>
  <si>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</si>
  <si>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</si>
  <si>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</si>
  <si>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</si>
  <si>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</si>
  <si>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</si>
  <si>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</si>
  <si>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</si>
  <si>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</si>
  <si>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</si>
  <si>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</si>
  <si>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</si>
  <si>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</si>
  <si>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</si>
  <si>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</si>
  <si>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</si>
  <si>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</si>
  <si>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</si>
  <si>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</si>
  <si>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</si>
  <si>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</si>
  <si>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</si>
  <si>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</si>
  <si>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</si>
  <si>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</si>
  <si>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</si>
  <si>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</si>
  <si>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</si>
  <si>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</si>
  <si>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</si>
  <si>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</si>
  <si>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</si>
  <si>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</si>
  <si>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</si>
  <si>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</si>
  <si>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</si>
  <si>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</si>
  <si>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</si>
  <si>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</si>
  <si>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</si>
  <si>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</si>
  <si>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</si>
  <si>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</si>
  <si>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</si>
  <si>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</si>
  <si>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</si>
  <si>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</si>
  <si>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</si>
  <si>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</si>
  <si>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</si>
  <si>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</si>
  <si>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</si>
  <si>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</si>
  <si>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</si>
  <si>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</si>
  <si>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</si>
  <si>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</si>
  <si>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</si>
  <si>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</si>
  <si>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</si>
  <si>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</si>
  <si>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</si>
  <si>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</si>
  <si>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</si>
  <si>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</si>
  <si>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</si>
  <si>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</si>
  <si>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</si>
  <si>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</si>
  <si>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</si>
  <si>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</si>
  <si>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</si>
  <si>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</si>
  <si>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</si>
  <si>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</si>
  <si>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</si>
  <si>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</si>
  <si>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</si>
  <si>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</si>
  <si>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</si>
  <si>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</si>
  <si>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</si>
  <si>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</si>
  <si>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</si>
  <si>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</si>
  <si>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</si>
  <si>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</si>
  <si>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</si>
  <si>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</si>
  <si>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</si>
  <si>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</si>
  <si>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</si>
  <si>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</si>
  <si>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</si>
  <si>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</si>
  <si>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</si>
  <si>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</si>
  <si>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</si>
  <si>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</si>
  <si>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</si>
  <si>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</si>
  <si>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</si>
  <si>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</si>
  <si>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</si>
  <si>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</si>
  <si>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</si>
  <si>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</si>
  <si>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</si>
  <si>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</si>
  <si>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</si>
  <si>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</si>
  <si>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</si>
  <si>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</si>
  <si>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</si>
  <si>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</si>
  <si>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</si>
  <si>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</si>
  <si>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</si>
  <si>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</si>
  <si>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</si>
  <si>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</si>
  <si>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</si>
  <si>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</si>
  <si>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</si>
  <si>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</si>
  <si>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</si>
  <si>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</si>
  <si>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</si>
  <si>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</si>
  <si>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</si>
  <si>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</si>
  <si>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</si>
  <si>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</si>
  <si>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</si>
  <si>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</si>
  <si>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</si>
  <si>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</si>
  <si>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</si>
  <si>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</si>
  <si>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</si>
  <si>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</si>
  <si>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</si>
  <si>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</si>
  <si>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</si>
  <si>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</si>
  <si>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</si>
  <si>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</si>
  <si>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</si>
  <si>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</si>
  <si>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</si>
  <si>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</si>
  <si>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</si>
  <si>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</si>
  <si>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</si>
  <si>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</si>
  <si>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</si>
  <si>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</si>
  <si>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</si>
  <si>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</si>
  <si>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</si>
  <si>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</si>
  <si>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</si>
  <si>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</si>
  <si>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</si>
  <si>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</si>
  <si>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</si>
  <si>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</si>
  <si>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</si>
  <si>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</si>
  <si>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</si>
  <si>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</si>
  <si>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</si>
  <si>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</si>
  <si>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</si>
  <si>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</si>
  <si>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</si>
  <si>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</si>
  <si>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</si>
  <si>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</si>
  <si>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</si>
  <si>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</si>
  <si>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</si>
  <si>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</si>
  <si>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</si>
  <si>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</si>
  <si>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</si>
  <si>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</si>
  <si>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</si>
  <si>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</si>
  <si>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</si>
  <si>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</si>
  <si>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</si>
  <si>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</si>
  <si>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</si>
  <si>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</si>
  <si>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</si>
  <si>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</si>
  <si>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</si>
  <si>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</si>
  <si>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</si>
  <si>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</si>
  <si>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</si>
  <si>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</si>
  <si>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</si>
  <si>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</si>
  <si>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</si>
  <si>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</si>
  <si>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</si>
  <si>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</si>
  <si>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</si>
  <si>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</si>
  <si>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</si>
  <si>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</si>
  <si>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</si>
  <si>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</si>
  <si>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</si>
  <si>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</si>
  <si>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</si>
  <si>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</si>
  <si>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</si>
  <si>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</si>
  <si>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</si>
  <si>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</si>
  <si>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</si>
  <si>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</si>
  <si>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</si>
  <si>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</si>
  <si>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</si>
  <si>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</si>
  <si>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</si>
  <si>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</si>
  <si>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</si>
  <si>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</si>
  <si>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</si>
  <si>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</si>
  <si>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</si>
  <si>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</si>
  <si>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</si>
  <si>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</si>
  <si>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</si>
  <si>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</si>
  <si>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</si>
  <si>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</si>
  <si>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</si>
  <si>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</si>
  <si>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</si>
  <si>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</si>
  <si>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</si>
  <si>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</si>
  <si>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</si>
  <si>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</si>
  <si>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</si>
  <si>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</si>
  <si>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</si>
  <si>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</si>
  <si>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</si>
  <si>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</si>
  <si>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</si>
  <si>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</si>
  <si>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</si>
  <si>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</si>
  <si>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</si>
  <si>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</si>
  <si>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</si>
  <si>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</si>
  <si>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</si>
  <si>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</si>
  <si>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</si>
  <si>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</si>
  <si>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</si>
  <si>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</si>
  <si>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</si>
  <si>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</si>
  <si>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</si>
  <si>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</si>
  <si>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</si>
  <si>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</si>
  <si>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</si>
  <si>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</si>
  <si>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</si>
  <si>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</si>
  <si>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</si>
  <si>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</si>
  <si>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</si>
  <si>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</si>
  <si>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</si>
  <si>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</si>
  <si>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</si>
  <si>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</si>
  <si>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</si>
  <si>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</si>
  <si>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</si>
  <si>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</si>
  <si>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</si>
  <si>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</si>
  <si>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</si>
  <si>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</si>
  <si>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</si>
  <si>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</si>
  <si>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</si>
  <si>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</si>
  <si>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</si>
  <si>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</si>
  <si>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</si>
  <si>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</si>
  <si>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</si>
  <si>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</si>
  <si>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</si>
  <si>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</si>
  <si>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</si>
  <si>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</si>
  <si>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</si>
  <si>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</si>
  <si>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</si>
  <si>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</si>
  <si>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</si>
  <si>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</si>
  <si>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</si>
  <si>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</si>
  <si>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</si>
  <si>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</si>
  <si>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</si>
  <si>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</si>
  <si>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</si>
  <si>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</si>
  <si>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</si>
  <si>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</si>
  <si>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</si>
  <si>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</si>
  <si>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</si>
  <si>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</si>
  <si>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</si>
  <si>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</si>
  <si>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</si>
  <si>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</si>
  <si>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</si>
  <si>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</si>
  <si>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</si>
  <si>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</si>
  <si>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</si>
  <si>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</si>
  <si>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</si>
  <si>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</si>
  <si>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</si>
  <si>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</si>
  <si>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</si>
  <si>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</si>
  <si>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</si>
  <si>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</si>
  <si>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</si>
  <si>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</si>
  <si>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</si>
  <si>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</si>
  <si>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</si>
  <si>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</si>
  <si>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</si>
  <si>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</si>
  <si>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</si>
  <si>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</si>
  <si>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</si>
  <si>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</si>
  <si>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</si>
  <si>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</si>
  <si>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</si>
  <si>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</si>
  <si>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</si>
  <si>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</si>
  <si>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</si>
  <si>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</si>
  <si>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</si>
  <si>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</si>
  <si>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</si>
  <si>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</si>
  <si>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</si>
  <si>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</si>
  <si>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</si>
  <si>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</si>
  <si>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</si>
  <si>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</si>
  <si>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</si>
  <si>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地上商业</t>
    <phoneticPr fontId="134" type="noConversion"/>
  </si>
  <si>
    <t>地下</t>
    <phoneticPr fontId="134" type="noConversion"/>
  </si>
  <si>
    <t>地上</t>
    <phoneticPr fontId="134" type="noConversion"/>
  </si>
  <si>
    <t>人防</t>
    <phoneticPr fontId="134" type="noConversion"/>
  </si>
  <si>
    <t>小计</t>
    <phoneticPr fontId="134" type="noConversion"/>
  </si>
  <si>
    <t>车库</t>
    <phoneticPr fontId="134" type="noConversion"/>
  </si>
  <si>
    <t>公共配套</t>
    <phoneticPr fontId="134" type="noConversion"/>
  </si>
  <si>
    <t>设备</t>
    <phoneticPr fontId="134" type="noConversion"/>
  </si>
  <si>
    <t>A-</t>
    <phoneticPr fontId="134" type="noConversion"/>
  </si>
  <si>
    <t>居住配套商业服务楼</t>
    <phoneticPr fontId="134" type="noConversion"/>
  </si>
  <si>
    <t>A-</t>
    <phoneticPr fontId="134" type="noConversion"/>
  </si>
  <si>
    <t>商业楼</t>
    <phoneticPr fontId="134" type="noConversion"/>
  </si>
  <si>
    <t>设备夹层</t>
    <phoneticPr fontId="134" type="noConversion"/>
  </si>
  <si>
    <t>地库</t>
    <phoneticPr fontId="134" type="noConversion"/>
  </si>
  <si>
    <r>
      <rPr>
        <sz val="10"/>
        <color theme="9" tint="-0.249977111117893"/>
        <rFont val="宋体"/>
        <family val="3"/>
        <charset val="134"/>
      </rPr>
      <t>平谷区金海湖镇</t>
    </r>
    <r>
      <rPr>
        <sz val="10"/>
        <color theme="9" tint="-0.249977111117893"/>
        <rFont val="Arial"/>
        <family val="2"/>
      </rPr>
      <t>PG06-0100-6019</t>
    </r>
    <r>
      <rPr>
        <sz val="10"/>
        <color theme="9" tint="-0.249977111117893"/>
        <rFont val="宋体"/>
        <family val="3"/>
        <charset val="134"/>
      </rPr>
      <t>地块</t>
    </r>
    <r>
      <rPr>
        <sz val="10"/>
        <color theme="9" tint="-0.249977111117893"/>
        <rFont val="Arial"/>
        <family val="2"/>
      </rPr>
      <t>1</t>
    </r>
    <r>
      <rPr>
        <sz val="10"/>
        <color theme="9" tint="-0.249977111117893"/>
        <rFont val="宋体"/>
        <family val="3"/>
        <charset val="134"/>
      </rPr>
      <t>宗商业、地下车库用地</t>
    </r>
    <phoneticPr fontId="6" type="noConversion"/>
  </si>
  <si>
    <t>抵押</t>
  </si>
  <si>
    <t>房地产抵押价值</t>
  </si>
  <si>
    <t>北京市</t>
  </si>
  <si>
    <t>企业</t>
  </si>
  <si>
    <r>
      <t>6019</t>
    </r>
    <r>
      <rPr>
        <sz val="10"/>
        <color indexed="8"/>
        <rFont val="宋体"/>
        <family val="3"/>
        <charset val="134"/>
      </rPr>
      <t>地块</t>
    </r>
    <phoneticPr fontId="3" type="noConversion"/>
  </si>
  <si>
    <t>测绘</t>
    <phoneticPr fontId="3" type="noConversion"/>
  </si>
  <si>
    <r>
      <t>2</t>
    </r>
    <r>
      <rPr>
        <sz val="10"/>
        <color indexed="8"/>
        <rFont val="宋体"/>
        <family val="3"/>
        <charset val="134"/>
      </rPr>
      <t>号楼</t>
    </r>
    <phoneticPr fontId="3" type="noConversion"/>
  </si>
  <si>
    <t>是</t>
  </si>
  <si>
    <r>
      <t>3</t>
    </r>
    <r>
      <rPr>
        <sz val="10"/>
        <color indexed="8"/>
        <rFont val="宋体"/>
        <family val="3"/>
        <charset val="134"/>
      </rPr>
      <t>号楼</t>
    </r>
    <phoneticPr fontId="3" type="noConversion"/>
  </si>
  <si>
    <r>
      <t>4号楼</t>
    </r>
    <r>
      <rPr>
        <sz val="10"/>
        <color indexed="8"/>
        <rFont val="宋体"/>
        <family val="3"/>
        <charset val="134"/>
      </rPr>
      <t/>
    </r>
  </si>
  <si>
    <r>
      <t>5号楼</t>
    </r>
    <r>
      <rPr>
        <sz val="10"/>
        <color indexed="8"/>
        <rFont val="宋体"/>
        <family val="3"/>
        <charset val="134"/>
      </rPr>
      <t/>
    </r>
  </si>
  <si>
    <r>
      <t>1#</t>
    </r>
    <r>
      <rPr>
        <sz val="10"/>
        <color indexed="8"/>
        <rFont val="宋体"/>
        <family val="3"/>
        <charset val="134"/>
      </rPr>
      <t>地库</t>
    </r>
    <phoneticPr fontId="3" type="noConversion"/>
  </si>
  <si>
    <t>规证</t>
    <phoneticPr fontId="3" type="noConversion"/>
  </si>
  <si>
    <t>地上</t>
  </si>
  <si>
    <t>独立商业</t>
  </si>
  <si>
    <t>商业</t>
    <phoneticPr fontId="7" type="noConversion"/>
  </si>
  <si>
    <t>收益法</t>
  </si>
  <si>
    <t>自定义容积率</t>
  </si>
  <si>
    <t>不临65条商业街</t>
  </si>
  <si>
    <t>与级别开发程度不一致</t>
  </si>
  <si>
    <t>通路</t>
  </si>
  <si>
    <t>通电</t>
  </si>
  <si>
    <t>通上水</t>
  </si>
  <si>
    <t>平整</t>
  </si>
  <si>
    <t>中心城区以外</t>
  </si>
  <si>
    <t>较差</t>
  </si>
  <si>
    <t>一般</t>
  </si>
  <si>
    <t>较好</t>
  </si>
  <si>
    <t>好</t>
  </si>
  <si>
    <t>土地（套用方法）</t>
  </si>
  <si>
    <t>押一</t>
  </si>
  <si>
    <t>钢混</t>
  </si>
  <si>
    <t>非生产用房</t>
  </si>
  <si>
    <t>已全部缴纳</t>
  </si>
  <si>
    <t>工程进度</t>
  </si>
  <si>
    <t>基准地价修正</t>
  </si>
  <si>
    <t>假设开发法</t>
  </si>
  <si>
    <r>
      <t>2022</t>
    </r>
    <r>
      <rPr>
        <sz val="10"/>
        <color indexed="8"/>
        <rFont val="宋体"/>
        <family val="3"/>
        <charset val="134"/>
      </rPr>
      <t>年</t>
    </r>
    <phoneticPr fontId="8" type="noConversion"/>
  </si>
  <si>
    <t>总价</t>
  </si>
  <si>
    <t>自定义</t>
  </si>
  <si>
    <t>项目名称</t>
  </si>
  <si>
    <t>建筑面积</t>
  </si>
  <si>
    <r>
      <t>分摊</t>
    </r>
    <r>
      <rPr>
        <sz val="9"/>
        <color theme="1"/>
        <rFont val="华文细黑"/>
        <family val="3"/>
        <charset val="134"/>
      </rPr>
      <t>土地面积</t>
    </r>
  </si>
  <si>
    <r>
      <t>出让</t>
    </r>
    <r>
      <rPr>
        <sz val="9"/>
        <color theme="1"/>
        <rFont val="华文细黑"/>
        <family val="3"/>
        <charset val="134"/>
      </rPr>
      <t>国有建设用地使用权价值</t>
    </r>
  </si>
  <si>
    <t>建筑物价值</t>
  </si>
  <si>
    <t>房地产价值</t>
  </si>
  <si>
    <t>楼面单价</t>
  </si>
  <si>
    <r>
      <t>总</t>
    </r>
    <r>
      <rPr>
        <sz val="9"/>
        <color theme="1"/>
        <rFont val="Arial"/>
        <family val="2"/>
      </rPr>
      <t xml:space="preserve"> </t>
    </r>
    <r>
      <rPr>
        <sz val="9"/>
        <color theme="1"/>
        <rFont val="华文细黑"/>
        <family val="3"/>
        <charset val="134"/>
      </rPr>
      <t>价</t>
    </r>
  </si>
  <si>
    <r>
      <t>北京市平谷区金海湖镇</t>
    </r>
    <r>
      <rPr>
        <sz val="9"/>
        <color theme="1"/>
        <rFont val="Arial"/>
        <family val="2"/>
      </rPr>
      <t>PG06-0100-6019</t>
    </r>
    <r>
      <rPr>
        <sz val="9"/>
        <color theme="1"/>
        <rFont val="华文细黑"/>
        <family val="3"/>
        <charset val="134"/>
      </rPr>
      <t>地块</t>
    </r>
    <r>
      <rPr>
        <sz val="9"/>
        <color theme="1"/>
        <rFont val="Arial"/>
        <family val="2"/>
      </rPr>
      <t>1</t>
    </r>
    <r>
      <rPr>
        <sz val="9"/>
        <color theme="1"/>
        <rFont val="华文细黑"/>
        <family val="3"/>
        <charset val="134"/>
      </rPr>
      <t>宗商业用地出让国有建设用地使用权</t>
    </r>
  </si>
  <si>
    <r>
      <t>北京市平谷区金海湖镇</t>
    </r>
    <r>
      <rPr>
        <sz val="9"/>
        <color theme="1"/>
        <rFont val="Arial"/>
        <family val="2"/>
      </rPr>
      <t>PG06-0100-6020</t>
    </r>
    <r>
      <rPr>
        <sz val="9"/>
        <color theme="1"/>
        <rFont val="华文细黑"/>
        <family val="3"/>
        <charset val="134"/>
      </rPr>
      <t>地块</t>
    </r>
    <r>
      <rPr>
        <sz val="9"/>
        <color theme="1"/>
        <rFont val="Arial"/>
        <family val="2"/>
      </rPr>
      <t>1</t>
    </r>
    <r>
      <rPr>
        <sz val="9"/>
        <color theme="1"/>
        <rFont val="华文细黑"/>
        <family val="3"/>
        <charset val="134"/>
      </rPr>
      <t>宗住宅、地下仓储、地下车库用地出让国有建设用地使用权</t>
    </r>
  </si>
  <si>
    <r>
      <t>北京市平谷区金海湖镇</t>
    </r>
    <r>
      <rPr>
        <sz val="9"/>
        <color theme="1"/>
        <rFont val="Arial"/>
        <family val="2"/>
      </rPr>
      <t>PG06-0100-6024</t>
    </r>
    <r>
      <rPr>
        <sz val="9"/>
        <color theme="1"/>
        <rFont val="华文细黑"/>
        <family val="3"/>
        <charset val="134"/>
      </rPr>
      <t>地块</t>
    </r>
    <r>
      <rPr>
        <sz val="9"/>
        <color theme="1"/>
        <rFont val="Arial"/>
        <family val="2"/>
      </rPr>
      <t>1</t>
    </r>
    <r>
      <rPr>
        <sz val="9"/>
        <color theme="1"/>
        <rFont val="华文细黑"/>
        <family val="3"/>
        <charset val="134"/>
      </rPr>
      <t>宗住宅、地下仓储、地下车库用地出让国有建设用地使用权</t>
    </r>
  </si>
  <si>
    <r>
      <t>北京市平谷区金海湖镇禧瑞路</t>
    </r>
    <r>
      <rPr>
        <sz val="9"/>
        <color theme="1"/>
        <rFont val="Arial"/>
        <family val="2"/>
      </rPr>
      <t>1</t>
    </r>
    <r>
      <rPr>
        <sz val="9"/>
        <color theme="1"/>
        <rFont val="华文细黑"/>
        <family val="3"/>
        <charset val="134"/>
      </rPr>
      <t>号院部分住宅、地下仓储及地下车库用房房地产</t>
    </r>
  </si>
  <si>
    <t>合计</t>
  </si>
  <si>
    <t>2022年</t>
    <phoneticPr fontId="134" type="noConversion"/>
  </si>
  <si>
    <t>差异</t>
    <phoneticPr fontId="134" type="noConversion"/>
  </si>
  <si>
    <t>郑燚</t>
  </si>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</sst>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indexed="8"/>
      <name val="仿宋_GB2312"/>
      <family val="3"/>
      <charset val="134"/>
    </font>
    <font>
      <sz val="9"/>
      <color theme="1"/>
      <name val="Arial"/>
      <family val="2"/>
    </font>
    <font>
      <sz val="9"/>
      <color rgb="FFE36C0A"/>
      <name val="华文细黑"/>
      <family val="3"/>
      <charset val="134"/>
    </font>
    <font>
      <sz val="11"/>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uble">
        <color rgb="FF404040"/>
      </bottom>
      <diagonal/>
    </border>
    <border>
      <left/>
      <right style="dotted">
        <color rgb="FF404040"/>
      </right>
      <top style="dotted">
        <color rgb="FF404040"/>
      </top>
      <bottom style="double">
        <color rgb="FF404040"/>
      </bottom>
      <diagonal/>
    </border>
    <border>
      <left/>
      <right/>
      <top style="double">
        <color rgb="FF404040"/>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pplyFill="1">
      <alignment vertical="center"/>
    </xf>
    <xf numFmtId="0" fontId="95" fillId="0" borderId="0" xfId="0" applyFont="1">
      <alignment vertical="center"/>
    </xf>
    <xf numFmtId="0" fontId="0" fillId="0" borderId="0" xfId="0" applyFill="1">
      <alignment vertical="center"/>
    </xf>
    <xf numFmtId="0" fontId="269" fillId="0" borderId="0" xfId="0" applyFont="1" applyFill="1">
      <alignment vertical="center"/>
    </xf>
    <xf numFmtId="0" fontId="0" fillId="5" borderId="0" xfId="0" applyFill="1">
      <alignment vertical="center"/>
    </xf>
    <xf numFmtId="14" fontId="270" fillId="0" borderId="13" xfId="0" applyNumberFormat="1" applyFont="1" applyFill="1" applyBorder="1" applyAlignment="1" applyProtection="1">
      <alignment horizontal="left" vertical="center"/>
      <protection locked="0"/>
    </xf>
    <xf numFmtId="183" fontId="270" fillId="0" borderId="1" xfId="0" applyNumberFormat="1" applyFont="1" applyFill="1" applyBorder="1" applyAlignment="1" applyProtection="1">
      <alignment horizontal="center" vertical="center" shrinkToFit="1"/>
      <protection locked="0"/>
    </xf>
    <xf numFmtId="49" fontId="270" fillId="5" borderId="1"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44" fillId="0" borderId="23" xfId="0" applyFont="1" applyBorder="1" applyAlignment="1" applyProtection="1">
      <alignment vertical="center"/>
      <protection locked="0"/>
    </xf>
    <xf numFmtId="0" fontId="53" fillId="5" borderId="2" xfId="0" applyFont="1" applyFill="1" applyBorder="1" applyAlignment="1" applyProtection="1">
      <alignment horizontal="left" vertical="center" wrapText="1"/>
      <protection locked="0"/>
    </xf>
    <xf numFmtId="0" fontId="53" fillId="5" borderId="4" xfId="0" applyFont="1" applyFill="1" applyBorder="1" applyAlignment="1" applyProtection="1">
      <alignment horizontal="left" vertical="center" wrapText="1"/>
      <protection locked="0"/>
    </xf>
    <xf numFmtId="0" fontId="53" fillId="5" borderId="9" xfId="0" applyFont="1" applyFill="1" applyBorder="1" applyAlignment="1" applyProtection="1">
      <alignment horizontal="left" vertical="center" wrapText="1"/>
      <protection locked="0"/>
    </xf>
    <xf numFmtId="0" fontId="265" fillId="0" borderId="179" xfId="0" applyFont="1" applyBorder="1" applyAlignment="1">
      <alignment vertical="center" wrapText="1"/>
    </xf>
    <xf numFmtId="0" fontId="265" fillId="0" borderId="177" xfId="0" applyFont="1" applyBorder="1" applyAlignment="1">
      <alignment horizontal="justify" vertical="center" wrapText="1"/>
    </xf>
    <xf numFmtId="0" fontId="271" fillId="0" borderId="179" xfId="0" applyFont="1" applyBorder="1" applyAlignment="1">
      <alignment horizontal="justify" vertical="center" wrapText="1"/>
    </xf>
    <xf numFmtId="0" fontId="271" fillId="0" borderId="179" xfId="0" applyFont="1" applyBorder="1" applyAlignment="1">
      <alignment vertical="center" wrapText="1"/>
    </xf>
    <xf numFmtId="0" fontId="273" fillId="0" borderId="179" xfId="0" applyFont="1" applyBorder="1" applyAlignment="1">
      <alignment vertical="center" wrapText="1"/>
    </xf>
    <xf numFmtId="0" fontId="272" fillId="0" borderId="180" xfId="0" applyFont="1" applyBorder="1" applyAlignment="1">
      <alignment vertical="center" wrapText="1"/>
    </xf>
    <xf numFmtId="0" fontId="271" fillId="0" borderId="181" xfId="0" applyFont="1" applyBorder="1" applyAlignment="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5" fillId="0" borderId="182" xfId="0" applyFont="1" applyBorder="1" applyAlignment="1">
      <alignment vertical="center" wrapText="1"/>
    </xf>
    <xf numFmtId="0" fontId="265" fillId="0" borderId="178" xfId="0" applyFont="1" applyBorder="1" applyAlignment="1">
      <alignment vertical="center" wrapText="1"/>
    </xf>
    <xf numFmtId="0" fontId="265" fillId="0" borderId="176" xfId="0" applyFont="1" applyBorder="1" applyAlignment="1">
      <alignment vertical="center" wrapText="1"/>
    </xf>
    <xf numFmtId="0" fontId="265" fillId="0" borderId="177" xfId="0" applyFont="1" applyBorder="1" applyAlignment="1">
      <alignment vertical="center" wrapText="1"/>
    </xf>
    <xf numFmtId="0" fontId="272" fillId="0" borderId="176" xfId="0" applyFont="1" applyBorder="1" applyAlignment="1">
      <alignment vertical="center" wrapText="1"/>
    </xf>
    <xf numFmtId="0" fontId="272" fillId="0" borderId="177" xfId="0" applyFont="1" applyBorder="1" applyAlignment="1">
      <alignment vertical="center" wrapText="1"/>
    </xf>
    <xf numFmtId="0" fontId="272" fillId="0" borderId="182" xfId="0" applyFont="1" applyBorder="1" applyAlignment="1">
      <alignment vertical="center" wrapText="1"/>
    </xf>
    <xf numFmtId="0" fontId="272" fillId="0" borderId="178" xfId="0" applyFont="1" applyBorder="1" applyAlignment="1">
      <alignment vertical="center" wrapText="1"/>
    </xf>
    <xf numFmtId="0" fontId="271" fillId="0" borderId="183" xfId="0" applyFont="1" applyBorder="1" applyAlignment="1">
      <alignment horizontal="center" vertical="center" wrapText="1"/>
    </xf>
    <xf numFmtId="0" fontId="271" fillId="0" borderId="184" xfId="0" applyFont="1" applyBorder="1" applyAlignment="1">
      <alignment horizontal="center" vertical="center" wrapText="1"/>
    </xf>
    <xf numFmtId="196" fontId="0" fillId="0" borderId="185" xfId="0" applyNumberFormat="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9734;&#25253;&#21578;&#9734;\2022\&#24402;&#26723;\2022-1-0083&#37329;&#28023;&#28246;\2022-1-0083-F04&#21464;&#26356;&#20986;&#20855;&#25253;&#21578;&#26085;10.17\&#26368;&#32456;\2022-1-0083-F04&#23545;&#20844;&#20107;&#19994;&#37096;&#8212;&#30005;&#31639;&#34920;-&#37329;&#28023;&#28246;&#22303;&#22320;6019-2022.6.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758&#24179;&#35895;6020&#20303;&#23429;&#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1-0758&#24179;&#35895;6024&#20303;&#23429;&#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3-1-0758&#24179;&#35895;6021&#20303;&#23429;&#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商业"/>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 val="各地块面积表"/>
      <sheetName val="A地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D3" t="str">
            <v>居住配套商业服务楼</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B地块"/>
      <sheetName val="数据-汇总表"/>
      <sheetName val="数据-取费表"/>
      <sheetName val="估价对象房地状况"/>
      <sheetName val="系统读取表"/>
      <sheetName val="结果表"/>
      <sheetName val="成本法"/>
      <sheetName val="成本法 (元)"/>
      <sheetName val="假设开发法"/>
      <sheetName val="收益法-机械车位"/>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 val="售价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66832.349999999991</v>
          </cell>
          <cell r="C14">
            <v>36830.400000000001</v>
          </cell>
          <cell r="D14">
            <v>39215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D地块"/>
      <sheetName val="数据-汇总表"/>
      <sheetName val="数据-取费表"/>
      <sheetName val="估价对象房地状况"/>
      <sheetName val="系统读取表"/>
      <sheetName val="结果表"/>
      <sheetName val="成本法"/>
      <sheetName val="成本法 (元)"/>
      <sheetName val="假设开发法"/>
      <sheetName val="收益法-机械车位"/>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 val="售价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57229.579999999994</v>
          </cell>
          <cell r="C14">
            <v>31416.240000000002</v>
          </cell>
          <cell r="D14">
            <v>34175</v>
          </cell>
          <cell r="G14">
            <v>34175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C地块"/>
      <sheetName val="数据-汇总表"/>
      <sheetName val="数据-取费表"/>
      <sheetName val="估价对象房地状况"/>
      <sheetName val="系统读取表"/>
      <sheetName val="结果表-叠拼"/>
      <sheetName val="土地比较法-住宅、综合"/>
      <sheetName val="成本法-叠拼"/>
      <sheetName val="假设开发法"/>
      <sheetName val="比较法-叠拼"/>
      <sheetName val="典型户型修正"/>
      <sheetName val="结果表-仓储"/>
      <sheetName val="成本法-仓储"/>
      <sheetName val="收益法-仓储"/>
      <sheetName val="收益法 (元)"/>
      <sheetName val="收益法-酒店模型"/>
      <sheetName val="收益法（汇总）"/>
      <sheetName val="比较法-商业"/>
      <sheetName val="比较法-办公"/>
      <sheetName val="比较法-工业"/>
      <sheetName val="比较法-仓储"/>
      <sheetName val="结果表-车库"/>
      <sheetName val="成本法-车库"/>
      <sheetName val="比较法-车位"/>
      <sheetName val="收益法-车库"/>
      <sheetName val="土地比较法-工业"/>
      <sheetName val="基准地价（汇总）"/>
      <sheetName val="基准地价修正"/>
      <sheetName val="修正"/>
      <sheetName val="容积率修正"/>
      <sheetName val="区片价"/>
      <sheetName val="因素修正幅度"/>
      <sheetName val="区片价（范围）"/>
      <sheetName val="地价-分区"/>
      <sheetName val="地价"/>
      <sheetName val="存贷款利率"/>
      <sheetName val="住宅土地案例"/>
      <sheetName val="售价案例"/>
      <sheetName val="抵押物清单"/>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44767.379999999852</v>
          </cell>
        </row>
        <row r="2">
          <cell r="B2">
            <v>0</v>
          </cell>
        </row>
        <row r="5">
          <cell r="B5">
            <v>44593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北京市平谷区金海湖镇PG06-0100-6019地块1宗商业、地下车库用地房地产抵押价值预评估</v>
      </c>
    </row>
    <row r="3" spans="1:2" s="1203" customFormat="1">
      <c r="A3" s="1201" t="s">
        <v>523</v>
      </c>
      <c r="B3" s="1202">
        <f>'预评函-封皮'!B40</f>
        <v>0</v>
      </c>
    </row>
    <row r="4" spans="1:2" s="1203" customFormat="1">
      <c r="A4" s="1201" t="s">
        <v>524</v>
      </c>
      <c r="B4" s="1202" t="str">
        <f ca="1">'预评函-封皮'!B46</f>
        <v>郑燚（注册号：1120070131)、吴薇（注册号：1419970001)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受贵公司委托，我公司对北京市平谷区金海湖镇PG06-0100-6019地块1宗商业、地下车库用地房地产抵押价值进行了预评估。</v>
      </c>
    </row>
    <row r="7" spans="1:2" s="1203" customFormat="1">
      <c r="A7" s="1201" t="s">
        <v>566</v>
      </c>
      <c r="B7" s="1202" t="str">
        <f>'预评函-1'!A7</f>
        <v>估价对象为北京市平谷区金海湖镇PG06-0100-6019地块1宗商业、地下车库用地房地产，为所有。根据《国有土地使用证》[]，估价对象（分摊）出让国有建设用地使用权面积为7720.87平方米，建筑面积为9801.27平方米。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平谷区金海湖镇PG06-0100-6019地块1宗商业、地下车库用地房地产,属开发建设的，该项目尚在开发建设中。根据《国有土地使用证》[]，估价对象（分摊）出让国有建设用地使用权面积为7720.87平方米，规划建筑面积为9801.27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平谷区金海湖镇PG06-0100-6019地块1宗商业、地下车库用地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2023年10月18日（评估专业人员实地查勘之日）</v>
      </c>
    </row>
    <row r="13" spans="1:2" s="1203" customFormat="1">
      <c r="A13" s="1201" t="s">
        <v>529</v>
      </c>
      <c r="B13" s="1202" t="str">
        <f>'预评函-1'!A18</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1935</v>
      </c>
    </row>
    <row r="21" spans="1:2" s="1203" customFormat="1">
      <c r="A21" s="1201" t="s">
        <v>537</v>
      </c>
      <c r="B21" s="1202">
        <f ca="1">'预评函-2'!D7</f>
        <v>1974</v>
      </c>
    </row>
    <row r="22" spans="1:2" s="1203" customFormat="1">
      <c r="A22" s="1201" t="s">
        <v>538</v>
      </c>
      <c r="B22" s="1202" t="str">
        <f ca="1">'预评函-2'!D6</f>
        <v>壹仟玖佰叁拾伍万元整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1935</v>
      </c>
    </row>
    <row r="31" spans="1:2" s="1203" customFormat="1">
      <c r="A31" s="1201" t="s">
        <v>576</v>
      </c>
      <c r="B31" s="1202">
        <f ca="1">'预评函-2'!D15</f>
        <v>1974</v>
      </c>
    </row>
    <row r="32" spans="1:2" s="1203" customFormat="1">
      <c r="A32" s="1201" t="s">
        <v>543</v>
      </c>
      <c r="B32" s="1202" t="str">
        <f ca="1">'预评函-2'!D14</f>
        <v>壹仟玖佰叁拾伍万元整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北京市平谷区金海湖镇PG06-0100-6019地块1宗商业、地下车库用地房地产</v>
      </c>
    </row>
    <row r="42" spans="1:2" s="1203" customFormat="1">
      <c r="A42" s="1201" t="s">
        <v>590</v>
      </c>
      <c r="B42" s="1202" t="str">
        <f>'预评函-3'!B2</f>
        <v>建筑面积</v>
      </c>
    </row>
    <row r="43" spans="1:2" s="1203" customFormat="1">
      <c r="A43" s="1201" t="s">
        <v>591</v>
      </c>
      <c r="B43" s="1202">
        <f>'预评函-3'!B4</f>
        <v>9801.27</v>
      </c>
    </row>
    <row r="44" spans="1:2" s="1203" customFormat="1">
      <c r="A44" s="1201" t="s">
        <v>575</v>
      </c>
      <c r="B44" s="1202" t="str">
        <f>'预评函-3'!C2</f>
        <v>(分摊)土地面积</v>
      </c>
    </row>
    <row r="45" spans="1:2" s="1203" customFormat="1">
      <c r="A45" s="1201" t="s">
        <v>547</v>
      </c>
      <c r="B45" s="1202">
        <f>'预评函-3'!C4</f>
        <v>7720.87</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973</v>
      </c>
      <c r="C1" s="1541" t="s">
        <v>314</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309</v>
      </c>
      <c r="Q1" s="1543" t="s">
        <v>447</v>
      </c>
      <c r="R1" s="1542" t="s">
        <v>441</v>
      </c>
      <c r="S1" s="1542" t="s">
        <v>985</v>
      </c>
      <c r="T1" s="1544" t="s">
        <v>986</v>
      </c>
      <c r="U1" s="1542" t="s">
        <v>987</v>
      </c>
      <c r="V1" s="1542" t="s">
        <v>988</v>
      </c>
      <c r="W1" s="1542" t="s">
        <v>311</v>
      </c>
    </row>
    <row r="2" spans="1:23">
      <c r="A2" s="1546" t="s">
        <v>19</v>
      </c>
      <c r="B2" s="1546" t="s">
        <v>989</v>
      </c>
      <c r="C2" s="1547" t="s">
        <v>315</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443</v>
      </c>
      <c r="S2" s="1548" t="s">
        <v>994</v>
      </c>
      <c r="T2" s="1548" t="s">
        <v>995</v>
      </c>
      <c r="U2" s="1548" t="s">
        <v>994</v>
      </c>
      <c r="V2" s="1548" t="s">
        <v>996</v>
      </c>
      <c r="W2" s="1548" t="s">
        <v>994</v>
      </c>
    </row>
    <row r="3" spans="1:23">
      <c r="A3" s="1546" t="s">
        <v>997</v>
      </c>
      <c r="B3" s="1549" t="s">
        <v>448</v>
      </c>
      <c r="C3" s="1550" t="s">
        <v>316</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442</v>
      </c>
      <c r="S3" s="1548" t="s">
        <v>1001</v>
      </c>
      <c r="T3" s="1548" t="s">
        <v>1002</v>
      </c>
      <c r="U3" s="1548" t="s">
        <v>1001</v>
      </c>
      <c r="V3" s="1548" t="s">
        <v>1003</v>
      </c>
      <c r="W3" s="1548" t="s">
        <v>1001</v>
      </c>
    </row>
    <row r="4" spans="1:23">
      <c r="A4" s="1546" t="s">
        <v>1004</v>
      </c>
      <c r="B4" s="1546" t="s">
        <v>1005</v>
      </c>
      <c r="C4" s="1547" t="s">
        <v>317</v>
      </c>
      <c r="D4" s="1548" t="s">
        <v>389</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444</v>
      </c>
      <c r="S4" s="1548" t="s">
        <v>1008</v>
      </c>
      <c r="T4" s="1548" t="s">
        <v>1009</v>
      </c>
      <c r="U4" s="1548" t="s">
        <v>1008</v>
      </c>
      <c r="W4" s="1548" t="s">
        <v>1008</v>
      </c>
    </row>
    <row r="5" spans="1:23">
      <c r="A5" s="1546" t="s">
        <v>1010</v>
      </c>
      <c r="B5" s="1546" t="s">
        <v>1011</v>
      </c>
      <c r="C5" s="1547" t="s">
        <v>318</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445</v>
      </c>
      <c r="S5" s="1548" t="s">
        <v>1014</v>
      </c>
      <c r="T5" s="1548" t="s">
        <v>1015</v>
      </c>
      <c r="U5" s="1548" t="s">
        <v>1014</v>
      </c>
      <c r="W5" s="1548" t="s">
        <v>1014</v>
      </c>
    </row>
    <row r="6" spans="1:23">
      <c r="A6" s="1546" t="s">
        <v>1016</v>
      </c>
      <c r="B6" s="1549" t="s">
        <v>449</v>
      </c>
      <c r="C6" s="1552" t="s">
        <v>24</v>
      </c>
      <c r="F6" s="1548" t="s">
        <v>1013</v>
      </c>
      <c r="H6" s="1548" t="s">
        <v>1017</v>
      </c>
      <c r="I6" s="1548" t="s">
        <v>3341</v>
      </c>
      <c r="K6" s="1548" t="s">
        <v>1018</v>
      </c>
      <c r="L6" s="1548" t="s">
        <v>1018</v>
      </c>
      <c r="M6" s="1548" t="s">
        <v>1018</v>
      </c>
      <c r="N6" s="1548" t="s">
        <v>1018</v>
      </c>
      <c r="O6" s="1548" t="s">
        <v>1018</v>
      </c>
      <c r="P6" s="1548" t="s">
        <v>1018</v>
      </c>
      <c r="Q6" s="1548" t="s">
        <v>1018</v>
      </c>
      <c r="R6" s="1548" t="s">
        <v>446</v>
      </c>
      <c r="S6" s="1548" t="s">
        <v>1018</v>
      </c>
      <c r="T6" s="1548"/>
      <c r="U6" s="1548" t="s">
        <v>1018</v>
      </c>
      <c r="W6" s="1548" t="s">
        <v>1018</v>
      </c>
    </row>
    <row r="7" spans="1:23">
      <c r="A7" s="1546" t="s">
        <v>1019</v>
      </c>
      <c r="B7" s="1549" t="s">
        <v>450</v>
      </c>
      <c r="C7" s="1547" t="s">
        <v>25</v>
      </c>
      <c r="F7" s="1548" t="s">
        <v>1020</v>
      </c>
      <c r="H7" s="1548" t="s">
        <v>1021</v>
      </c>
      <c r="I7" s="1548" t="s">
        <v>3342</v>
      </c>
    </row>
    <row r="8" spans="1:23">
      <c r="A8" s="1546" t="s">
        <v>1022</v>
      </c>
      <c r="B8" s="1546" t="s">
        <v>1023</v>
      </c>
      <c r="C8" s="1547" t="s">
        <v>319</v>
      </c>
      <c r="F8" s="1548" t="s">
        <v>1024</v>
      </c>
      <c r="H8" s="1548" t="s">
        <v>2576</v>
      </c>
      <c r="I8" s="1548" t="s">
        <v>3343</v>
      </c>
    </row>
    <row r="9" spans="1:23">
      <c r="A9" s="1546" t="s">
        <v>1025</v>
      </c>
      <c r="B9" s="1546" t="s">
        <v>1026</v>
      </c>
      <c r="C9" s="1547" t="s">
        <v>320</v>
      </c>
      <c r="F9" s="1548" t="s">
        <v>1027</v>
      </c>
      <c r="H9" s="1548"/>
      <c r="I9" s="1551" t="s">
        <v>3344</v>
      </c>
    </row>
    <row r="10" spans="1:23">
      <c r="A10" s="1546" t="s">
        <v>1028</v>
      </c>
      <c r="B10" s="1546" t="s">
        <v>1029</v>
      </c>
      <c r="C10" s="1547" t="s">
        <v>321</v>
      </c>
      <c r="F10" s="1548" t="s">
        <v>2577</v>
      </c>
      <c r="I10" s="1551" t="s">
        <v>3345</v>
      </c>
    </row>
    <row r="11" spans="1:23">
      <c r="A11" s="1546" t="s">
        <v>1030</v>
      </c>
      <c r="B11" s="1546" t="s">
        <v>1031</v>
      </c>
      <c r="C11" s="1547" t="s">
        <v>322</v>
      </c>
      <c r="F11" s="1548" t="s">
        <v>13</v>
      </c>
      <c r="I11" s="1551" t="s">
        <v>3346</v>
      </c>
    </row>
    <row r="12" spans="1:23">
      <c r="A12" s="1546" t="s">
        <v>1032</v>
      </c>
      <c r="B12" s="1546" t="s">
        <v>1033</v>
      </c>
      <c r="C12" s="1547" t="s">
        <v>323</v>
      </c>
      <c r="I12" s="1551" t="s">
        <v>3347</v>
      </c>
    </row>
    <row r="13" spans="1:23">
      <c r="A13" s="1546" t="s">
        <v>1034</v>
      </c>
      <c r="B13" s="1546" t="s">
        <v>1035</v>
      </c>
      <c r="C13" s="1547" t="s">
        <v>324</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312</v>
      </c>
      <c r="C16" s="1547"/>
    </row>
    <row r="17" spans="1:3">
      <c r="A17" s="1546" t="s">
        <v>1041</v>
      </c>
      <c r="B17" s="1546" t="s">
        <v>2288</v>
      </c>
      <c r="C17" s="1547"/>
    </row>
    <row r="18" spans="1:3">
      <c r="A18" s="1546" t="s">
        <v>1042</v>
      </c>
      <c r="B18" s="1546" t="s">
        <v>2432</v>
      </c>
      <c r="C18" s="1547"/>
    </row>
    <row r="19" spans="1:3">
      <c r="A19" s="1546" t="s">
        <v>1043</v>
      </c>
      <c r="B19" s="1546" t="s">
        <v>313</v>
      </c>
      <c r="C19" s="1547"/>
    </row>
    <row r="20" spans="1:3">
      <c r="A20" s="1546" t="s">
        <v>1044</v>
      </c>
      <c r="B20" s="1546" t="s">
        <v>313</v>
      </c>
      <c r="C20" s="1547"/>
    </row>
    <row r="21" spans="1:3">
      <c r="A21" s="1546" t="s">
        <v>1045</v>
      </c>
      <c r="B21" s="1546" t="s">
        <v>313</v>
      </c>
      <c r="C21" s="1547"/>
    </row>
    <row r="22" spans="1:3">
      <c r="A22" s="1546" t="s">
        <v>1046</v>
      </c>
      <c r="B22" s="1546" t="s">
        <v>313</v>
      </c>
      <c r="C22" s="1547"/>
    </row>
    <row r="23" spans="1:3">
      <c r="A23" s="1546" t="s">
        <v>1047</v>
      </c>
      <c r="B23" s="1546" t="s">
        <v>313</v>
      </c>
      <c r="C23" s="1547"/>
    </row>
    <row r="24" spans="1:3">
      <c r="A24" s="1546" t="s">
        <v>1048</v>
      </c>
      <c r="B24" s="1546" t="s">
        <v>313</v>
      </c>
      <c r="C24" s="1547"/>
    </row>
    <row r="25" spans="1:3">
      <c r="A25" s="1546" t="s">
        <v>1049</v>
      </c>
      <c r="B25" s="1546" t="s">
        <v>313</v>
      </c>
      <c r="C25" s="1547"/>
    </row>
    <row r="26" spans="1:3">
      <c r="A26" s="1546" t="s">
        <v>1050</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金海湖镇PG06-0100-6019地块1宗商业、地下车库用地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3" t="s">
        <v>2592</v>
      </c>
      <c r="J1" s="3224"/>
      <c r="K1" s="3224"/>
      <c r="L1" s="3224"/>
      <c r="M1" s="3224"/>
      <c r="N1" s="3434"/>
      <c r="O1" s="3434"/>
      <c r="P1" s="3434"/>
      <c r="Q1" s="3434"/>
      <c r="R1" s="3434"/>
    </row>
    <row r="2" spans="1:18">
      <c r="A2" s="3015"/>
      <c r="B2" s="3016"/>
      <c r="C2" s="3016"/>
      <c r="D2" s="3016"/>
      <c r="E2" s="3016"/>
      <c r="F2" s="3017"/>
      <c r="I2" s="3509" t="s">
        <v>2579</v>
      </c>
      <c r="J2" s="3509"/>
      <c r="K2" s="3509"/>
      <c r="L2" s="3509"/>
      <c r="M2" s="3509"/>
      <c r="N2" s="3509"/>
      <c r="O2" s="3509"/>
      <c r="P2" s="3509"/>
      <c r="Q2" s="3509"/>
      <c r="R2" s="3509"/>
    </row>
    <row r="3" spans="1:18">
      <c r="A3" s="3018" t="s">
        <v>2500</v>
      </c>
      <c r="B3" s="3019">
        <f>项目基本情况!D3</f>
        <v>45217</v>
      </c>
      <c r="C3" s="3021"/>
      <c r="D3" s="3021"/>
      <c r="E3" s="3021"/>
      <c r="F3" s="3017"/>
      <c r="I3" s="3435"/>
      <c r="J3" s="3435" t="s">
        <v>2583</v>
      </c>
      <c r="K3" s="3435" t="s">
        <v>2584</v>
      </c>
      <c r="L3" s="3435" t="s">
        <v>2585</v>
      </c>
      <c r="M3" s="3435" t="s">
        <v>2586</v>
      </c>
      <c r="N3" s="3436" t="s">
        <v>2587</v>
      </c>
      <c r="O3" s="3436" t="s">
        <v>2588</v>
      </c>
      <c r="P3" s="3436" t="s">
        <v>2589</v>
      </c>
      <c r="Q3" s="3436" t="s">
        <v>2590</v>
      </c>
      <c r="R3" s="3436" t="s">
        <v>2591</v>
      </c>
    </row>
    <row r="4" spans="1:18">
      <c r="A4" s="3018" t="s">
        <v>2501</v>
      </c>
      <c r="B4" s="3021" t="s">
        <v>2502</v>
      </c>
      <c r="C4" s="3021" t="s">
        <v>2503</v>
      </c>
      <c r="D4" s="3021" t="s">
        <v>2504</v>
      </c>
      <c r="E4" s="3021" t="s">
        <v>2505</v>
      </c>
      <c r="F4" s="3017"/>
      <c r="I4" s="3435" t="s">
        <v>2580</v>
      </c>
      <c r="J4" s="3435">
        <v>80</v>
      </c>
      <c r="K4" s="3435">
        <v>70</v>
      </c>
      <c r="L4" s="3435">
        <v>20</v>
      </c>
      <c r="M4" s="3435">
        <v>30</v>
      </c>
      <c r="N4" s="3021">
        <v>45</v>
      </c>
      <c r="O4" s="3021">
        <v>60</v>
      </c>
      <c r="P4" s="3021">
        <v>50</v>
      </c>
      <c r="Q4" s="3021">
        <v>20</v>
      </c>
      <c r="R4" s="3021">
        <v>375</v>
      </c>
    </row>
    <row r="5" spans="1:18">
      <c r="A5" s="3022">
        <v>40</v>
      </c>
      <c r="B5" s="3019">
        <v>46375</v>
      </c>
      <c r="C5" s="3021">
        <f>ROUNDDOWN(MIN((B5-B3)/365,A5),2)</f>
        <v>3.17</v>
      </c>
      <c r="D5" s="3023">
        <f>IF(ISERROR(ROUND(POWER(1+E5,A5-C5)*(POWER(1+E5,C5)-1)/(POWER(1+E5,A5)-1),3)),0,ROUND(POWER(1+E5,A5-C5)*(POWER(1+E5,C5)-1)/(POWER(1+E5,A5)-1),4))</f>
        <v>0.1477</v>
      </c>
      <c r="E5" s="3024">
        <v>0.04</v>
      </c>
      <c r="F5" s="3017"/>
      <c r="I5" s="3435" t="s">
        <v>2581</v>
      </c>
      <c r="J5" s="3435">
        <v>70</v>
      </c>
      <c r="K5" s="3435">
        <v>60</v>
      </c>
      <c r="L5" s="3435">
        <v>15</v>
      </c>
      <c r="M5" s="3435">
        <v>25</v>
      </c>
      <c r="N5" s="3021">
        <v>40</v>
      </c>
      <c r="O5" s="3021">
        <v>50</v>
      </c>
      <c r="P5" s="3021">
        <v>40</v>
      </c>
      <c r="Q5" s="3021">
        <v>15</v>
      </c>
      <c r="R5" s="3021">
        <v>315</v>
      </c>
    </row>
    <row r="6" spans="1:18">
      <c r="A6" s="3022">
        <v>50</v>
      </c>
      <c r="B6" s="3019">
        <v>50028</v>
      </c>
      <c r="C6" s="3021">
        <f>ROUNDDOWN(MIN((B6-B3)/365,A6),2)</f>
        <v>13.18</v>
      </c>
      <c r="D6" s="3023">
        <f>IF(ISERROR(ROUND(POWER(1+E6,A6-C6)*(POWER(1+E6,C6)-1)/(POWER(1+E6,A6)-1),3)),0,ROUND(POWER(1+E6,A6-C6)*(POWER(1+E6,C6)-1)/(POWER(1+E6,A6)-1),4))</f>
        <v>0.4698</v>
      </c>
      <c r="E6" s="3024">
        <v>0.04</v>
      </c>
      <c r="F6" s="3017"/>
      <c r="I6" s="3435" t="s">
        <v>2582</v>
      </c>
      <c r="J6" s="3435">
        <v>60</v>
      </c>
      <c r="K6" s="3435">
        <v>50</v>
      </c>
      <c r="L6" s="3435">
        <v>10</v>
      </c>
      <c r="M6" s="3435">
        <v>20</v>
      </c>
      <c r="N6" s="3021">
        <v>35</v>
      </c>
      <c r="O6" s="3021">
        <v>40</v>
      </c>
      <c r="P6" s="3021">
        <v>30</v>
      </c>
      <c r="Q6" s="3021">
        <v>10</v>
      </c>
      <c r="R6" s="3021">
        <v>255</v>
      </c>
    </row>
    <row r="7" spans="1:18">
      <c r="A7" s="3022">
        <v>70</v>
      </c>
      <c r="B7" s="3019">
        <v>57333</v>
      </c>
      <c r="C7" s="3021">
        <f>ROUNDDOWN(MIN((B7-B3)/365,A7),2)</f>
        <v>33.19</v>
      </c>
      <c r="D7" s="3023">
        <f>IF(ISERROR(ROUND(POWER(1+E7,A7-C7)*(POWER(1+E7,C7)-1)/(POWER(1+E7,A7)-1),3)),0,ROUND(POWER(1+E7,A7-C7)*(POWER(1+E7,C7)-1)/(POWER(1+E7,A7)-1),4))</f>
        <v>0.77790000000000004</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3">
      <c r="A17" s="3018" t="s">
        <v>2516</v>
      </c>
      <c r="B17" s="3027">
        <v>4810</v>
      </c>
      <c r="C17" s="3020"/>
      <c r="D17" s="3016"/>
      <c r="E17" s="3016"/>
      <c r="F17" s="3017"/>
    </row>
    <row r="18" spans="1:13" ht="14.25" thickBot="1">
      <c r="A18" s="3029" t="s">
        <v>2515</v>
      </c>
      <c r="B18" s="3030">
        <f>ROUND(B17*F11/F12,2)</f>
        <v>5541.87</v>
      </c>
      <c r="C18" s="3030">
        <f>ROUND(F11/F12,4)</f>
        <v>1.1521999999999999</v>
      </c>
      <c r="D18" s="3031"/>
      <c r="E18" s="3031"/>
      <c r="F18" s="3032"/>
    </row>
    <row r="19" spans="1:13" ht="14.25" thickBot="1"/>
    <row r="20" spans="1:13" s="3067" customFormat="1" ht="14.25" thickTop="1">
      <c r="A20" s="3064" t="s">
        <v>2518</v>
      </c>
      <c r="B20" s="3065"/>
      <c r="C20" s="3065"/>
      <c r="D20" s="3065"/>
      <c r="E20" s="3065"/>
      <c r="F20" s="3065"/>
      <c r="G20" s="3066"/>
      <c r="I20" s="3068" t="s">
        <v>2563</v>
      </c>
      <c r="J20" s="3068" t="s">
        <v>2568</v>
      </c>
      <c r="K20" s="3068"/>
      <c r="L20" s="3068"/>
      <c r="M20" s="3068"/>
    </row>
    <row r="21" spans="1:13">
      <c r="A21" s="3033"/>
      <c r="B21" s="3034" t="s">
        <v>2519</v>
      </c>
      <c r="C21" s="3034" t="s">
        <v>2520</v>
      </c>
      <c r="D21" s="3034" t="s">
        <v>2521</v>
      </c>
      <c r="E21" s="3034" t="s">
        <v>2522</v>
      </c>
      <c r="F21" s="3034" t="s">
        <v>2523</v>
      </c>
      <c r="G21" s="3035" t="s">
        <v>2524</v>
      </c>
      <c r="I21" s="3056">
        <v>5</v>
      </c>
      <c r="J21" s="3056">
        <v>54.2</v>
      </c>
    </row>
    <row r="22" spans="1:13">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M23" s="3056" t="s">
        <v>2567</v>
      </c>
    </row>
    <row r="24" spans="1:13">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M24" s="3056">
        <v>10</v>
      </c>
    </row>
    <row r="25" spans="1:13">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M25" s="3056">
        <v>8</v>
      </c>
    </row>
    <row r="26" spans="1:13">
      <c r="A26" s="3038"/>
      <c r="B26" s="3039"/>
      <c r="C26" s="3039"/>
      <c r="D26" s="3039"/>
      <c r="E26" s="3039"/>
      <c r="F26" s="3039"/>
      <c r="G26" s="3040"/>
      <c r="I26" s="3056">
        <v>30</v>
      </c>
      <c r="J26" s="3056">
        <v>90.5</v>
      </c>
      <c r="K26" s="3056">
        <f t="shared" si="2"/>
        <v>4.2000000000000028</v>
      </c>
      <c r="L26" s="3056" t="s">
        <v>2570</v>
      </c>
      <c r="M26" s="3056">
        <v>5</v>
      </c>
    </row>
    <row r="27" spans="1:13">
      <c r="A27" s="3038" t="s">
        <v>2529</v>
      </c>
      <c r="B27" s="3039"/>
      <c r="C27" s="3039"/>
      <c r="D27" s="3039"/>
      <c r="E27" s="3039"/>
      <c r="F27" s="3039"/>
      <c r="G27" s="3040"/>
      <c r="I27" s="3056">
        <v>35</v>
      </c>
      <c r="J27" s="3056">
        <v>93.8</v>
      </c>
      <c r="K27" s="3056">
        <f t="shared" si="2"/>
        <v>3.2999999999999972</v>
      </c>
      <c r="L27" s="3056" t="s">
        <v>2571</v>
      </c>
      <c r="M27" s="3056">
        <v>3</v>
      </c>
    </row>
    <row r="28" spans="1:13">
      <c r="A28" s="3038" t="s">
        <v>2530</v>
      </c>
      <c r="B28" s="3039"/>
      <c r="C28" s="3039"/>
      <c r="D28" s="3039"/>
      <c r="E28" s="3039"/>
      <c r="F28" s="3039"/>
      <c r="G28" s="3040"/>
      <c r="I28" s="3056">
        <v>40</v>
      </c>
      <c r="J28" s="3056">
        <v>96.4</v>
      </c>
      <c r="K28" s="3056">
        <f t="shared" si="2"/>
        <v>2.6000000000000085</v>
      </c>
      <c r="L28" s="3056" t="s">
        <v>2572</v>
      </c>
      <c r="M28" s="3056">
        <v>2</v>
      </c>
    </row>
    <row r="29" spans="1:13">
      <c r="A29" s="3038" t="s">
        <v>2531</v>
      </c>
      <c r="B29" s="3039"/>
      <c r="C29" s="3039"/>
      <c r="D29" s="3039"/>
      <c r="E29" s="3039"/>
      <c r="F29" s="3039"/>
      <c r="G29" s="3040"/>
      <c r="I29" s="3056">
        <v>45</v>
      </c>
      <c r="J29" s="3056">
        <v>98.4</v>
      </c>
      <c r="K29" s="3056">
        <f t="shared" si="2"/>
        <v>2</v>
      </c>
    </row>
    <row r="30" spans="1:13">
      <c r="A30" s="3038" t="s">
        <v>2532</v>
      </c>
      <c r="B30" s="3039"/>
      <c r="C30" s="3039"/>
      <c r="D30" s="3039"/>
      <c r="E30" s="3039"/>
      <c r="F30" s="3039"/>
      <c r="G30" s="3040"/>
      <c r="I30" s="3056">
        <v>50</v>
      </c>
      <c r="J30" s="3056">
        <v>100</v>
      </c>
      <c r="K30" s="3056">
        <f t="shared" si="2"/>
        <v>1.5999999999999943</v>
      </c>
    </row>
    <row r="31" spans="1:13">
      <c r="A31" s="3038" t="s">
        <v>2533</v>
      </c>
      <c r="B31" s="3039"/>
      <c r="C31" s="3039"/>
      <c r="D31" s="3039"/>
      <c r="E31" s="3039"/>
      <c r="F31" s="3039"/>
      <c r="G31" s="3040"/>
      <c r="I31" s="3056" t="s">
        <v>2564</v>
      </c>
    </row>
    <row r="32" spans="1:13">
      <c r="A32" s="3038" t="s">
        <v>2534</v>
      </c>
      <c r="B32" s="3039"/>
      <c r="C32" s="3039"/>
      <c r="D32" s="3039"/>
      <c r="E32" s="3039"/>
      <c r="F32" s="3039"/>
      <c r="G32" s="3040"/>
    </row>
    <row r="33" spans="1:13">
      <c r="A33" s="3038" t="s">
        <v>2535</v>
      </c>
      <c r="B33" s="3039"/>
      <c r="C33" s="3039"/>
      <c r="D33" s="3039"/>
      <c r="E33" s="3039"/>
      <c r="F33" s="3039"/>
      <c r="G33" s="3040"/>
      <c r="I33" s="3056" t="s">
        <v>2563</v>
      </c>
      <c r="J33" s="3056" t="s">
        <v>2573</v>
      </c>
    </row>
    <row r="34" spans="1:13">
      <c r="A34" s="3038" t="s">
        <v>2536</v>
      </c>
      <c r="B34" s="3039"/>
      <c r="C34" s="3039"/>
      <c r="D34" s="3039"/>
      <c r="E34" s="3039"/>
      <c r="F34" s="3039"/>
      <c r="G34" s="3040"/>
      <c r="I34" s="3056">
        <v>5</v>
      </c>
      <c r="J34" s="3056">
        <v>55.1</v>
      </c>
    </row>
    <row r="35" spans="1:13">
      <c r="A35" s="3038" t="s">
        <v>2537</v>
      </c>
      <c r="B35" s="3039"/>
      <c r="C35" s="3039"/>
      <c r="D35" s="3039"/>
      <c r="E35" s="3039"/>
      <c r="F35" s="3039"/>
      <c r="G35" s="3040"/>
      <c r="I35" s="3056">
        <v>10</v>
      </c>
      <c r="J35" s="3056">
        <v>67</v>
      </c>
      <c r="K35" s="3056">
        <f>J35-J34</f>
        <v>11.899999999999999</v>
      </c>
    </row>
    <row r="36" spans="1:13">
      <c r="A36" s="3038" t="s">
        <v>2538</v>
      </c>
      <c r="B36" s="3039"/>
      <c r="C36" s="3039"/>
      <c r="D36" s="3039"/>
      <c r="E36" s="3039"/>
      <c r="F36" s="3039"/>
      <c r="G36" s="3040"/>
      <c r="I36" s="3056">
        <v>15</v>
      </c>
      <c r="J36" s="3056">
        <v>76.3</v>
      </c>
      <c r="K36" s="3056">
        <f t="shared" ref="K36:K41" si="3">J36-J35</f>
        <v>9.2999999999999972</v>
      </c>
      <c r="L36" s="3056" t="s">
        <v>2566</v>
      </c>
      <c r="M36" s="3056" t="s">
        <v>2567</v>
      </c>
    </row>
    <row r="37" spans="1:13">
      <c r="A37" s="3038" t="s">
        <v>2539</v>
      </c>
      <c r="B37" s="3039"/>
      <c r="C37" s="3039"/>
      <c r="D37" s="3039"/>
      <c r="E37" s="3039"/>
      <c r="F37" s="3039"/>
      <c r="G37" s="3040"/>
      <c r="I37" s="3056">
        <v>20</v>
      </c>
      <c r="J37" s="3056">
        <v>83.6</v>
      </c>
      <c r="K37" s="3056">
        <f t="shared" si="3"/>
        <v>7.2999999999999972</v>
      </c>
      <c r="L37" s="3056" t="s">
        <v>2565</v>
      </c>
      <c r="M37" s="3056">
        <v>10</v>
      </c>
    </row>
    <row r="38" spans="1:13">
      <c r="A38" s="3038" t="s">
        <v>2540</v>
      </c>
      <c r="B38" s="3039"/>
      <c r="C38" s="3039"/>
      <c r="D38" s="3039"/>
      <c r="E38" s="3039"/>
      <c r="F38" s="3039"/>
      <c r="G38" s="3040"/>
      <c r="I38" s="3056">
        <v>25</v>
      </c>
      <c r="J38" s="3056">
        <v>89.3</v>
      </c>
      <c r="K38" s="3056">
        <f t="shared" si="3"/>
        <v>5.7000000000000028</v>
      </c>
      <c r="L38" s="3056" t="s">
        <v>2569</v>
      </c>
      <c r="M38" s="3056">
        <v>8</v>
      </c>
    </row>
    <row r="39" spans="1:13">
      <c r="A39" s="3038"/>
      <c r="B39" s="3039"/>
      <c r="C39" s="3039"/>
      <c r="D39" s="3039"/>
      <c r="E39" s="3039"/>
      <c r="F39" s="3039"/>
      <c r="G39" s="3040"/>
      <c r="I39" s="3056">
        <v>30</v>
      </c>
      <c r="J39" s="3056">
        <v>93.8</v>
      </c>
      <c r="K39" s="3056">
        <f t="shared" si="3"/>
        <v>4.5</v>
      </c>
      <c r="L39" s="3056" t="s">
        <v>2570</v>
      </c>
      <c r="M39" s="3056">
        <v>6</v>
      </c>
    </row>
    <row r="40" spans="1:13">
      <c r="A40" s="3041" t="s">
        <v>2541</v>
      </c>
      <c r="B40" s="3042"/>
      <c r="C40" s="3042"/>
      <c r="D40" s="3042"/>
      <c r="E40" s="3042"/>
      <c r="F40" s="3042"/>
      <c r="G40" s="3043"/>
      <c r="I40" s="3056">
        <v>35</v>
      </c>
      <c r="J40" s="3056">
        <v>97.2</v>
      </c>
      <c r="K40" s="3056">
        <f t="shared" si="3"/>
        <v>3.4000000000000057</v>
      </c>
      <c r="L40" s="3056" t="s">
        <v>2571</v>
      </c>
      <c r="M40" s="3056">
        <v>3</v>
      </c>
    </row>
    <row r="41" spans="1:13">
      <c r="A41" s="3044" t="s">
        <v>2542</v>
      </c>
      <c r="B41" s="3045" t="s">
        <v>2543</v>
      </c>
      <c r="C41" s="3046" t="s">
        <v>2544</v>
      </c>
      <c r="D41" s="3046" t="s">
        <v>2545</v>
      </c>
      <c r="E41" s="3047"/>
      <c r="F41" s="3048"/>
      <c r="G41" s="3049"/>
      <c r="I41" s="3056">
        <v>40</v>
      </c>
      <c r="J41" s="3056">
        <v>100</v>
      </c>
      <c r="K41" s="3056">
        <f t="shared" si="3"/>
        <v>2.7999999999999972</v>
      </c>
    </row>
    <row r="42" spans="1:13">
      <c r="A42" s="3044" t="s">
        <v>2546</v>
      </c>
      <c r="B42" s="3045" t="s">
        <v>2547</v>
      </c>
      <c r="C42" s="3046" t="s">
        <v>2548</v>
      </c>
      <c r="D42" s="3050" t="s">
        <v>2549</v>
      </c>
      <c r="E42" s="3042" t="s">
        <v>2550</v>
      </c>
      <c r="F42" s="3042"/>
      <c r="G42" s="3043"/>
    </row>
    <row r="43" spans="1:13">
      <c r="A43" s="3044" t="s">
        <v>2551</v>
      </c>
      <c r="B43" s="3045" t="s">
        <v>2552</v>
      </c>
      <c r="C43" s="3046" t="s">
        <v>2553</v>
      </c>
      <c r="D43" s="3046" t="s">
        <v>2554</v>
      </c>
      <c r="E43" s="3047" t="s">
        <v>2555</v>
      </c>
      <c r="F43" s="3048"/>
      <c r="G43" s="3049"/>
      <c r="I43" s="3056" t="s">
        <v>2563</v>
      </c>
      <c r="J43" s="3056" t="s">
        <v>2574</v>
      </c>
    </row>
    <row r="44" spans="1:13">
      <c r="A44" s="3044" t="s">
        <v>2556</v>
      </c>
      <c r="B44" s="3045" t="s">
        <v>2557</v>
      </c>
      <c r="C44" s="3046" t="s">
        <v>2558</v>
      </c>
      <c r="D44" s="3050">
        <v>0.5</v>
      </c>
      <c r="E44" s="3047" t="s">
        <v>2559</v>
      </c>
      <c r="F44" s="3048"/>
      <c r="G44" s="3049"/>
      <c r="I44" s="3056">
        <v>30</v>
      </c>
      <c r="J44" s="3056">
        <v>81.7</v>
      </c>
    </row>
    <row r="45" spans="1:13" ht="14.25" thickBot="1">
      <c r="A45" s="3051" t="s">
        <v>2560</v>
      </c>
      <c r="B45" s="3052" t="s">
        <v>2547</v>
      </c>
      <c r="C45" s="3053" t="s">
        <v>2547</v>
      </c>
      <c r="D45" s="3053" t="s">
        <v>2561</v>
      </c>
      <c r="E45" s="3054" t="s">
        <v>2562</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6" sqref="F6"/>
    </sheetView>
  </sheetViews>
  <sheetFormatPr defaultColWidth="10" defaultRowHeight="12.75"/>
  <cols>
    <col min="1" max="1" width="16.875" style="1744" customWidth="1"/>
    <col min="2" max="2" width="13.625" style="1744" customWidth="1"/>
    <col min="3" max="3" width="11.5" style="1744" customWidth="1"/>
    <col min="4" max="4" width="11.75" style="1744" customWidth="1"/>
    <col min="5" max="5" width="12.625" style="1744" customWidth="1"/>
    <col min="6" max="6" width="10" style="1744" customWidth="1"/>
    <col min="7" max="7" width="10.75" style="1744" customWidth="1"/>
    <col min="8" max="8" width="10" style="1744" customWidth="1"/>
    <col min="9" max="9" width="11.125" style="1579"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2163</v>
      </c>
      <c r="B1" s="3510" t="str">
        <f>IF(B10="北京市","北京市",C10)&amp;F10&amp;IF(结果表!G1="在建","出让国有建设用地使用权及在建建筑物",IF(结果表!G1="土地","出让国有建设用地使用权",))&amp;B9&amp;"预评估"</f>
        <v>北京市平谷区金海湖镇PG06-0100-6019地块1宗商业、地下车库用地房地产抵押价值预评估</v>
      </c>
      <c r="C1" s="3511"/>
      <c r="D1" s="3511"/>
      <c r="E1" s="3511"/>
      <c r="F1" s="3511"/>
      <c r="G1" s="3511"/>
      <c r="H1" s="3511"/>
      <c r="I1" s="3512"/>
      <c r="J1" s="2469"/>
      <c r="K1" s="2367"/>
      <c r="L1" s="2368"/>
      <c r="M1" s="2368"/>
      <c r="N1" s="2369"/>
      <c r="O1" s="1576"/>
      <c r="P1" s="2369"/>
      <c r="Q1" s="2369"/>
      <c r="R1" s="2369"/>
      <c r="S1" s="1681" t="str">
        <f>IF(B10="北京市","北京市",C10)&amp;F10&amp;IF(结果表!G1="在建","出让国有建设用地使用权及在建建筑物房地产抵押价值",IF(结果表!G1="土地","出让国有建设用地使用权抵押价值",B9))</f>
        <v>北京市平谷区金海湖镇PG06-0100-6019地块1宗商业、地下车库用地房地产抵押价值</v>
      </c>
      <c r="T1" s="1744"/>
      <c r="U1" s="1744"/>
      <c r="V1" s="1744"/>
      <c r="W1" s="1744"/>
      <c r="X1" s="1744"/>
      <c r="Y1" s="1744"/>
      <c r="Z1" s="1744"/>
      <c r="AA1" s="1744"/>
      <c r="AB1" s="1744"/>
    </row>
    <row r="2" spans="1:30">
      <c r="A2" s="2366" t="s">
        <v>2164</v>
      </c>
      <c r="B2" s="2370"/>
      <c r="C2" s="2371"/>
      <c r="D2" s="2668"/>
      <c r="E2" s="2660"/>
      <c r="F2" s="2660"/>
      <c r="G2" s="2661"/>
      <c r="H2" s="2661"/>
      <c r="I2" s="2661"/>
      <c r="J2" s="2469"/>
      <c r="K2" s="2367"/>
      <c r="L2" s="2368"/>
      <c r="M2" s="2368"/>
      <c r="N2" s="2369"/>
      <c r="O2" s="1576"/>
      <c r="P2" s="2369"/>
      <c r="Q2" s="2369"/>
      <c r="R2" s="2369"/>
      <c r="S2" s="1681" t="str">
        <f>IF(B10="北京市","北京市",C10)&amp;F10&amp;IF(结果表!G1="在建","出让国有建设用地使用权及在建建筑物房地产",IF(结果表!G1="土地","出让国有建设用地使用权","房地产"))</f>
        <v>北京市平谷区金海湖镇PG06-0100-6019地块1宗商业、地下车库用地房地产</v>
      </c>
      <c r="T2" s="1744"/>
      <c r="U2" s="1744"/>
      <c r="V2" s="1744"/>
      <c r="W2" s="1744"/>
      <c r="X2" s="1744"/>
      <c r="Y2" s="1744"/>
      <c r="Z2" s="1744"/>
      <c r="AA2" s="1744"/>
      <c r="AB2" s="1744"/>
    </row>
    <row r="3" spans="1:30" ht="14.25">
      <c r="A3" s="302" t="s">
        <v>2165</v>
      </c>
      <c r="B3" s="3451">
        <v>45217</v>
      </c>
      <c r="C3" s="2372" t="s">
        <v>2166</v>
      </c>
      <c r="D3" s="3451">
        <v>45217</v>
      </c>
      <c r="E3" s="2661"/>
      <c r="F3" s="2661"/>
      <c r="G3" s="2661"/>
      <c r="H3" s="2661"/>
      <c r="I3" s="2661"/>
      <c r="J3" s="2469"/>
      <c r="K3" s="2367"/>
      <c r="L3" s="2368"/>
      <c r="M3" s="2368"/>
      <c r="N3" s="2369"/>
      <c r="O3" s="1576"/>
      <c r="P3" s="2369"/>
      <c r="Q3" s="2369"/>
      <c r="R3" s="2369"/>
      <c r="S3" s="1681"/>
      <c r="T3" s="1744"/>
      <c r="U3" s="1744"/>
      <c r="V3" s="1744"/>
      <c r="W3" s="1744"/>
      <c r="X3" s="1744"/>
      <c r="Y3" s="1744"/>
      <c r="Z3" s="1744"/>
      <c r="AA3" s="1744"/>
      <c r="AB3" s="1744"/>
    </row>
    <row r="4" spans="1:30" ht="13.5" thickBot="1">
      <c r="A4" s="1090" t="s">
        <v>2167</v>
      </c>
      <c r="B4" s="2373" t="s">
        <v>3444</v>
      </c>
      <c r="C4" s="2374">
        <f ca="1">SUMIF(注册房地产估价师,B4,估价师及机构信息!B3:B24)</f>
        <v>1120070131</v>
      </c>
      <c r="D4" s="2373" t="s">
        <v>3445</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7"/>
      <c r="K4" s="2376" t="str">
        <f ca="1">CONCATENATE(B4,"（注册号：",C4,")、",D4,"（注册号：",E4,")")</f>
        <v>郑燚（注册号：1120070131)、吴薇（注册号：1419970001)</v>
      </c>
      <c r="L4" s="2368"/>
      <c r="M4" s="2368"/>
      <c r="N4" s="2369"/>
      <c r="O4" s="1576"/>
      <c r="P4" s="2369"/>
      <c r="Q4" s="2369"/>
      <c r="R4" s="2369"/>
      <c r="S4" s="1681"/>
      <c r="T4" s="1744"/>
      <c r="U4" s="1744"/>
      <c r="V4" s="1744"/>
      <c r="W4" s="1744"/>
      <c r="X4" s="1744"/>
      <c r="Y4" s="1744"/>
      <c r="Z4" s="1744"/>
      <c r="AA4" s="1744"/>
      <c r="AB4" s="1744"/>
    </row>
    <row r="5" spans="1:30" ht="13.5" thickTop="1">
      <c r="A5" s="2377" t="s">
        <v>2168</v>
      </c>
      <c r="B5" s="2378"/>
      <c r="C5" s="2379"/>
      <c r="D5" s="2380"/>
      <c r="E5" s="2662"/>
      <c r="F5" s="2662"/>
      <c r="G5" s="2662"/>
      <c r="H5" s="2662"/>
      <c r="I5" s="2662"/>
      <c r="J5" s="2437"/>
      <c r="K5" s="2376" t="str">
        <f>IF(F4="——","",IF(H4="——",F4&amp;"（注册号："&amp;G4&amp;")",CONCATENATE(F4,"（注册号：",G4,")、",H4,"（注册号：",I4,")")))</f>
        <v>（注册号：0)、（注册号：0)</v>
      </c>
      <c r="L5" s="2368"/>
      <c r="M5" s="2368"/>
      <c r="N5" s="2369"/>
      <c r="O5" s="1576"/>
      <c r="P5" s="2369"/>
      <c r="Q5" s="2369"/>
      <c r="R5" s="2369"/>
      <c r="S5" s="1744"/>
      <c r="T5" s="1744"/>
      <c r="U5" s="1744"/>
      <c r="V5" s="1744"/>
      <c r="W5" s="1744"/>
      <c r="X5" s="1744"/>
      <c r="Y5" s="1744"/>
      <c r="Z5" s="1744"/>
      <c r="AA5" s="1744"/>
      <c r="AB5" s="1744"/>
    </row>
    <row r="6" spans="1:30">
      <c r="A6" s="2381" t="s">
        <v>2169</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2170</v>
      </c>
      <c r="B7" s="2385"/>
      <c r="C7" s="2383"/>
      <c r="D7" s="2384"/>
      <c r="E7" s="2660"/>
      <c r="F7" s="2662"/>
      <c r="G7" s="2662"/>
      <c r="H7" s="2662"/>
      <c r="I7" s="2662"/>
      <c r="J7" s="2437"/>
      <c r="K7" s="2614"/>
      <c r="L7" s="2611"/>
      <c r="M7" s="2611"/>
      <c r="N7" s="2437"/>
      <c r="O7" s="2448"/>
      <c r="P7" s="2437"/>
      <c r="Q7" s="2437"/>
      <c r="R7" s="2437"/>
    </row>
    <row r="8" spans="1:30">
      <c r="A8" s="2386" t="s">
        <v>2171</v>
      </c>
      <c r="B8" s="2387" t="s">
        <v>3389</v>
      </c>
      <c r="C8" s="2388"/>
      <c r="D8" s="3513" t="s">
        <v>2172</v>
      </c>
      <c r="E8" s="2389" t="s">
        <v>3390</v>
      </c>
      <c r="F8" s="2390"/>
      <c r="G8" s="2661"/>
      <c r="H8" s="2661"/>
      <c r="I8" s="2661"/>
      <c r="J8" s="2437"/>
      <c r="K8" s="2612"/>
      <c r="L8" s="2611"/>
      <c r="M8" s="2611"/>
      <c r="N8" s="2437"/>
      <c r="O8" s="2448"/>
      <c r="P8" s="2437"/>
      <c r="Q8" s="2437"/>
      <c r="R8" s="2437"/>
    </row>
    <row r="9" spans="1:30" ht="13.5" thickBot="1">
      <c r="A9" s="2391" t="s">
        <v>2173</v>
      </c>
      <c r="B9" s="2392" t="s">
        <v>3390</v>
      </c>
      <c r="C9" s="2393"/>
      <c r="D9" s="3514"/>
      <c r="E9" s="2392"/>
      <c r="F9" s="2394"/>
      <c r="G9" s="2663"/>
      <c r="H9" s="2663"/>
      <c r="I9" s="2663"/>
      <c r="J9" s="2437"/>
      <c r="K9" s="2614"/>
      <c r="L9" s="2611"/>
      <c r="M9" s="2611"/>
      <c r="N9" s="2437"/>
      <c r="O9" s="2448"/>
      <c r="P9" s="2437"/>
      <c r="Q9" s="2437"/>
      <c r="R9" s="2437"/>
    </row>
    <row r="10" spans="1:30" ht="13.5" thickTop="1">
      <c r="A10" s="2395" t="s">
        <v>2174</v>
      </c>
      <c r="B10" s="2396" t="s">
        <v>3391</v>
      </c>
      <c r="C10" s="2397"/>
      <c r="D10" s="2380"/>
      <c r="E10" s="2398" t="s">
        <v>2175</v>
      </c>
      <c r="F10" s="2664" t="s">
        <v>3388</v>
      </c>
      <c r="G10" s="2665"/>
      <c r="H10" s="2666"/>
      <c r="I10" s="2667"/>
      <c r="J10" s="2437"/>
      <c r="K10" s="2614"/>
      <c r="L10" s="2611"/>
      <c r="M10" s="2611"/>
      <c r="N10" s="2437"/>
      <c r="O10" s="2448"/>
      <c r="P10" s="2437"/>
      <c r="Q10" s="2437"/>
      <c r="R10" s="2437"/>
    </row>
    <row r="11" spans="1:30">
      <c r="A11" s="2399" t="s">
        <v>2176</v>
      </c>
      <c r="B11" s="2400" t="s">
        <v>3392</v>
      </c>
      <c r="C11" s="2401"/>
      <c r="D11" s="2402"/>
      <c r="E11" s="2369"/>
      <c r="F11" s="2369"/>
      <c r="G11" s="2369"/>
      <c r="H11" s="2369"/>
      <c r="I11" s="2369"/>
      <c r="J11" s="3059"/>
      <c r="K11" s="3058"/>
      <c r="L11" s="2611"/>
      <c r="M11" s="2611"/>
      <c r="N11" s="2437"/>
      <c r="O11" s="2448"/>
      <c r="P11" s="2437"/>
      <c r="Q11" s="2437"/>
      <c r="R11" s="2437"/>
    </row>
    <row r="12" spans="1:30">
      <c r="A12" s="2403" t="s">
        <v>2177</v>
      </c>
      <c r="B12" s="323" t="s">
        <v>2178</v>
      </c>
      <c r="C12" s="2404" t="s">
        <v>2179</v>
      </c>
      <c r="D12" s="2404" t="s">
        <v>2180</v>
      </c>
      <c r="E12" s="2404" t="s">
        <v>2181</v>
      </c>
      <c r="F12" s="2404" t="s">
        <v>2182</v>
      </c>
      <c r="G12" s="2404" t="s">
        <v>2183</v>
      </c>
      <c r="H12" s="2404" t="s">
        <v>2184</v>
      </c>
      <c r="I12" s="3057" t="s">
        <v>2575</v>
      </c>
      <c r="J12" s="3060"/>
      <c r="K12" s="2611"/>
      <c r="L12" s="2611"/>
      <c r="M12" s="2437"/>
      <c r="N12" s="2448"/>
      <c r="O12" s="2437"/>
      <c r="P12" s="2437"/>
      <c r="Q12" s="2437"/>
      <c r="AD12" s="1744"/>
    </row>
    <row r="13" spans="1:30" ht="14.25">
      <c r="A13" s="3419" t="s">
        <v>3332</v>
      </c>
      <c r="B13" s="2405" t="s">
        <v>2185</v>
      </c>
      <c r="C13" s="3452">
        <v>69141</v>
      </c>
      <c r="D13" s="3452">
        <v>58183</v>
      </c>
      <c r="E13" s="3452">
        <v>61836</v>
      </c>
      <c r="F13" s="3452">
        <f>E13</f>
        <v>61836</v>
      </c>
      <c r="G13" s="3452">
        <f>E13</f>
        <v>61836</v>
      </c>
      <c r="H13" s="856"/>
      <c r="I13" s="856"/>
      <c r="J13" s="3060"/>
      <c r="K13" s="2611"/>
      <c r="L13" s="2611"/>
      <c r="M13" s="2437"/>
      <c r="N13" s="2448"/>
      <c r="O13" s="2437"/>
      <c r="P13" s="2437"/>
      <c r="Q13" s="2437"/>
      <c r="AD13" s="1744"/>
    </row>
    <row r="14" spans="1:30">
      <c r="A14" s="1081"/>
      <c r="B14" s="2405" t="s">
        <v>2186</v>
      </c>
      <c r="C14" s="2406">
        <v>70</v>
      </c>
      <c r="D14" s="2406">
        <v>40</v>
      </c>
      <c r="E14" s="2406">
        <v>50</v>
      </c>
      <c r="F14" s="2406">
        <v>50</v>
      </c>
      <c r="G14" s="2406">
        <v>50</v>
      </c>
      <c r="H14" s="2406"/>
      <c r="I14" s="2406"/>
      <c r="J14" s="3061"/>
      <c r="K14" s="2611"/>
      <c r="L14" s="2611"/>
      <c r="M14" s="2437"/>
      <c r="N14" s="2448"/>
      <c r="O14" s="2437"/>
      <c r="P14" s="2437"/>
      <c r="Q14" s="2437"/>
      <c r="AD14" s="1744"/>
    </row>
    <row r="15" spans="1:30">
      <c r="A15" s="320"/>
      <c r="B15" s="2407" t="s">
        <v>2187</v>
      </c>
      <c r="C15" s="2408">
        <f>IF(A13="出让",IF(C13="","",ROUNDDOWN(MIN((C13-$D$3)/365,C14),2)),C14)</f>
        <v>65.540000000000006</v>
      </c>
      <c r="D15" s="2408">
        <f>IF(A13="出让",IF(D13="","",ROUNDDOWN(MIN((D13-$D$3)/365,D14),2)),D14)</f>
        <v>35.520000000000003</v>
      </c>
      <c r="E15" s="2408">
        <f>IF(A13="出让",IF(E13="","",ROUNDDOWN(MIN((E13-$D$3)/365,E14),2)),E14)</f>
        <v>45.53</v>
      </c>
      <c r="F15" s="2408">
        <f>IF(A13="出让",IF(F13="","",ROUNDDOWN(MIN((F13-$D$3)/365,F14),2)),F14)</f>
        <v>45.53</v>
      </c>
      <c r="G15" s="2408">
        <f>IF(A13="出让",IF(G13="","",ROUNDDOWN(MIN((G13-$D$3)/365,G14),2)),G14)</f>
        <v>45.53</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2188</v>
      </c>
      <c r="B16" s="3520"/>
      <c r="C16" s="3521"/>
      <c r="D16" s="3522"/>
      <c r="E16" s="2411" t="s">
        <v>2189</v>
      </c>
      <c r="F16" s="3523"/>
      <c r="G16" s="3524"/>
      <c r="H16" s="3524"/>
      <c r="I16" s="3525"/>
      <c r="J16" s="2437"/>
      <c r="K16" s="2615"/>
      <c r="L16" s="2449"/>
      <c r="M16" s="2449"/>
      <c r="N16" s="2507"/>
      <c r="O16" s="2449"/>
      <c r="P16" s="2507"/>
      <c r="Q16" s="2437"/>
      <c r="R16" s="2437"/>
    </row>
    <row r="17" spans="1:28">
      <c r="A17" s="313" t="s">
        <v>2190</v>
      </c>
      <c r="B17" s="302" t="s">
        <v>2191</v>
      </c>
      <c r="C17" s="8">
        <f>'数据-汇总表'!E3</f>
        <v>9801.27</v>
      </c>
      <c r="D17" s="2321" t="s">
        <v>2192</v>
      </c>
      <c r="E17" s="3526" t="s">
        <v>2193</v>
      </c>
      <c r="F17" s="3527"/>
      <c r="G17" s="3527"/>
      <c r="H17" s="3527"/>
      <c r="I17" s="3528"/>
      <c r="J17" s="2437"/>
      <c r="K17" s="2616"/>
      <c r="L17" s="2449"/>
      <c r="M17" s="2449"/>
      <c r="N17" s="2507"/>
      <c r="O17" s="2449"/>
      <c r="P17" s="2507"/>
      <c r="Q17" s="2437"/>
      <c r="R17" s="2437"/>
      <c r="S17" s="2437"/>
      <c r="T17" s="2437"/>
      <c r="U17" s="2437"/>
      <c r="V17" s="2437"/>
    </row>
    <row r="18" spans="1:28" ht="24.75" thickBot="1">
      <c r="A18" s="2412" t="s">
        <v>2194</v>
      </c>
      <c r="B18" s="1090" t="s">
        <v>2195</v>
      </c>
      <c r="C18" s="2413">
        <f>'数据-汇总表'!D3</f>
        <v>7720.87</v>
      </c>
      <c r="D18" s="1092" t="s">
        <v>2196</v>
      </c>
      <c r="E18" s="3529" t="s">
        <v>2197</v>
      </c>
      <c r="F18" s="3530"/>
      <c r="G18" s="3530"/>
      <c r="H18" s="3530"/>
      <c r="I18" s="3531"/>
      <c r="J18" s="2437"/>
      <c r="K18" s="2616"/>
      <c r="L18" s="2449"/>
      <c r="M18" s="2449"/>
      <c r="N18" s="2507"/>
      <c r="O18" s="2449"/>
      <c r="P18" s="2507"/>
      <c r="Q18" s="2437"/>
      <c r="R18" s="2437"/>
      <c r="S18" s="2437"/>
      <c r="T18" s="2437"/>
      <c r="U18" s="2437"/>
      <c r="V18" s="2437"/>
    </row>
    <row r="19" spans="1:28" ht="25.5" thickTop="1" thickBot="1">
      <c r="A19" s="327" t="s">
        <v>1051</v>
      </c>
      <c r="B19" s="307" t="s">
        <v>2198</v>
      </c>
      <c r="C19" s="1563"/>
      <c r="D19" s="1564" t="s">
        <v>2199</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2200</v>
      </c>
      <c r="B20" s="3516" t="s">
        <v>2201</v>
      </c>
      <c r="C20" s="3517"/>
      <c r="D20" s="3518" t="s">
        <v>2202</v>
      </c>
      <c r="E20" s="3519"/>
      <c r="F20" s="2645" t="s">
        <v>1052</v>
      </c>
      <c r="G20" s="2662"/>
      <c r="H20" s="2662"/>
      <c r="I20" s="2662"/>
      <c r="J20" s="2437"/>
      <c r="K20" s="3515"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2204</v>
      </c>
      <c r="C21" s="2632" t="s">
        <v>1053</v>
      </c>
      <c r="D21" s="1568" t="s">
        <v>2205</v>
      </c>
      <c r="E21" s="2633" t="s">
        <v>1053</v>
      </c>
      <c r="F21" s="2646"/>
      <c r="G21" s="2662"/>
      <c r="H21" s="2662"/>
      <c r="I21" s="2662"/>
      <c r="J21" s="2437"/>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2206</v>
      </c>
      <c r="C22" s="2632" t="s">
        <v>1054</v>
      </c>
      <c r="D22" s="2661"/>
      <c r="E22" s="2661"/>
      <c r="F22" s="2661"/>
      <c r="G22" s="2662"/>
      <c r="H22" s="2662"/>
      <c r="I22" s="2662"/>
      <c r="J22" s="2437"/>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1055</v>
      </c>
      <c r="C24" s="2639"/>
      <c r="D24" s="2635" t="s">
        <v>1055</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1056</v>
      </c>
      <c r="C25" s="2639"/>
      <c r="D25" s="2635" t="s">
        <v>1056</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1057</v>
      </c>
      <c r="C26" s="2643"/>
      <c r="D26" s="2641" t="s">
        <v>1057</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3" t="s">
        <v>2209</v>
      </c>
      <c r="B27" s="320" t="s">
        <v>2210</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3"/>
      <c r="B28" s="302" t="s">
        <v>2211</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3"/>
      <c r="B29" s="302" t="s">
        <v>2212</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4"/>
      <c r="B30" s="302" t="s">
        <v>2213</v>
      </c>
      <c r="C30" s="3535"/>
      <c r="D30" s="3536"/>
      <c r="E30" s="2662"/>
      <c r="F30" s="2662"/>
      <c r="G30" s="2662"/>
      <c r="H30" s="2662"/>
      <c r="I30" s="2662"/>
      <c r="J30" s="2437"/>
      <c r="K30" s="2614"/>
      <c r="L30" s="2611"/>
      <c r="M30" s="2611"/>
      <c r="N30" s="2437"/>
      <c r="O30" s="2448"/>
      <c r="P30" s="2437"/>
      <c r="Q30" s="2437"/>
      <c r="R30" s="2437"/>
      <c r="S30" s="2437"/>
      <c r="T30" s="2437"/>
      <c r="U30" s="2437"/>
      <c r="V30" s="2437"/>
    </row>
    <row r="31" spans="1:28">
      <c r="A31" s="3537" t="s">
        <v>2214</v>
      </c>
      <c r="B31" s="2420"/>
      <c r="C31" s="2322"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38"/>
      <c r="B32" s="2420"/>
      <c r="C32" s="2322"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38"/>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2215</v>
      </c>
      <c r="B34" s="2025"/>
      <c r="C34" s="2025"/>
      <c r="D34" s="2025"/>
      <c r="E34" s="2025"/>
      <c r="F34" s="2025"/>
      <c r="G34" s="2025"/>
      <c r="H34" s="2025"/>
      <c r="I34" s="2662"/>
      <c r="J34" s="2437"/>
      <c r="K34" s="2425">
        <f>COUNTIF(B34:H34,"——")</f>
        <v>0</v>
      </c>
      <c r="L34" s="323" t="s">
        <v>2216</v>
      </c>
      <c r="M34" s="323" t="s">
        <v>2217</v>
      </c>
      <c r="N34" s="323" t="s">
        <v>2218</v>
      </c>
      <c r="O34" s="323" t="s">
        <v>2219</v>
      </c>
      <c r="P34" s="323" t="s">
        <v>2220</v>
      </c>
      <c r="Q34" s="323" t="s">
        <v>2221</v>
      </c>
      <c r="R34" s="323" t="s">
        <v>2222</v>
      </c>
      <c r="S34" s="3532" t="s">
        <v>2223</v>
      </c>
      <c r="T34" s="2426" t="str">
        <f>NUMBERSTRING(7-K34,1)&amp;"通"</f>
        <v>七通</v>
      </c>
      <c r="U34" s="2437"/>
      <c r="V34" s="2437"/>
    </row>
    <row r="35" spans="1:30">
      <c r="A35" s="2427"/>
      <c r="B35" s="3539" t="s">
        <v>2224</v>
      </c>
      <c r="C35" s="3539"/>
      <c r="D35" s="3539"/>
      <c r="E35" s="3539"/>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2"/>
      <c r="T35" s="329" t="str">
        <f>IF(T34="一通",L35,IF(T34="二通",M35,IF(T34="三通",N35,IF(T34="四通",O35,IF(T34="五通",P35,IF(T34="六通",Q35,R35))))))</f>
        <v>、、、、、、</v>
      </c>
      <c r="U35" s="2437"/>
      <c r="V35" s="2437"/>
    </row>
    <row r="36" spans="1:30">
      <c r="A36" s="2428"/>
      <c r="B36" s="664" t="s">
        <v>2180</v>
      </c>
      <c r="C36" s="664" t="s">
        <v>2181</v>
      </c>
      <c r="D36" s="664" t="s">
        <v>2179</v>
      </c>
      <c r="E36" s="664" t="s">
        <v>2184</v>
      </c>
      <c r="F36" s="3063" t="s">
        <v>2578</v>
      </c>
      <c r="G36" s="2662"/>
      <c r="H36" s="2662"/>
      <c r="I36" s="2662"/>
      <c r="J36" s="2437"/>
      <c r="K36" s="2614"/>
      <c r="L36" s="2611"/>
      <c r="M36" s="2611"/>
      <c r="N36" s="2437"/>
      <c r="O36" s="2448"/>
      <c r="P36" s="2437"/>
      <c r="Q36" s="2437"/>
      <c r="R36" s="2437"/>
      <c r="S36" s="2437"/>
      <c r="T36" s="2437"/>
      <c r="U36" s="2437"/>
      <c r="V36" s="2437"/>
    </row>
    <row r="37" spans="1:30" ht="14.25">
      <c r="A37" s="2628" t="s">
        <v>2225</v>
      </c>
      <c r="B37" s="3453" t="s">
        <v>369</v>
      </c>
      <c r="C37" s="3453" t="s">
        <v>369</v>
      </c>
      <c r="D37" s="3453" t="s">
        <v>369</v>
      </c>
      <c r="E37" s="3453" t="s">
        <v>369</v>
      </c>
      <c r="F37" s="2429"/>
      <c r="G37" s="2662"/>
      <c r="H37" s="2662"/>
      <c r="I37" s="2662"/>
      <c r="J37" s="2437"/>
      <c r="K37" s="2614"/>
      <c r="L37" s="2611"/>
      <c r="M37" s="2611"/>
      <c r="N37" s="2437"/>
      <c r="O37" s="2448"/>
      <c r="P37" s="2437"/>
      <c r="Q37" s="2437"/>
      <c r="R37" s="2437"/>
      <c r="S37" s="2437"/>
      <c r="T37" s="2437"/>
      <c r="U37" s="2437"/>
      <c r="V37" s="2437"/>
    </row>
    <row r="38" spans="1:30" ht="15" thickBot="1">
      <c r="A38" s="2629" t="s">
        <v>2226</v>
      </c>
      <c r="B38" s="3453" t="s">
        <v>229</v>
      </c>
      <c r="C38" s="3453" t="s">
        <v>229</v>
      </c>
      <c r="D38" s="3453" t="s">
        <v>229</v>
      </c>
      <c r="E38" s="3453" t="s">
        <v>229</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8"/>
      <c r="J40" s="2507"/>
      <c r="K40" s="2613"/>
      <c r="L40" s="2449"/>
      <c r="M40" s="2449"/>
      <c r="N40" s="2507"/>
      <c r="O40" s="2449"/>
      <c r="P40" s="2437"/>
      <c r="Q40" s="2437"/>
      <c r="R40" s="2437"/>
      <c r="S40" s="2437"/>
      <c r="T40" s="2437"/>
      <c r="U40" s="2437"/>
      <c r="V40" s="2437"/>
    </row>
    <row r="41" spans="1:30">
      <c r="A41" s="2434" t="s">
        <v>2228</v>
      </c>
      <c r="B41" s="1756"/>
      <c r="C41" s="1373"/>
      <c r="D41" s="2369"/>
      <c r="E41" s="2369"/>
      <c r="F41" s="2369"/>
      <c r="G41" s="2369"/>
      <c r="H41" s="2369"/>
      <c r="I41" s="1576"/>
      <c r="J41" s="2437"/>
      <c r="K41" s="2614"/>
      <c r="L41" s="2611"/>
      <c r="M41" s="2611"/>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2"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70"/>
      <c r="B51" s="1570"/>
      <c r="C51" s="1051"/>
      <c r="D51" s="1051"/>
      <c r="E51" s="1051"/>
      <c r="F51" s="1051"/>
      <c r="G51" s="1051"/>
      <c r="H51" s="1051"/>
      <c r="I51" s="1051"/>
      <c r="J51" s="2435"/>
      <c r="K51" s="2436"/>
      <c r="L51" s="2436"/>
      <c r="M51" s="1051"/>
      <c r="N51" s="1051"/>
      <c r="O51" s="1051"/>
      <c r="P51" s="1051"/>
      <c r="Q51" s="1051"/>
      <c r="R51" s="1051"/>
    </row>
    <row r="52" spans="1:22" s="1742" customFormat="1">
      <c r="A52" s="1570"/>
      <c r="B52" s="1570"/>
      <c r="C52" s="1570"/>
      <c r="D52" s="1570"/>
      <c r="E52" s="1570"/>
      <c r="F52" s="1051"/>
      <c r="G52" s="1570"/>
      <c r="H52" s="1570"/>
      <c r="I52" s="1570"/>
      <c r="J52" s="2438"/>
      <c r="K52" s="2436"/>
      <c r="L52" s="2436"/>
      <c r="M52" s="2436"/>
      <c r="N52" s="1570"/>
      <c r="O52" s="1570"/>
      <c r="P52" s="1570"/>
      <c r="Q52" s="1570"/>
      <c r="R52" s="1570"/>
    </row>
    <row r="53" spans="1:22" s="1742" customFormat="1">
      <c r="A53" s="1570"/>
      <c r="B53" s="1570"/>
      <c r="C53" s="1570"/>
      <c r="D53" s="1570"/>
      <c r="E53" s="1570"/>
      <c r="F53" s="1051"/>
      <c r="G53" s="1570"/>
      <c r="H53" s="1570"/>
      <c r="I53" s="1570"/>
      <c r="J53" s="2438"/>
      <c r="K53" s="2436"/>
      <c r="L53" s="2436"/>
      <c r="M53" s="2436"/>
      <c r="N53" s="1570"/>
      <c r="O53" s="1570"/>
      <c r="P53" s="1570"/>
      <c r="Q53" s="1570"/>
      <c r="R53" s="1570"/>
    </row>
    <row r="54" spans="1:22" s="1742" customFormat="1">
      <c r="A54" s="1570"/>
      <c r="B54" s="1570"/>
      <c r="C54" s="1570"/>
      <c r="D54" s="1570"/>
      <c r="E54" s="1570"/>
      <c r="F54" s="1051"/>
      <c r="G54" s="1570"/>
      <c r="H54" s="1570"/>
      <c r="I54" s="1570"/>
      <c r="J54" s="2438"/>
      <c r="K54" s="2436"/>
      <c r="L54" s="2436"/>
      <c r="M54" s="2436"/>
      <c r="N54" s="1570"/>
      <c r="O54" s="1570"/>
      <c r="P54" s="1570"/>
      <c r="Q54" s="1570"/>
      <c r="R54" s="1570"/>
    </row>
    <row r="55" spans="1:22" s="1742" customFormat="1">
      <c r="A55" s="1570"/>
      <c r="B55" s="1570"/>
      <c r="C55" s="1570"/>
      <c r="D55" s="1570"/>
      <c r="E55" s="1570"/>
      <c r="F55" s="1051"/>
      <c r="G55" s="1570"/>
      <c r="H55" s="1570"/>
      <c r="I55" s="1570"/>
      <c r="J55" s="2438"/>
      <c r="K55" s="2436"/>
      <c r="L55" s="2436"/>
      <c r="M55" s="2436"/>
      <c r="N55" s="1570"/>
      <c r="O55" s="1570"/>
      <c r="P55" s="1570"/>
      <c r="Q55" s="1570"/>
      <c r="R55" s="1570"/>
    </row>
    <row r="56" spans="1:22" s="1742"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AI18" sqref="AI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3" customWidth="1"/>
    <col min="7" max="8" width="10" style="1573" customWidth="1"/>
    <col min="9" max="9" width="10.625" style="1573" customWidth="1"/>
    <col min="10" max="10" width="9.5" style="1573" hidden="1"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9817.3700000000008</v>
      </c>
      <c r="B3" s="11">
        <f>IF(C3="否",G5-AT5,G5)</f>
        <v>14364.919999999998</v>
      </c>
      <c r="C3" s="1580" t="s">
        <v>3396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v>7720.87</v>
      </c>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1066</v>
      </c>
      <c r="B5" s="1347"/>
      <c r="C5" s="1347"/>
      <c r="D5" s="1349"/>
      <c r="E5" s="13" t="s">
        <v>0</v>
      </c>
      <c r="F5" s="13">
        <f>SUM(F13:F587)</f>
        <v>0</v>
      </c>
      <c r="G5" s="13">
        <f>SUM(G13:G587)</f>
        <v>14364.919999999998</v>
      </c>
      <c r="H5" s="13">
        <f t="shared" ref="H5:AT5" si="0">SUM(H13:H656)</f>
        <v>7666.58</v>
      </c>
      <c r="I5" s="13">
        <f t="shared" si="0"/>
        <v>7666.58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2134.69</v>
      </c>
      <c r="AD5" s="13">
        <f t="shared" si="0"/>
        <v>0</v>
      </c>
      <c r="AE5" s="13">
        <f t="shared" si="0"/>
        <v>0</v>
      </c>
      <c r="AF5" s="13">
        <f t="shared" si="0"/>
        <v>0</v>
      </c>
      <c r="AG5" s="13">
        <f t="shared" si="0"/>
        <v>0</v>
      </c>
      <c r="AH5" s="13">
        <f t="shared" si="0"/>
        <v>0</v>
      </c>
      <c r="AI5" s="13">
        <f t="shared" si="0"/>
        <v>0</v>
      </c>
      <c r="AJ5" s="13">
        <f t="shared" si="0"/>
        <v>0</v>
      </c>
      <c r="AK5" s="13">
        <f t="shared" si="0"/>
        <v>0</v>
      </c>
      <c r="AL5" s="13">
        <f t="shared" si="0"/>
        <v>2134.69</v>
      </c>
      <c r="AM5" s="13">
        <f t="shared" si="0"/>
        <v>0</v>
      </c>
      <c r="AN5" s="13">
        <f t="shared" si="0"/>
        <v>0</v>
      </c>
      <c r="AO5" s="13">
        <f t="shared" si="0"/>
        <v>0</v>
      </c>
      <c r="AP5" s="13">
        <f t="shared" si="0"/>
        <v>0</v>
      </c>
      <c r="AQ5" s="13">
        <f t="shared" si="0"/>
        <v>0</v>
      </c>
      <c r="AR5" s="13">
        <f t="shared" si="0"/>
        <v>0</v>
      </c>
      <c r="AS5" s="13">
        <f t="shared" si="0"/>
        <v>0</v>
      </c>
      <c r="AT5" s="13">
        <f t="shared" si="0"/>
        <v>4563.6499999999996</v>
      </c>
      <c r="AU5" s="1346"/>
      <c r="AV5" s="12" t="s">
        <v>1066</v>
      </c>
      <c r="AW5" s="1347"/>
      <c r="AX5" s="1347"/>
      <c r="AY5" s="14" t="s">
        <v>2</v>
      </c>
      <c r="AZ5" s="15">
        <f t="shared" ref="AZ5:BT5" si="1">SUM(AZ13:AZ656)</f>
        <v>9801.27</v>
      </c>
      <c r="BA5" s="15">
        <f t="shared" si="1"/>
        <v>7666.58</v>
      </c>
      <c r="BB5" s="15">
        <f t="shared" si="1"/>
        <v>7666.58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2134.69</v>
      </c>
      <c r="BM5" s="15">
        <f t="shared" si="1"/>
        <v>0</v>
      </c>
      <c r="BN5" s="15">
        <f t="shared" si="1"/>
        <v>0</v>
      </c>
      <c r="BO5" s="15">
        <f t="shared" si="1"/>
        <v>0</v>
      </c>
      <c r="BP5" s="15">
        <f t="shared" si="1"/>
        <v>0</v>
      </c>
      <c r="BQ5" s="15">
        <f t="shared" si="1"/>
        <v>2134.69</v>
      </c>
      <c r="BR5" s="15">
        <f t="shared" si="1"/>
        <v>0</v>
      </c>
      <c r="BS5" s="15">
        <f t="shared" si="1"/>
        <v>0</v>
      </c>
      <c r="BT5" s="16">
        <f t="shared" si="1"/>
        <v>0</v>
      </c>
    </row>
    <row r="6" spans="1:72" s="1589" customFormat="1" ht="12.75">
      <c r="A6" s="12" t="s">
        <v>1067</v>
      </c>
      <c r="B6" s="1586"/>
      <c r="C6" s="1586"/>
      <c r="D6" s="1587"/>
      <c r="E6" s="13">
        <f>H6+AC6+AT6</f>
        <v>9817.3700000000008</v>
      </c>
      <c r="F6" s="13" t="s">
        <v>0</v>
      </c>
      <c r="G6" s="13" t="s">
        <v>1</v>
      </c>
      <c r="H6" s="17">
        <f>SUMIF(I$12:AB$12,"总值",I6:AB6)</f>
        <v>5239.55</v>
      </c>
      <c r="I6" s="13">
        <f t="shared" ref="I6:AB6" si="2">ROUND($A$3*I5/$B$3,2)</f>
        <v>5239.55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1458.9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1458.9</v>
      </c>
      <c r="AM6" s="13">
        <f t="shared" si="3"/>
        <v>0</v>
      </c>
      <c r="AN6" s="13">
        <f t="shared" si="3"/>
        <v>0</v>
      </c>
      <c r="AO6" s="13">
        <f t="shared" si="3"/>
        <v>0</v>
      </c>
      <c r="AP6" s="13">
        <f t="shared" si="3"/>
        <v>0</v>
      </c>
      <c r="AQ6" s="13">
        <f t="shared" si="3"/>
        <v>0</v>
      </c>
      <c r="AR6" s="13">
        <f t="shared" si="3"/>
        <v>0</v>
      </c>
      <c r="AS6" s="13">
        <f t="shared" si="3"/>
        <v>0</v>
      </c>
      <c r="AT6" s="17">
        <f>IF(C3="是",ROUND($A$3*AT5/$B$3,2),0)</f>
        <v>3118.92</v>
      </c>
      <c r="AU6" s="1588"/>
      <c r="AV6" s="12" t="s">
        <v>1067</v>
      </c>
      <c r="AW6" s="1586"/>
      <c r="AX6" s="1586"/>
      <c r="AY6" s="18">
        <f>IF(AY3&gt;0,AY3,ROUND($A$3*AZ5/$B$3,2))</f>
        <v>7720.87</v>
      </c>
      <c r="AZ6" s="13" t="s">
        <v>2</v>
      </c>
      <c r="BA6" s="13">
        <f>ROUND($AY$6*BA5/$AZ$5,2)</f>
        <v>6039.29</v>
      </c>
      <c r="BB6" s="13">
        <f>ROUND($AY$6*BB5/$AZ$5,2)</f>
        <v>6039.29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1681.58</v>
      </c>
      <c r="BM6" s="13">
        <f t="shared" si="5"/>
        <v>0</v>
      </c>
      <c r="BN6" s="13">
        <f t="shared" si="5"/>
        <v>0</v>
      </c>
      <c r="BO6" s="13">
        <f t="shared" si="5"/>
        <v>0</v>
      </c>
      <c r="BP6" s="13">
        <f t="shared" si="5"/>
        <v>0</v>
      </c>
      <c r="BQ6" s="13">
        <f t="shared" si="5"/>
        <v>1681.58</v>
      </c>
      <c r="BR6" s="13">
        <f t="shared" si="5"/>
        <v>0</v>
      </c>
      <c r="BS6" s="13">
        <f t="shared" si="5"/>
        <v>0</v>
      </c>
      <c r="BT6" s="19">
        <f t="shared" si="5"/>
        <v>0</v>
      </c>
    </row>
    <row r="7" spans="1:72" s="1579" customFormat="1" ht="24.75">
      <c r="A7" s="1569" t="s">
        <v>1068</v>
      </c>
      <c r="B7" s="1569" t="s">
        <v>1069</v>
      </c>
      <c r="C7" s="1569" t="s">
        <v>1070</v>
      </c>
      <c r="D7" s="1569" t="s">
        <v>1071</v>
      </c>
      <c r="E7" s="1569" t="s">
        <v>1072</v>
      </c>
      <c r="F7" s="1569" t="s">
        <v>1073</v>
      </c>
      <c r="G7" s="1590" t="s">
        <v>1074</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1075</v>
      </c>
      <c r="AV7" s="20" t="s">
        <v>1076</v>
      </c>
      <c r="AW7" s="1578" t="s">
        <v>1077</v>
      </c>
      <c r="AX7" s="20" t="s">
        <v>1070</v>
      </c>
      <c r="AY7" s="1347" t="s">
        <v>1078</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1079</v>
      </c>
      <c r="H8" s="1596" t="s">
        <v>1080</v>
      </c>
      <c r="I8" s="1597"/>
      <c r="J8" s="1360"/>
      <c r="K8" s="1360"/>
      <c r="L8" s="1360"/>
      <c r="M8" s="1360"/>
      <c r="N8" s="1360"/>
      <c r="O8" s="1360"/>
      <c r="P8" s="1360"/>
      <c r="Q8" s="1360"/>
      <c r="R8" s="1360"/>
      <c r="S8" s="1360"/>
      <c r="T8" s="1360"/>
      <c r="U8" s="1360"/>
      <c r="V8" s="1598"/>
      <c r="W8" s="1360"/>
      <c r="X8" s="1360"/>
      <c r="Y8" s="1360"/>
      <c r="Z8" s="1360"/>
      <c r="AA8" s="1598"/>
      <c r="AB8" s="1599"/>
      <c r="AC8" s="809" t="s">
        <v>1081</v>
      </c>
      <c r="AD8" s="1600"/>
      <c r="AE8" s="1592"/>
      <c r="AF8" s="1360"/>
      <c r="AG8" s="1360"/>
      <c r="AH8" s="1360"/>
      <c r="AI8" s="1360"/>
      <c r="AJ8" s="1360"/>
      <c r="AK8" s="1360"/>
      <c r="AL8" s="1360"/>
      <c r="AM8" s="1360"/>
      <c r="AN8" s="1360"/>
      <c r="AO8" s="1360"/>
      <c r="AP8" s="1360"/>
      <c r="AQ8" s="1360"/>
      <c r="AR8" s="1360"/>
      <c r="AS8" s="1360"/>
      <c r="AT8" s="1070" t="s">
        <v>1082</v>
      </c>
      <c r="AU8" s="1594" t="s">
        <v>1083</v>
      </c>
      <c r="AV8" s="1070"/>
      <c r="AW8" s="1577"/>
      <c r="AX8" s="1070"/>
      <c r="AY8" s="1578" t="s">
        <v>1084</v>
      </c>
      <c r="AZ8" s="1359" t="s">
        <v>1085</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1086</v>
      </c>
      <c r="I9" s="3455" t="s">
        <v>3402</v>
      </c>
      <c r="J9" s="809"/>
      <c r="K9" s="1603"/>
      <c r="L9" s="809"/>
      <c r="M9" s="1603"/>
      <c r="N9" s="809"/>
      <c r="O9" s="1603"/>
      <c r="P9" s="809"/>
      <c r="Q9" s="1603"/>
      <c r="R9" s="809"/>
      <c r="S9" s="1603"/>
      <c r="T9" s="809"/>
      <c r="U9" s="1603"/>
      <c r="V9" s="809"/>
      <c r="W9" s="1603"/>
      <c r="X9" s="1604"/>
      <c r="Y9" s="1603"/>
      <c r="Z9" s="809"/>
      <c r="AA9" s="1603"/>
      <c r="AB9" s="809"/>
      <c r="AC9" s="1595" t="s">
        <v>1086</v>
      </c>
      <c r="AD9" s="12" t="s">
        <v>1087</v>
      </c>
      <c r="AE9" s="1076"/>
      <c r="AF9" s="12" t="s">
        <v>1088</v>
      </c>
      <c r="AG9" s="1076"/>
      <c r="AH9" s="12" t="s">
        <v>1087</v>
      </c>
      <c r="AI9" s="1076"/>
      <c r="AJ9" s="12" t="s">
        <v>1088</v>
      </c>
      <c r="AK9" s="1076"/>
      <c r="AL9" s="12" t="s">
        <v>1087</v>
      </c>
      <c r="AM9" s="1076"/>
      <c r="AN9" s="12" t="s">
        <v>1088</v>
      </c>
      <c r="AO9" s="1076"/>
      <c r="AP9" s="12" t="s">
        <v>1087</v>
      </c>
      <c r="AQ9" s="1076"/>
      <c r="AR9" s="12" t="s">
        <v>1088</v>
      </c>
      <c r="AS9" s="1605"/>
      <c r="AT9" s="1594"/>
      <c r="AU9" s="1594" t="s">
        <v>1089</v>
      </c>
      <c r="AV9" s="1070"/>
      <c r="AW9" s="1577"/>
      <c r="AX9" s="1070"/>
      <c r="AY9" s="25"/>
      <c r="AZ9" s="25" t="s">
        <v>1079</v>
      </c>
      <c r="BA9" s="1606" t="s">
        <v>1090</v>
      </c>
      <c r="BB9" s="1607"/>
      <c r="BC9" s="1088"/>
      <c r="BD9" s="1088"/>
      <c r="BE9" s="1088"/>
      <c r="BF9" s="1088"/>
      <c r="BG9" s="1088"/>
      <c r="BH9" s="1088"/>
      <c r="BI9" s="1088"/>
      <c r="BJ9" s="1088"/>
      <c r="BK9" s="1608"/>
      <c r="BL9" s="12" t="s">
        <v>1091</v>
      </c>
      <c r="BM9" s="1360"/>
      <c r="BN9" s="1597"/>
      <c r="BO9" s="1360"/>
      <c r="BP9" s="1360"/>
      <c r="BQ9" s="1360"/>
      <c r="BR9" s="1360"/>
      <c r="BS9" s="1360"/>
      <c r="BT9" s="23"/>
    </row>
    <row r="10" spans="1:72" s="1601" customFormat="1" ht="12.75">
      <c r="A10" s="1594"/>
      <c r="B10" s="1594"/>
      <c r="C10" s="1594"/>
      <c r="D10" s="1594"/>
      <c r="E10" s="1594"/>
      <c r="F10" s="1594"/>
      <c r="G10" s="1070"/>
      <c r="H10" s="25"/>
      <c r="I10" s="3455" t="s">
        <v>669</v>
      </c>
      <c r="J10" s="809"/>
      <c r="K10" s="1609"/>
      <c r="L10" s="809"/>
      <c r="M10" s="1609"/>
      <c r="N10" s="809"/>
      <c r="O10" s="1609"/>
      <c r="P10" s="809"/>
      <c r="Q10" s="1609"/>
      <c r="R10" s="809"/>
      <c r="S10" s="1609"/>
      <c r="T10" s="809"/>
      <c r="U10" s="1609"/>
      <c r="V10" s="809"/>
      <c r="W10" s="1609"/>
      <c r="X10" s="809"/>
      <c r="Y10" s="1609"/>
      <c r="Z10" s="809"/>
      <c r="AA10" s="1609"/>
      <c r="AB10" s="809"/>
      <c r="AC10" s="1070"/>
      <c r="AD10" s="12" t="s">
        <v>1092</v>
      </c>
      <c r="AE10" s="1610"/>
      <c r="AF10" s="12" t="s">
        <v>1092</v>
      </c>
      <c r="AG10" s="1610"/>
      <c r="AH10" s="12" t="s">
        <v>1093</v>
      </c>
      <c r="AI10" s="1610"/>
      <c r="AJ10" s="12" t="s">
        <v>1093</v>
      </c>
      <c r="AK10" s="1610"/>
      <c r="AL10" s="12" t="s">
        <v>1094</v>
      </c>
      <c r="AM10" s="1076"/>
      <c r="AN10" s="12" t="s">
        <v>1094</v>
      </c>
      <c r="AO10" s="1076"/>
      <c r="AP10" s="12" t="s">
        <v>1095</v>
      </c>
      <c r="AQ10" s="1076"/>
      <c r="AR10" s="12" t="s">
        <v>1095</v>
      </c>
      <c r="AS10" s="1076"/>
      <c r="AT10" s="1594"/>
      <c r="AU10" s="1594"/>
      <c r="AV10" s="1070"/>
      <c r="AW10" s="1577"/>
      <c r="AX10" s="1070"/>
      <c r="AY10" s="25"/>
      <c r="AZ10" s="25"/>
      <c r="BA10" s="1611" t="s">
        <v>1086</v>
      </c>
      <c r="BB10" s="1612" t="str">
        <f>I9</f>
        <v>地上</v>
      </c>
      <c r="BC10" s="26">
        <f>K9</f>
        <v>0</v>
      </c>
      <c r="BD10" s="26">
        <f>M9</f>
        <v>0</v>
      </c>
      <c r="BE10" s="26">
        <f>O9</f>
        <v>0</v>
      </c>
      <c r="BF10" s="26">
        <f>Q9</f>
        <v>0</v>
      </c>
      <c r="BG10" s="26">
        <f>S9</f>
        <v>0</v>
      </c>
      <c r="BH10" s="26">
        <f>U9</f>
        <v>0</v>
      </c>
      <c r="BI10" s="26">
        <f>W9</f>
        <v>0</v>
      </c>
      <c r="BJ10" s="26">
        <f>Y9</f>
        <v>0</v>
      </c>
      <c r="BK10" s="26">
        <f>AA9</f>
        <v>0</v>
      </c>
      <c r="BL10" s="22" t="s">
        <v>1086</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3456" t="s">
        <v>3403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1096</v>
      </c>
      <c r="AE11" s="1361"/>
      <c r="AF11" s="1616" t="s">
        <v>1096</v>
      </c>
      <c r="AG11" s="1361"/>
      <c r="AH11" s="1616" t="s">
        <v>1097</v>
      </c>
      <c r="AI11" s="1617"/>
      <c r="AJ11" s="1616" t="s">
        <v>1097</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346" t="s">
        <v>1099</v>
      </c>
      <c r="W12" s="8" t="s">
        <v>1098</v>
      </c>
      <c r="X12" s="8" t="s">
        <v>1099</v>
      </c>
      <c r="Y12" s="8" t="s">
        <v>1098</v>
      </c>
      <c r="Z12" s="8" t="s">
        <v>1099</v>
      </c>
      <c r="AA12" s="8" t="s">
        <v>1098</v>
      </c>
      <c r="AB12" s="8" t="s">
        <v>1099</v>
      </c>
      <c r="AC12" s="1621"/>
      <c r="AD12" s="1349"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619" t="s">
        <v>1099</v>
      </c>
      <c r="AT12" s="1622"/>
      <c r="AU12" s="1619"/>
      <c r="AV12" s="28"/>
      <c r="AW12" s="1578"/>
      <c r="AX12" s="28"/>
      <c r="AY12" s="1623"/>
      <c r="AZ12" s="25"/>
      <c r="BA12" s="1611"/>
      <c r="BB12" s="21" t="str">
        <f>I11</f>
        <v>独立商业</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c r="A13" s="1051" t="s">
        <v>3393</v>
      </c>
      <c r="B13" s="3454" t="s">
        <v>3394</v>
      </c>
      <c r="C13" s="1051" t="s">
        <v>3395</v>
      </c>
      <c r="D13" s="1629" t="s">
        <v>3396</v>
      </c>
      <c r="E13" s="13">
        <f>IF($C$3="是",ROUND($A$3*G13/$B$3,2),ROUND($A$3*(G13-AT13)/$B$3,2))</f>
        <v>1349.62</v>
      </c>
      <c r="F13" s="29"/>
      <c r="G13" s="30">
        <f>H13+AC13+AT13</f>
        <v>1974.78</v>
      </c>
      <c r="H13" s="17">
        <f>SUMIF(I$12:AB$12,"总值",I13:AB13)</f>
        <v>1933.97</v>
      </c>
      <c r="I13" s="1625">
        <f>A地块!F4</f>
        <v>1933.97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40.81</v>
      </c>
      <c r="AD13" s="1626"/>
      <c r="AE13" s="1626"/>
      <c r="AF13" s="1626"/>
      <c r="AG13" s="1626"/>
      <c r="AH13" s="1626"/>
      <c r="AI13" s="1626"/>
      <c r="AJ13" s="1626"/>
      <c r="AK13" s="1626"/>
      <c r="AL13" s="1626">
        <v>40.81</v>
      </c>
      <c r="AM13" s="1626"/>
      <c r="AN13" s="1626"/>
      <c r="AO13" s="1626"/>
      <c r="AP13" s="1626"/>
      <c r="AQ13" s="1626"/>
      <c r="AR13" s="1626"/>
      <c r="AS13" s="1626"/>
      <c r="AT13" s="1627"/>
      <c r="AU13" s="1628"/>
      <c r="AV13" s="8" t="str">
        <f t="shared" ref="AV13:AX17" si="6">A13</f>
        <v>6019地块</v>
      </c>
      <c r="AW13" s="8" t="str">
        <f t="shared" si="6"/>
        <v>测绘</v>
      </c>
      <c r="AX13" s="8" t="str">
        <f t="shared" si="6"/>
        <v>2号楼</v>
      </c>
      <c r="AY13" s="1349">
        <f>ROUND($AY$6*AZ13/$AZ$5,2)</f>
        <v>1555.62</v>
      </c>
      <c r="AZ13" s="13">
        <f>BA13+BL13</f>
        <v>1974.78</v>
      </c>
      <c r="BA13" s="13">
        <f>SUM(BB13:BK13)</f>
        <v>1933.97</v>
      </c>
      <c r="BB13" s="13">
        <f>IF($D13="是",I13-J13,0)</f>
        <v>1933.97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40.81</v>
      </c>
      <c r="BM13" s="13">
        <f>IF($D13="是",AD13-AE13,0)</f>
        <v>0</v>
      </c>
      <c r="BN13" s="13">
        <f>IF($D13="是",AF13-AG13,0)</f>
        <v>0</v>
      </c>
      <c r="BO13" s="13">
        <f>IF($D13="是",AH13-AI13,0)</f>
        <v>0</v>
      </c>
      <c r="BP13" s="13">
        <f>IF($D13="是",AJ13-AK13,0)</f>
        <v>0</v>
      </c>
      <c r="BQ13" s="13">
        <f>IF($D13="是",AL13-AM13,0)</f>
        <v>40.81</v>
      </c>
      <c r="BR13" s="13">
        <f>IF($D13="是",AN13-AO13,0)</f>
        <v>0</v>
      </c>
      <c r="BS13" s="13">
        <f>IF($D13="是",AP13-AQ13,0)</f>
        <v>0</v>
      </c>
      <c r="BT13" s="19">
        <f>IF($D13="是",AR13-AS13,0)</f>
        <v>0</v>
      </c>
    </row>
    <row r="14" spans="1:72" s="1579" customFormat="1">
      <c r="A14" s="1051"/>
      <c r="B14" s="3454" t="s">
        <v>3394</v>
      </c>
      <c r="C14" s="1051" t="s">
        <v>3397</v>
      </c>
      <c r="D14" s="1629" t="s">
        <v>3396</v>
      </c>
      <c r="E14" s="13">
        <f>IF($C$3="是",ROUND($A$3*G14/$B$3,2),ROUND($A$3*(G14-AT14)/$B$3,2))</f>
        <v>1279.51</v>
      </c>
      <c r="F14" s="29"/>
      <c r="G14" s="30">
        <f>H14+AC14+AT14</f>
        <v>1872.2</v>
      </c>
      <c r="H14" s="17">
        <f>SUMIF(I$12:AB$12,"总值",I14:AB14)</f>
        <v>1872.2</v>
      </c>
      <c r="I14" s="1625">
        <f>A地块!F5</f>
        <v>1872.2</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t="str">
        <f t="shared" si="6"/>
        <v>测绘</v>
      </c>
      <c r="AX14" s="8" t="str">
        <f t="shared" si="6"/>
        <v>3号楼</v>
      </c>
      <c r="AY14" s="1349">
        <f>ROUND($AY$6*AZ14/$AZ$5,2)</f>
        <v>1474.81</v>
      </c>
      <c r="AZ14" s="13">
        <f>BA14+BL14</f>
        <v>1872.2</v>
      </c>
      <c r="BA14" s="13">
        <f>SUM(BB14:BK14)</f>
        <v>1872.2</v>
      </c>
      <c r="BB14" s="13">
        <f>IF($D14="是",I14-J14,0)</f>
        <v>1872.2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c r="A15" s="1051"/>
      <c r="B15" s="3454" t="s">
        <v>3394</v>
      </c>
      <c r="C15" s="1051" t="s">
        <v>3398</v>
      </c>
      <c r="D15" s="1629" t="s">
        <v>3396</v>
      </c>
      <c r="E15" s="13">
        <f>IF($C$3="是",ROUND($A$3*G15/$B$3,2),ROUND($A$3*(G15-AT15)/$B$3,2))</f>
        <v>1349.6</v>
      </c>
      <c r="F15" s="29"/>
      <c r="G15" s="30">
        <f>H15+AC15+AT15</f>
        <v>1974.76</v>
      </c>
      <c r="H15" s="17">
        <f>SUMIF(I$12:AB$12,"总值",I15:AB15)</f>
        <v>1974.76</v>
      </c>
      <c r="I15" s="1625">
        <f>A地块!F6</f>
        <v>1974.76</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t="str">
        <f t="shared" si="6"/>
        <v>测绘</v>
      </c>
      <c r="AX15" s="8" t="str">
        <f t="shared" si="6"/>
        <v>4号楼</v>
      </c>
      <c r="AY15" s="1349">
        <f>ROUND($AY$6*AZ15/$AZ$5,2)</f>
        <v>1555.6</v>
      </c>
      <c r="AZ15" s="13">
        <f>BA15+BL15</f>
        <v>1974.76</v>
      </c>
      <c r="BA15" s="13">
        <f>SUM(BB15:BK15)</f>
        <v>1974.76</v>
      </c>
      <c r="BB15" s="13">
        <f>IF($D15="是",I15-J15,0)</f>
        <v>1974.76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c r="A16" s="1051"/>
      <c r="B16" s="3454" t="s">
        <v>3394</v>
      </c>
      <c r="C16" s="1051" t="s">
        <v>3399</v>
      </c>
      <c r="D16" s="1629" t="s">
        <v>3396</v>
      </c>
      <c r="E16" s="13">
        <f>IF($C$3="是",ROUND($A$3*G16/$B$3,2),ROUND($A$3*(G16-AT16)/$B$3,2))</f>
        <v>1288.7</v>
      </c>
      <c r="F16" s="29"/>
      <c r="G16" s="30">
        <f>H16+AC16+AT16</f>
        <v>1885.65</v>
      </c>
      <c r="H16" s="17">
        <f>SUMIF(I$12:AB$12,"总值",I16:AB16)</f>
        <v>1885.65</v>
      </c>
      <c r="I16" s="1625">
        <f>A地块!F7</f>
        <v>1885.65</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t="str">
        <f t="shared" si="6"/>
        <v>测绘</v>
      </c>
      <c r="AX16" s="8" t="str">
        <f t="shared" si="6"/>
        <v>5号楼</v>
      </c>
      <c r="AY16" s="1349">
        <f>ROUND($AY$6*AZ16/$AZ$5,2)</f>
        <v>1485.41</v>
      </c>
      <c r="AZ16" s="13">
        <f>BA16+BL16</f>
        <v>1885.65</v>
      </c>
      <c r="BA16" s="13">
        <f>SUM(BB16:BK16)</f>
        <v>1885.65</v>
      </c>
      <c r="BB16" s="13">
        <f>IF($D16="是",I16-J16,0)</f>
        <v>1885.65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c r="A17" s="1051"/>
      <c r="B17" s="3454" t="s">
        <v>3394</v>
      </c>
      <c r="C17" s="1051" t="s">
        <v>3400</v>
      </c>
      <c r="D17" s="1629" t="s">
        <v>3396</v>
      </c>
      <c r="E17" s="13">
        <f>IF($C$3="是",ROUND($A$3*G17/$B$3,2),ROUND($A$3*(G17-AT17)/$B$3,2))</f>
        <v>3118.92</v>
      </c>
      <c r="F17" s="29"/>
      <c r="G17" s="30">
        <f>H17+AC17+AT17</f>
        <v>4563.6499999999996</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f>A地块!J9</f>
        <v>4563.6499999999996</v>
      </c>
      <c r="AU17" s="1628"/>
      <c r="AV17" s="8">
        <f t="shared" si="6"/>
        <v>0</v>
      </c>
      <c r="AW17" s="8" t="str">
        <f t="shared" si="6"/>
        <v>测绘</v>
      </c>
      <c r="AX17" s="8" t="str">
        <f t="shared" si="6"/>
        <v>1#地库</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42.75">
      <c r="A18" s="6"/>
      <c r="B18" s="3454" t="s">
        <v>3401</v>
      </c>
      <c r="C18" s="1051" t="str">
        <f>[2]A地块!D3</f>
        <v>居住配套商业服务楼</v>
      </c>
      <c r="D18" s="1629" t="s">
        <v>3396</v>
      </c>
      <c r="E18" s="32">
        <f t="shared" ref="E18:E112" si="7">IF($C$3="是",ROUND($A$3*G18/$B$3,2),ROUND($A$3*(G18-AT18)/$B$3,2))</f>
        <v>1431.01</v>
      </c>
      <c r="F18" s="33"/>
      <c r="G18" s="34">
        <f t="shared" ref="G18:G109" si="8">H18+AC18+AT18</f>
        <v>2093.88</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2093.88</v>
      </c>
      <c r="AD18" s="37"/>
      <c r="AE18" s="37"/>
      <c r="AF18" s="37"/>
      <c r="AG18" s="37"/>
      <c r="AH18" s="37"/>
      <c r="AI18" s="37"/>
      <c r="AJ18" s="37"/>
      <c r="AK18" s="37"/>
      <c r="AL18" s="37">
        <f>2022.76+71.12</f>
        <v>2093.88</v>
      </c>
      <c r="AM18" s="37"/>
      <c r="AN18" s="37"/>
      <c r="AO18" s="37"/>
      <c r="AP18" s="37"/>
      <c r="AQ18" s="37"/>
      <c r="AR18" s="37"/>
      <c r="AS18" s="37"/>
      <c r="AT18" s="38"/>
      <c r="AU18" s="1630"/>
      <c r="AV18" s="1343">
        <f t="shared" ref="AV18:AV112" si="11">A18</f>
        <v>0</v>
      </c>
      <c r="AW18" s="1343" t="str">
        <f t="shared" ref="AW18:AW112" si="12">B18</f>
        <v>规证</v>
      </c>
      <c r="AX18" s="1343" t="str">
        <f t="shared" ref="AX18:AX112" si="13">C18</f>
        <v>居住配套商业服务楼</v>
      </c>
      <c r="AY18" s="39">
        <f t="shared" ref="AY18:AY109" si="14">ROUND($AY$6*AZ18/$AZ$5,2)</f>
        <v>1649.44</v>
      </c>
      <c r="AZ18" s="32">
        <f t="shared" ref="AZ18:AZ109" si="15">BA18+BL18</f>
        <v>2093.88</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2093.88</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2093.88</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13"/>
  <sheetViews>
    <sheetView workbookViewId="0">
      <selection activeCell="L20" sqref="L20"/>
    </sheetView>
  </sheetViews>
  <sheetFormatPr defaultRowHeight="13.5"/>
  <sheetData>
    <row r="1" spans="1:10">
      <c r="F1" s="3446" t="s">
        <v>3374</v>
      </c>
      <c r="G1" s="3446" t="s">
        <v>3375</v>
      </c>
      <c r="H1" s="3446" t="s">
        <v>3376</v>
      </c>
      <c r="J1" s="3447" t="s">
        <v>3377</v>
      </c>
    </row>
    <row r="2" spans="1:10">
      <c r="E2" s="3447" t="s">
        <v>3378</v>
      </c>
      <c r="F2" s="3448"/>
      <c r="G2" s="3446" t="s">
        <v>3379</v>
      </c>
      <c r="H2" s="3446" t="s">
        <v>3380</v>
      </c>
      <c r="I2" s="3447" t="s">
        <v>3381</v>
      </c>
    </row>
    <row r="3" spans="1:10">
      <c r="A3" s="3447" t="s">
        <v>3382</v>
      </c>
      <c r="B3" s="3448">
        <v>1</v>
      </c>
      <c r="C3" s="3448"/>
      <c r="D3" s="3446" t="s">
        <v>3383</v>
      </c>
      <c r="E3" s="3448">
        <f>SUM(F3:J3)</f>
        <v>2093.88</v>
      </c>
      <c r="F3" s="3448"/>
      <c r="G3" s="3448"/>
      <c r="H3" s="3448">
        <f>71.12+2022.76</f>
        <v>2093.88</v>
      </c>
      <c r="I3" s="3448"/>
      <c r="J3" s="3448"/>
    </row>
    <row r="4" spans="1:10">
      <c r="A4" s="3447" t="s">
        <v>3384</v>
      </c>
      <c r="B4" s="3449">
        <v>2</v>
      </c>
      <c r="C4" s="3449"/>
      <c r="D4" s="3449" t="s">
        <v>3385</v>
      </c>
      <c r="E4" s="3449">
        <f t="shared" ref="E4:E8" si="0">SUM(F4:J4)</f>
        <v>1974.78</v>
      </c>
      <c r="F4" s="3449">
        <v>1933.97</v>
      </c>
      <c r="G4" s="3449"/>
      <c r="H4" s="3449">
        <v>40.81</v>
      </c>
      <c r="I4" s="3449"/>
      <c r="J4" s="3449"/>
    </row>
    <row r="5" spans="1:10">
      <c r="B5" s="3449">
        <v>3</v>
      </c>
      <c r="C5" s="3449"/>
      <c r="D5" s="3449" t="s">
        <v>3385</v>
      </c>
      <c r="E5" s="3449">
        <f t="shared" si="0"/>
        <v>1872.2</v>
      </c>
      <c r="F5" s="3449">
        <v>1872.2</v>
      </c>
      <c r="G5" s="3449"/>
      <c r="H5" s="3449"/>
      <c r="I5" s="3449"/>
      <c r="J5" s="3449"/>
    </row>
    <row r="6" spans="1:10">
      <c r="B6" s="3449">
        <v>4</v>
      </c>
      <c r="C6" s="3449"/>
      <c r="D6" s="3449" t="s">
        <v>3385</v>
      </c>
      <c r="E6" s="3449">
        <f t="shared" si="0"/>
        <v>1974.76</v>
      </c>
      <c r="F6" s="3449">
        <v>1974.76</v>
      </c>
      <c r="G6" s="3449"/>
      <c r="H6" s="3449"/>
      <c r="I6" s="3449"/>
      <c r="J6" s="3449"/>
    </row>
    <row r="7" spans="1:10">
      <c r="B7" s="3449">
        <v>5</v>
      </c>
      <c r="C7" s="3449"/>
      <c r="D7" s="3449" t="s">
        <v>3385</v>
      </c>
      <c r="E7" s="3449">
        <f t="shared" si="0"/>
        <v>1885.65</v>
      </c>
      <c r="F7" s="3449">
        <v>1885.65</v>
      </c>
      <c r="G7" s="3449"/>
      <c r="H7" s="3449"/>
      <c r="I7" s="3449"/>
      <c r="J7" s="3449"/>
    </row>
    <row r="8" spans="1:10">
      <c r="B8" s="3448"/>
      <c r="C8" s="3448"/>
      <c r="D8" s="3446" t="s">
        <v>3386</v>
      </c>
      <c r="E8" s="3448">
        <f t="shared" si="0"/>
        <v>3306.66</v>
      </c>
      <c r="F8" s="3448"/>
      <c r="G8" s="3448"/>
      <c r="H8" s="3448"/>
      <c r="I8" s="3450">
        <v>3306.66</v>
      </c>
      <c r="J8" s="3448"/>
    </row>
    <row r="9" spans="1:10">
      <c r="B9" s="3449">
        <v>1</v>
      </c>
      <c r="C9" s="3449"/>
      <c r="D9" s="3449" t="s">
        <v>3387</v>
      </c>
      <c r="E9" s="3449">
        <f>J9</f>
        <v>4563.6499999999996</v>
      </c>
      <c r="F9" s="3449"/>
      <c r="G9" s="3449"/>
      <c r="H9" s="3449"/>
      <c r="I9" s="3450">
        <v>1334.93</v>
      </c>
      <c r="J9" s="3449">
        <v>4563.6499999999996</v>
      </c>
    </row>
    <row r="10" spans="1:10">
      <c r="B10" s="3448"/>
      <c r="C10" s="3448"/>
      <c r="D10" s="3448"/>
      <c r="E10" s="3448">
        <f>SUM(F10:J10)</f>
        <v>14364.92</v>
      </c>
      <c r="F10" s="3448">
        <f>SUM(F3:F9)</f>
        <v>7666.58</v>
      </c>
      <c r="G10" s="3448">
        <f t="shared" ref="G10" si="1">SUM(G3:G9)</f>
        <v>0</v>
      </c>
      <c r="H10" s="3448">
        <f>SUM(H3:H9)</f>
        <v>2134.69</v>
      </c>
      <c r="I10" s="3448">
        <v>0</v>
      </c>
      <c r="J10" s="3448">
        <f>SUM(J3:J9)</f>
        <v>4563.6499999999996</v>
      </c>
    </row>
    <row r="11" spans="1:10">
      <c r="E11">
        <f>E10-J10</f>
        <v>9801.27</v>
      </c>
    </row>
    <row r="12" spans="1:10">
      <c r="I12">
        <f>I8+I9</f>
        <v>4641.59</v>
      </c>
      <c r="J12">
        <v>2000</v>
      </c>
    </row>
    <row r="13" spans="1:10">
      <c r="I13">
        <f>I12*J12/E11</f>
        <v>947.1405236260199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52" sqref="M5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1125</v>
      </c>
      <c r="B1" s="1139"/>
      <c r="C1" s="1139"/>
      <c r="D1" s="1139"/>
      <c r="E1" s="1139"/>
      <c r="F1" s="1139"/>
      <c r="G1" s="1139"/>
      <c r="H1" s="1139"/>
      <c r="I1" s="1139"/>
      <c r="J1" s="1139"/>
      <c r="K1" s="1139"/>
      <c r="L1" s="1139"/>
      <c r="M1" s="1139"/>
      <c r="N1" s="1139"/>
      <c r="O1" s="1139"/>
      <c r="P1" s="1139"/>
    </row>
    <row r="2" spans="1:16" ht="15">
      <c r="A2" s="3549" t="s">
        <v>1126</v>
      </c>
      <c r="B2" s="3549"/>
      <c r="C2" s="3549"/>
      <c r="D2" s="796" t="s">
        <v>1102</v>
      </c>
      <c r="E2" s="1638" t="s">
        <v>1103</v>
      </c>
      <c r="F2" s="2657"/>
      <c r="G2" s="2648"/>
      <c r="H2" s="2649"/>
      <c r="I2" s="2324" t="s">
        <v>1127</v>
      </c>
      <c r="J2" s="2657"/>
      <c r="K2" s="2657"/>
      <c r="L2" s="2657"/>
      <c r="M2" s="2657"/>
      <c r="N2" s="2659"/>
      <c r="O2" s="2657"/>
      <c r="P2" s="2657"/>
    </row>
    <row r="3" spans="1:16" ht="15.75" thickBot="1">
      <c r="A3" s="3550" t="s">
        <v>1100</v>
      </c>
      <c r="B3" s="3550"/>
      <c r="C3" s="3550"/>
      <c r="D3" s="43">
        <f>'数据-基础表'!AY6</f>
        <v>7720.87</v>
      </c>
      <c r="E3" s="43">
        <f>'数据-基础表'!AZ5</f>
        <v>9801.27</v>
      </c>
      <c r="F3" s="2657"/>
      <c r="G3" s="1145"/>
      <c r="H3" s="1026" t="s">
        <v>1101</v>
      </c>
      <c r="I3" s="855">
        <f>ROUND('数据-基础表'!B3/'数据-基础表'!A3,2)</f>
        <v>1.46</v>
      </c>
      <c r="J3" s="2657"/>
      <c r="K3" s="2657"/>
      <c r="L3" s="2657"/>
      <c r="M3" s="2657"/>
      <c r="N3" s="2659"/>
      <c r="O3" s="2657"/>
      <c r="P3" s="2657"/>
    </row>
    <row r="4" spans="1:16" ht="15">
      <c r="A4" s="3551"/>
      <c r="B4" s="3552"/>
      <c r="C4" s="3553"/>
      <c r="D4" s="1640" t="s">
        <v>1102</v>
      </c>
      <c r="E4" s="1641" t="s">
        <v>1103</v>
      </c>
      <c r="F4" s="2657"/>
      <c r="G4" s="2650" t="s">
        <v>1128</v>
      </c>
      <c r="H4" s="1026" t="s">
        <v>1108</v>
      </c>
      <c r="I4" s="855">
        <f>ROUND(SUMIF('数据-基础表'!I9:AS9,"地上",'数据-基础表'!I5:AS5)/'数据-基础表'!A3,2)</f>
        <v>1</v>
      </c>
      <c r="J4" s="2657"/>
      <c r="K4" s="2657"/>
      <c r="L4" s="2657"/>
      <c r="M4" s="2657"/>
      <c r="N4" s="2659"/>
      <c r="O4" s="2657"/>
      <c r="P4" s="2657"/>
    </row>
    <row r="5" spans="1:16">
      <c r="A5" s="44" t="s">
        <v>1104</v>
      </c>
      <c r="B5" s="3554" t="s">
        <v>1105</v>
      </c>
      <c r="C5" s="3554"/>
      <c r="D5" s="45">
        <f>ROUND($D$3*E5/$E$3,2)</f>
        <v>0</v>
      </c>
      <c r="E5" s="46">
        <f>SUMIF('数据-基础表'!$11:$11,"住宅",'数据-基础表'!$5:$5)</f>
        <v>0</v>
      </c>
      <c r="F5" s="2657"/>
      <c r="G5" s="1145"/>
      <c r="H5" s="1026" t="s">
        <v>1101</v>
      </c>
      <c r="I5" s="855">
        <f>ROUND(E31/D31,2)</f>
        <v>1.27</v>
      </c>
      <c r="J5" s="2657"/>
      <c r="K5" s="2657"/>
      <c r="L5" s="2657"/>
      <c r="M5" s="2657"/>
      <c r="N5" s="2657"/>
      <c r="O5" s="2657"/>
      <c r="P5" s="2657"/>
    </row>
    <row r="6" spans="1:16" ht="15" thickBot="1">
      <c r="A6" s="1643"/>
      <c r="B6" s="3554" t="s">
        <v>1106</v>
      </c>
      <c r="C6" s="3554"/>
      <c r="D6" s="45">
        <f>ROUND($D$3*E6/$E$3,2)</f>
        <v>7720.87</v>
      </c>
      <c r="E6" s="46">
        <f>E3-E5</f>
        <v>9801.27</v>
      </c>
      <c r="F6" s="2657"/>
      <c r="G6" s="2651" t="s">
        <v>1107</v>
      </c>
      <c r="H6" s="1146" t="s">
        <v>1108</v>
      </c>
      <c r="I6" s="2652">
        <f>ROUND(F31/D31,2)</f>
        <v>1.27</v>
      </c>
      <c r="J6" s="2657"/>
      <c r="K6" s="2657"/>
      <c r="L6" s="2657"/>
      <c r="M6" s="2657"/>
      <c r="N6" s="2657"/>
      <c r="O6" s="2657"/>
      <c r="P6" s="2657"/>
    </row>
    <row r="7" spans="1:16" ht="15.75" thickBot="1">
      <c r="A7" s="3546"/>
      <c r="B7" s="3547"/>
      <c r="C7" s="3548"/>
      <c r="D7" s="1640" t="s">
        <v>1102</v>
      </c>
      <c r="E7" s="1644" t="s">
        <v>1109</v>
      </c>
      <c r="F7" s="2657"/>
      <c r="G7" s="2653" t="s">
        <v>1110</v>
      </c>
      <c r="H7" s="2654"/>
      <c r="I7" s="2655">
        <v>1.01</v>
      </c>
      <c r="J7" s="2657"/>
      <c r="K7" s="2657"/>
      <c r="L7" s="2657"/>
      <c r="M7" s="2657"/>
      <c r="N7" s="2657"/>
      <c r="O7" s="2657"/>
      <c r="P7" s="2657"/>
    </row>
    <row r="8" spans="1:16">
      <c r="A8" s="44" t="s">
        <v>1111</v>
      </c>
      <c r="B8" s="47" t="s">
        <v>1112</v>
      </c>
      <c r="C8" s="45" t="s">
        <v>1113</v>
      </c>
      <c r="D8" s="45">
        <f t="shared" ref="D8:D15" si="0">ROUND($D$3*E8/$E$3,2)</f>
        <v>6039.29</v>
      </c>
      <c r="E8" s="48">
        <f>SUMIF('数据-基础表'!BB10:BK10,"地上",'数据-基础表'!BB5:BK5)</f>
        <v>7666.58</v>
      </c>
      <c r="F8" s="2657"/>
      <c r="G8" s="2658"/>
      <c r="H8" s="2658"/>
      <c r="I8" s="2657"/>
      <c r="J8" s="2657"/>
      <c r="K8" s="2657"/>
      <c r="L8" s="2657"/>
      <c r="M8" s="2657"/>
      <c r="N8" s="2657"/>
      <c r="O8" s="2657"/>
      <c r="P8" s="2657"/>
    </row>
    <row r="9" spans="1:16">
      <c r="A9" s="1645"/>
      <c r="B9" s="1646"/>
      <c r="C9" s="45" t="s">
        <v>1114</v>
      </c>
      <c r="D9" s="45">
        <f t="shared" si="0"/>
        <v>0</v>
      </c>
      <c r="E9" s="49">
        <v>0</v>
      </c>
      <c r="F9" s="2657"/>
      <c r="G9" s="2658"/>
      <c r="H9" s="2658"/>
      <c r="I9" s="2657"/>
      <c r="J9" s="2657"/>
      <c r="K9" s="2657"/>
      <c r="L9" s="2657"/>
      <c r="M9" s="2657"/>
      <c r="N9" s="2657"/>
      <c r="O9" s="2657"/>
      <c r="P9" s="2657"/>
    </row>
    <row r="10" spans="1:16">
      <c r="A10" s="1645"/>
      <c r="B10" s="1646"/>
      <c r="C10" s="45" t="s">
        <v>1123</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1115</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1116</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1117</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1129</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1124</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1118</v>
      </c>
      <c r="D16" s="47">
        <f>SUM(D8:D15)</f>
        <v>6039.29</v>
      </c>
      <c r="E16" s="50">
        <f>SUM(E8:E15)</f>
        <v>7666.58</v>
      </c>
      <c r="F16" s="2657"/>
      <c r="G16" s="2658"/>
      <c r="H16" s="1647" t="s">
        <v>1130</v>
      </c>
      <c r="I16" s="1648"/>
      <c r="J16" s="1139"/>
      <c r="K16" s="3543" t="s">
        <v>1130</v>
      </c>
      <c r="L16" s="3544"/>
      <c r="M16" s="3544"/>
      <c r="N16" s="3544"/>
      <c r="O16" s="3544"/>
      <c r="P16" s="3545"/>
    </row>
    <row r="17" spans="1:19" ht="15">
      <c r="A17" s="1649" t="s">
        <v>1131</v>
      </c>
      <c r="B17" s="1650" t="s">
        <v>1132</v>
      </c>
      <c r="C17" s="1651" t="s">
        <v>1133</v>
      </c>
      <c r="D17" s="1652" t="s">
        <v>1121</v>
      </c>
      <c r="E17" s="1653" t="s">
        <v>1122</v>
      </c>
      <c r="F17" s="1654"/>
      <c r="G17" s="1655"/>
      <c r="H17" s="1656" t="s">
        <v>1134</v>
      </c>
      <c r="I17" s="1657" t="s">
        <v>1119</v>
      </c>
      <c r="J17" s="1139"/>
      <c r="K17" s="3540" t="s">
        <v>1135</v>
      </c>
      <c r="L17" s="3541"/>
      <c r="M17" s="3542"/>
      <c r="N17" s="3540" t="s">
        <v>1136</v>
      </c>
      <c r="O17" s="3541"/>
      <c r="P17" s="3542"/>
      <c r="R17" s="1639" t="s">
        <v>1137</v>
      </c>
      <c r="S17" s="56"/>
    </row>
    <row r="18" spans="1:19" ht="15">
      <c r="A18" s="1645"/>
      <c r="B18" s="1658"/>
      <c r="C18" s="1659"/>
      <c r="D18" s="1660"/>
      <c r="E18" s="1661" t="s">
        <v>1138</v>
      </c>
      <c r="F18" s="1662" t="s">
        <v>1139</v>
      </c>
      <c r="G18" s="1663" t="s">
        <v>1140</v>
      </c>
      <c r="H18" s="1041" t="s">
        <v>1141</v>
      </c>
      <c r="I18" s="1664" t="s">
        <v>1142</v>
      </c>
      <c r="J18" s="1139"/>
      <c r="K18" s="1041" t="s">
        <v>1143</v>
      </c>
      <c r="L18" s="1665" t="s">
        <v>1144</v>
      </c>
      <c r="M18" s="855" t="s">
        <v>1145</v>
      </c>
      <c r="N18" s="1041" t="s">
        <v>1143</v>
      </c>
      <c r="O18" s="1665" t="s">
        <v>1144</v>
      </c>
      <c r="P18" s="855" t="s">
        <v>1145</v>
      </c>
      <c r="R18" s="1026" t="s">
        <v>1146</v>
      </c>
      <c r="S18" s="1026" t="s">
        <v>1147</v>
      </c>
    </row>
    <row r="19" spans="1:19">
      <c r="A19" s="1666"/>
      <c r="B19" s="47" t="s">
        <v>1120</v>
      </c>
      <c r="C19" s="3413" t="s">
        <v>3404</v>
      </c>
      <c r="D19" s="45">
        <f>ROUND($D$3*E19/$E$3,2)</f>
        <v>6039.29</v>
      </c>
      <c r="E19" s="53">
        <f t="shared" ref="E19:E26" si="1">SUM(F19:G19)</f>
        <v>7666.58</v>
      </c>
      <c r="F19" s="2793">
        <v>7666.58</v>
      </c>
      <c r="G19" s="2794"/>
      <c r="H19" s="670">
        <f>ROUND($D$3*I19/$E$3,2)</f>
        <v>1681.58</v>
      </c>
      <c r="I19" s="48">
        <f t="shared" ref="I19:I26" si="2">IF($I$17="自定义",P19,M19)</f>
        <v>2134.69</v>
      </c>
      <c r="J19" s="1139"/>
      <c r="K19" s="1138">
        <f t="shared" ref="K19:K26" si="3">ROUND(E$28*E19/E$27,2)</f>
        <v>2134.69</v>
      </c>
      <c r="L19" s="1026">
        <f t="shared" ref="L19:L26" si="4">ROUND(IF(COUNTIF(C19,"*住宅*")&gt;0,E$29*E19/E$32,0),2)</f>
        <v>0</v>
      </c>
      <c r="M19" s="1150">
        <f>K19+L19</f>
        <v>2134.69</v>
      </c>
      <c r="N19" s="1667"/>
      <c r="O19" s="1668"/>
      <c r="P19" s="1150">
        <f>N19+O19</f>
        <v>0</v>
      </c>
      <c r="R19" s="1026">
        <f t="shared" ref="R19:S26" si="5">D19+H19</f>
        <v>7720.87</v>
      </c>
      <c r="S19" s="1027">
        <f t="shared" si="5"/>
        <v>9801.27</v>
      </c>
    </row>
    <row r="20" spans="1:19">
      <c r="A20" s="1669"/>
      <c r="B20" s="47" t="s">
        <v>1148</v>
      </c>
      <c r="C20" s="3413"/>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1148</v>
      </c>
      <c r="C21" s="3413"/>
      <c r="D21" s="45">
        <f t="shared" si="6"/>
        <v>0</v>
      </c>
      <c r="E21" s="53">
        <f t="shared" si="1"/>
        <v>0</v>
      </c>
      <c r="F21" s="2793"/>
      <c r="G21" s="2794"/>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1148</v>
      </c>
      <c r="C22" s="3414"/>
      <c r="D22" s="45">
        <f t="shared" si="6"/>
        <v>0</v>
      </c>
      <c r="E22" s="53">
        <f t="shared" si="1"/>
        <v>0</v>
      </c>
      <c r="F22" s="2795"/>
      <c r="G22" s="2796"/>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1148</v>
      </c>
      <c r="C23" s="3414"/>
      <c r="D23" s="45">
        <f>ROUND($D$3*E23/$E$3,2)</f>
        <v>0</v>
      </c>
      <c r="E23" s="53">
        <f>SUM(F23:G23)</f>
        <v>0</v>
      </c>
      <c r="F23" s="2795"/>
      <c r="G23" s="2796"/>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1148</v>
      </c>
      <c r="C24" s="3414"/>
      <c r="D24" s="45">
        <f>ROUND($D$3*E24/$E$3,2)</f>
        <v>0</v>
      </c>
      <c r="E24" s="53">
        <f>SUM(F24:G24)</f>
        <v>0</v>
      </c>
      <c r="F24" s="2795"/>
      <c r="G24" s="2796"/>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1148</v>
      </c>
      <c r="C25" s="3414"/>
      <c r="D25" s="45">
        <f t="shared" si="6"/>
        <v>0</v>
      </c>
      <c r="E25" s="53">
        <f t="shared" si="1"/>
        <v>0</v>
      </c>
      <c r="F25" s="2795"/>
      <c r="G25" s="2796"/>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1148</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1149</v>
      </c>
      <c r="D27" s="1140">
        <f>SUM(D19:D26)</f>
        <v>6039.29</v>
      </c>
      <c r="E27" s="1141">
        <f>IF(SUM(E19:E26)='数据-基础表'!BA5,SUM(E19:E26),IF(F27="地上面积有误","面积有误","地下面积有误"))</f>
        <v>7666.58</v>
      </c>
      <c r="F27" s="1140">
        <f>IF(SUM(F19:F26)=E8,SUM(F19:F26),"地上面积有误")</f>
        <v>7666.58</v>
      </c>
      <c r="G27" s="1142">
        <f>SUM(G19:G26)</f>
        <v>0</v>
      </c>
      <c r="H27" s="1143">
        <f>SUM(H19:H26)</f>
        <v>1681.58</v>
      </c>
      <c r="I27" s="1144">
        <f>SUM(I19:I26)</f>
        <v>2134.69</v>
      </c>
      <c r="J27" s="1139"/>
      <c r="K27" s="1147">
        <f>SUM(K19:K26)</f>
        <v>2134.69</v>
      </c>
      <c r="L27" s="1148">
        <f>SUM(L19:L26)</f>
        <v>0</v>
      </c>
      <c r="M27" s="1151">
        <f>SUM(M19:M26)</f>
        <v>2134.69</v>
      </c>
      <c r="N27" s="1147">
        <f t="shared" ref="N27:O27" si="10">SUM(N19:N26)</f>
        <v>0</v>
      </c>
      <c r="O27" s="1148">
        <f t="shared" si="10"/>
        <v>0</v>
      </c>
      <c r="P27" s="1149">
        <f>SUM(P19:P26)</f>
        <v>0</v>
      </c>
      <c r="R27" s="1028">
        <f>IF(SUM(R19:R26)=$D$3,SUM(R19:R26),SUM(R19:R26)&amp;"误差"&amp;ROUND(SUM(R19:R26)-$D$3,2))</f>
        <v>7720.87</v>
      </c>
      <c r="S27" s="1026">
        <f>IF(SUM(S19:S26)=$E$3,SUM(S19:S26),SUM(S19:S26)&amp;"误差"&amp;ROUND(SUM(S19:S26)-E3,2))</f>
        <v>9801.27</v>
      </c>
    </row>
    <row r="28" spans="1:19">
      <c r="A28" s="1669"/>
      <c r="B28" s="47" t="s">
        <v>1150</v>
      </c>
      <c r="C28" s="1038" t="s">
        <v>1151</v>
      </c>
      <c r="D28" s="45">
        <f>ROUND($D$3*E28/$E$3,2)</f>
        <v>1681.58</v>
      </c>
      <c r="E28" s="53">
        <f>SUM(F28:G28)</f>
        <v>2134.69</v>
      </c>
      <c r="F28" s="56">
        <f>'数据-基础表'!BQ5+'数据-基础表'!BS5</f>
        <v>2134.69</v>
      </c>
      <c r="G28" s="57">
        <f>'数据-基础表'!BR5+'数据-基础表'!BT5</f>
        <v>0</v>
      </c>
      <c r="H28" s="2657"/>
      <c r="I28" s="2657"/>
      <c r="J28" s="2657"/>
      <c r="K28" s="2657"/>
      <c r="L28" s="2657"/>
      <c r="M28" s="2657"/>
      <c r="N28" s="2657"/>
      <c r="O28" s="2657"/>
      <c r="P28" s="2657"/>
    </row>
    <row r="29" spans="1:19">
      <c r="A29" s="1669"/>
      <c r="B29" s="47" t="s">
        <v>1150</v>
      </c>
      <c r="C29" s="1673" t="s">
        <v>1152</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1149</v>
      </c>
      <c r="D30" s="1140">
        <f>SUM(D28:D29)</f>
        <v>1681.58</v>
      </c>
      <c r="E30" s="1140">
        <f>SUM(E28:E29)</f>
        <v>2134.69</v>
      </c>
      <c r="F30" s="1140">
        <f>SUM(F28:F29)</f>
        <v>2134.69</v>
      </c>
      <c r="G30" s="1142">
        <f>SUM(G28:G29)</f>
        <v>0</v>
      </c>
      <c r="H30" s="2657"/>
      <c r="I30" s="2657"/>
      <c r="J30" s="2657"/>
      <c r="K30" s="2657"/>
      <c r="L30" s="2657"/>
      <c r="M30" s="2657"/>
      <c r="N30" s="2657"/>
      <c r="O30" s="2657"/>
      <c r="P30" s="2657"/>
    </row>
    <row r="31" spans="1:19" ht="15.75" thickBot="1">
      <c r="A31" s="1675"/>
      <c r="B31" s="1676"/>
      <c r="C31" s="835" t="s">
        <v>1153</v>
      </c>
      <c r="D31" s="676">
        <f>D27+D30</f>
        <v>7720.87</v>
      </c>
      <c r="E31" s="676">
        <f>E27+E30</f>
        <v>9801.27</v>
      </c>
      <c r="F31" s="677">
        <f>F27+F30</f>
        <v>9801.27</v>
      </c>
      <c r="G31" s="678">
        <f>G27+G30</f>
        <v>0</v>
      </c>
      <c r="H31" s="2657"/>
      <c r="I31" s="2657"/>
      <c r="J31" s="2657"/>
      <c r="K31" s="2657"/>
      <c r="L31" s="2657"/>
      <c r="M31" s="2657"/>
      <c r="N31" s="2657"/>
      <c r="O31" s="2657"/>
      <c r="P31" s="2657"/>
    </row>
    <row r="32" spans="1:19">
      <c r="A32" s="1642"/>
      <c r="B32" s="1642" t="s">
        <v>1154</v>
      </c>
      <c r="C32" s="1642"/>
      <c r="D32" s="1642"/>
      <c r="E32" s="1053">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G38" sqref="G3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1"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24" width="6.75" style="1681" customWidth="1"/>
    <col min="25" max="25" width="9.25" style="1681" customWidth="1"/>
    <col min="26"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1155</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2" t="s">
        <v>1156</v>
      </c>
      <c r="B2" s="1045">
        <f>项目基本情况!D3</f>
        <v>45217</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9" customFormat="1" ht="15" thickBot="1">
      <c r="A3" s="1557"/>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9" customFormat="1" ht="15" thickBot="1">
      <c r="A4" s="60" t="s">
        <v>1157</v>
      </c>
      <c r="B4" s="1687"/>
      <c r="C4" s="1688"/>
      <c r="D4" s="1689"/>
      <c r="E4" s="1688" t="s">
        <v>1158</v>
      </c>
      <c r="F4" s="1688"/>
      <c r="G4" s="1688"/>
      <c r="H4" s="1688"/>
      <c r="I4" s="1688"/>
      <c r="J4" s="1690"/>
      <c r="K4" s="1691"/>
      <c r="L4" s="1692"/>
      <c r="M4" s="1688"/>
      <c r="N4" s="1688" t="s">
        <v>1159</v>
      </c>
      <c r="O4" s="1688"/>
      <c r="P4" s="1688"/>
      <c r="Q4" s="1688"/>
      <c r="R4" s="1688"/>
      <c r="S4" s="1690"/>
      <c r="T4" s="2656" t="str">
        <f>'数据-汇总表'!I17</f>
        <v>按面积比例</v>
      </c>
      <c r="U4" s="1687" t="s">
        <v>1160</v>
      </c>
      <c r="V4" s="1688"/>
      <c r="W4" s="1688"/>
      <c r="X4" s="1688"/>
      <c r="Y4" s="1690"/>
      <c r="Z4" s="1651" t="s">
        <v>1161</v>
      </c>
      <c r="AA4" s="1651"/>
      <c r="AB4" s="1651"/>
      <c r="AC4" s="1651"/>
      <c r="AD4" s="1651"/>
      <c r="AE4" s="1649" t="s">
        <v>1162</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60" customFormat="1" ht="42">
      <c r="A5" s="1694" t="s">
        <v>1163</v>
      </c>
      <c r="B5" s="1695" t="s">
        <v>1164</v>
      </c>
      <c r="C5" s="1696" t="s">
        <v>1165</v>
      </c>
      <c r="D5" s="1697" t="s">
        <v>1166</v>
      </c>
      <c r="E5" s="1047" t="s">
        <v>1167</v>
      </c>
      <c r="F5" s="1698" t="s">
        <v>1168</v>
      </c>
      <c r="G5" s="1047" t="s">
        <v>1169</v>
      </c>
      <c r="H5" s="1047" t="s">
        <v>1170</v>
      </c>
      <c r="I5" s="1047" t="s">
        <v>1171</v>
      </c>
      <c r="J5" s="1699" t="s">
        <v>1172</v>
      </c>
      <c r="K5" s="1700" t="s">
        <v>1173</v>
      </c>
      <c r="L5" s="1701" t="s">
        <v>1174</v>
      </c>
      <c r="M5" s="1702" t="s">
        <v>1175</v>
      </c>
      <c r="N5" s="1703" t="s">
        <v>3423</v>
      </c>
      <c r="O5" s="1701" t="s">
        <v>1176</v>
      </c>
      <c r="P5" s="1704" t="s">
        <v>1177</v>
      </c>
      <c r="Q5" s="61" t="s">
        <v>1178</v>
      </c>
      <c r="R5" s="1705" t="s">
        <v>1179</v>
      </c>
      <c r="S5" s="1706" t="s">
        <v>1180</v>
      </c>
      <c r="T5" s="1707" t="s">
        <v>1181</v>
      </c>
      <c r="U5" s="1046" t="s">
        <v>1182</v>
      </c>
      <c r="V5" s="1047" t="s">
        <v>1183</v>
      </c>
      <c r="W5" s="1047" t="s">
        <v>1184</v>
      </c>
      <c r="X5" s="63"/>
      <c r="Y5" s="62" t="s">
        <v>1185</v>
      </c>
      <c r="Z5" s="1708" t="s">
        <v>1182</v>
      </c>
      <c r="AA5" s="1047" t="s">
        <v>1183</v>
      </c>
      <c r="AB5" s="1047" t="s">
        <v>1184</v>
      </c>
      <c r="AC5" s="63"/>
      <c r="AD5" s="63" t="s">
        <v>1185</v>
      </c>
      <c r="AE5" s="1046" t="s">
        <v>1186</v>
      </c>
      <c r="AF5" s="1047" t="s">
        <v>1187</v>
      </c>
      <c r="AG5" s="62" t="s">
        <v>1188</v>
      </c>
      <c r="AH5" s="1046" t="s">
        <v>1189</v>
      </c>
      <c r="AI5" s="1708" t="s">
        <v>1190</v>
      </c>
      <c r="AJ5" s="1708" t="s">
        <v>1191</v>
      </c>
      <c r="AK5" s="1047" t="s">
        <v>1192</v>
      </c>
      <c r="AL5" s="1047" t="s">
        <v>1193</v>
      </c>
      <c r="AM5" s="62" t="s">
        <v>1194</v>
      </c>
      <c r="AN5" s="1709" t="s">
        <v>1195</v>
      </c>
      <c r="AO5" s="1562" t="s">
        <v>1196</v>
      </c>
      <c r="AP5" s="1028" t="s">
        <v>1197</v>
      </c>
      <c r="AQ5" s="1710" t="s">
        <v>1198</v>
      </c>
      <c r="AR5" s="1710" t="s">
        <v>1199</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1" t="str">
        <f>'数据-汇总表'!C19</f>
        <v>商业</v>
      </c>
      <c r="B6" s="1712" t="str">
        <f>IF(A6=0,"","经营性")</f>
        <v>经营性</v>
      </c>
      <c r="C6" s="1713" t="s">
        <v>669</v>
      </c>
      <c r="D6" s="858">
        <f>SUMIF(项目基本情况!C$12:I$12,C6,项目基本情况!C$14:I$14)</f>
        <v>40</v>
      </c>
      <c r="E6" s="857">
        <f>IF(B6="","",SUMIF(项目基本情况!C$12:I$12,C6,项目基本情况!C$13:I$13))</f>
        <v>58183</v>
      </c>
      <c r="F6" s="64">
        <f>SUMIF(项目基本情况!C$12:I$12,C6,项目基本情况!C$15:I$15)</f>
        <v>35.520000000000003</v>
      </c>
      <c r="G6" s="65">
        <f>IF(ISERROR(ROUND(POWER(1+H6,D6-F6)*(POWER(1+H6,F6)-1)/(POWER(1+H6,D6)-1),3)),0,ROUND(POWER(1+H6,D6-F6)*(POWER(1+H6,F6)-1)/(POWER(1+H6,D6)-1),3))</f>
        <v>0.96</v>
      </c>
      <c r="H6" s="732">
        <v>0.05</v>
      </c>
      <c r="I6" s="732">
        <v>5.5E-2</v>
      </c>
      <c r="J6" s="66">
        <v>7.0000000000000007E-2</v>
      </c>
      <c r="K6" s="1030">
        <f>SUMIF('数据-汇总表'!C$19:C$33,A6,'数据-汇总表'!E$19:E$33)</f>
        <v>7666.58</v>
      </c>
      <c r="L6" s="733">
        <v>2000</v>
      </c>
      <c r="M6" s="67">
        <f t="shared" ref="M6:M14" si="0">ROUND(K6*L6/10000,0)</f>
        <v>1533</v>
      </c>
      <c r="N6" s="731">
        <v>0</v>
      </c>
      <c r="O6" s="67">
        <f>IF($N$5="成新度","——",ROUND(M6*N6,0))</f>
        <v>0</v>
      </c>
      <c r="P6" s="68">
        <f>IF($N$5="成新度","——",M6-O6)</f>
        <v>1533</v>
      </c>
      <c r="Q6" s="734">
        <v>0.1</v>
      </c>
      <c r="R6" s="69">
        <f ca="1">SUMIF('数据-汇总表'!C$19:C$33,A6,'数据-汇总表'!R$19:R$27)</f>
        <v>7720.87</v>
      </c>
      <c r="S6" s="51">
        <f>IF('数据-汇总表'!$I$17="按面积比例",SUMIF('数据-汇总表'!C$19:C$33,A6,'数据-汇总表'!K$19:K$33),SUMIF('数据-汇总表'!C$19:C$33,A6,'数据-汇总表'!N$19:N$33))</f>
        <v>2134.69</v>
      </c>
      <c r="T6" s="1172">
        <f>ROUND($L$14*S6/10000,0)</f>
        <v>427</v>
      </c>
      <c r="U6" s="3457">
        <v>1.8</v>
      </c>
      <c r="V6" s="70">
        <v>0</v>
      </c>
      <c r="W6" s="70">
        <v>0.1</v>
      </c>
      <c r="X6" s="1040"/>
      <c r="Y6" s="71">
        <v>1</v>
      </c>
      <c r="Z6" s="72"/>
      <c r="AA6" s="66"/>
      <c r="AB6" s="66"/>
      <c r="AC6" s="1040"/>
      <c r="AD6" s="73"/>
      <c r="AE6" s="1041">
        <f ca="1">IF(AN6="",0,SUMIF(INDIRECT("'"&amp;AN6&amp;"'"&amp;"!E:E"),$AE$5,INDIRECT("'"&amp;AN6&amp;"'"&amp;"!F:F")))</f>
        <v>34.520000000000003</v>
      </c>
      <c r="AF6" s="1348"/>
      <c r="AG6" s="138">
        <f>IF(AF6="",0,AE6-AF6)</f>
        <v>0</v>
      </c>
      <c r="AH6" s="74"/>
      <c r="AI6" s="76">
        <v>365</v>
      </c>
      <c r="AJ6" s="77"/>
      <c r="AK6" s="78">
        <v>1.4999999999999999E-2</v>
      </c>
      <c r="AL6" s="79">
        <v>1.5E-3</v>
      </c>
      <c r="AM6" s="80">
        <v>0.01</v>
      </c>
      <c r="AN6" s="1714" t="s">
        <v>3405</v>
      </c>
      <c r="AO6" s="52">
        <f ca="1">SUMIF(INDIRECT("'"&amp;AN6&amp;"'"&amp;"!A:A"),"总价",INDIRECT("'"&amp;AN6&amp;"'"&amp;"!B:B"))</f>
        <v>4994</v>
      </c>
      <c r="AP6" s="1715">
        <f>IF(C6="住宅",K6*L6,0)</f>
        <v>0</v>
      </c>
      <c r="AQ6" s="52">
        <f>ROUND($L$14*$N$14*S6/10000,0)</f>
        <v>0</v>
      </c>
      <c r="AR6" s="52">
        <f>ROUND($L$14*(1-$N$14)*S6/10000,0)</f>
        <v>427</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9"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9"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9"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9"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9"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9"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9"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9" customFormat="1" ht="14.25">
      <c r="A14" s="1716" t="s">
        <v>1200</v>
      </c>
      <c r="B14" s="1712" t="s">
        <v>1201</v>
      </c>
      <c r="C14" s="1717" t="s">
        <v>1200</v>
      </c>
      <c r="D14" s="858"/>
      <c r="E14" s="857"/>
      <c r="F14" s="64"/>
      <c r="G14" s="65"/>
      <c r="H14" s="1029"/>
      <c r="I14" s="1029"/>
      <c r="J14" s="1029"/>
      <c r="K14" s="1030">
        <f>SUMIF('数据-汇总表'!C$19:C$33,A14,'数据-汇总表'!E$19:E$33)</f>
        <v>2134.69</v>
      </c>
      <c r="L14" s="82">
        <v>2000</v>
      </c>
      <c r="M14" s="67">
        <f t="shared" si="0"/>
        <v>427</v>
      </c>
      <c r="N14" s="83">
        <v>0</v>
      </c>
      <c r="O14" s="67">
        <f t="shared" si="3"/>
        <v>0</v>
      </c>
      <c r="P14" s="68">
        <f t="shared" si="4"/>
        <v>427</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9" customFormat="1" ht="27">
      <c r="A15" s="1716" t="s">
        <v>1202</v>
      </c>
      <c r="B15" s="1712" t="s">
        <v>1201</v>
      </c>
      <c r="C15" s="1717" t="s">
        <v>1203</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9" customFormat="1" ht="15.75" thickBot="1">
      <c r="A16" s="1718" t="s">
        <v>1204</v>
      </c>
      <c r="B16" s="88"/>
      <c r="C16" s="833"/>
      <c r="D16" s="1719"/>
      <c r="E16" s="88"/>
      <c r="F16" s="88"/>
      <c r="G16" s="89">
        <f>ROUND(SUMPRODUCT(G6:G13,K6:K13)/SUMPRODUCT((G6:G13&gt;0)*(K6:K13)),3)</f>
        <v>0.96</v>
      </c>
      <c r="H16" s="90">
        <f>ROUND(SUMPRODUCT(H6:H13,K6:K13)/SUMPRODUCT((H6:H13&gt;0)*(K6:K13)),3)</f>
        <v>0.05</v>
      </c>
      <c r="I16" s="91"/>
      <c r="J16" s="91"/>
      <c r="K16" s="92">
        <f>SUM(K6:K15)</f>
        <v>9801.27</v>
      </c>
      <c r="L16" s="93">
        <f>ROUND(M16*10000/SUM(K6:K14),0)</f>
        <v>2000</v>
      </c>
      <c r="M16" s="93">
        <f>SUM(M6:M14)</f>
        <v>1960</v>
      </c>
      <c r="N16" s="94">
        <f>ROUND(SUMPRODUCT(M6:M14,N6:N14)/M16,3)</f>
        <v>0</v>
      </c>
      <c r="O16" s="93">
        <f>SUM(O6:O14)</f>
        <v>0</v>
      </c>
      <c r="P16" s="93">
        <f>SUM(P6:P14)</f>
        <v>1960</v>
      </c>
      <c r="Q16" s="95">
        <f>ROUND(SUMPRODUCT(Q6:Q13,K6:K13)/SUMPRODUCT((Q6:Q13&gt;0)*(K6:K13)),2)</f>
        <v>0.1</v>
      </c>
      <c r="R16" s="1034">
        <f ca="1">SUM(R6:R13)</f>
        <v>7720.87</v>
      </c>
      <c r="S16" s="96">
        <f>SUM(S6:S13)</f>
        <v>2134.69</v>
      </c>
      <c r="T16" s="97">
        <f>IF(SUMIF(T6:T13,"&lt;9E307")=M14,SUMIF(T6:T13,"&lt;9E307"),"有误，请检查")</f>
        <v>427</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1205</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1206</v>
      </c>
      <c r="B19" s="103">
        <v>0</v>
      </c>
      <c r="C19" s="2797" t="s">
        <v>2300</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1207</v>
      </c>
      <c r="B20" s="104">
        <v>1</v>
      </c>
      <c r="C20" s="2798" t="s">
        <v>2298</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1208</v>
      </c>
      <c r="B21" s="104">
        <v>0</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1209</v>
      </c>
      <c r="B22" s="105">
        <f>B19+B20</f>
        <v>1</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1210</v>
      </c>
      <c r="B23" s="105">
        <f>B19+B21</f>
        <v>0</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1211</v>
      </c>
      <c r="B24" s="106">
        <f>B20-B21</f>
        <v>1</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1212</v>
      </c>
      <c r="B26" s="1725" t="s">
        <v>1213</v>
      </c>
      <c r="C26" s="2675" t="s">
        <v>1214</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1215</v>
      </c>
      <c r="B27" s="107">
        <v>80</v>
      </c>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1216</v>
      </c>
      <c r="B28" s="110">
        <v>80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1217</v>
      </c>
      <c r="B29" s="112">
        <f ca="1">假设开发法!C20</f>
        <v>78</v>
      </c>
      <c r="C29" s="2800" t="s">
        <v>2289</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1218</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1219</v>
      </c>
      <c r="B31" s="111">
        <f>B30-B32</f>
        <v>80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1220</v>
      </c>
      <c r="B32" s="672">
        <v>120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1221</v>
      </c>
      <c r="B33" s="673">
        <v>0.05</v>
      </c>
      <c r="C33" s="2801" t="s">
        <v>2290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1222</v>
      </c>
      <c r="B34" s="113">
        <v>0</v>
      </c>
      <c r="C34" s="2801" t="s">
        <v>2291</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1223</v>
      </c>
      <c r="B35" s="110">
        <v>200</v>
      </c>
      <c r="C35" s="2801" t="s">
        <v>2292</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1224</v>
      </c>
      <c r="B36" s="114">
        <v>1.4999999999999999E-2</v>
      </c>
      <c r="C36" s="2801" t="s">
        <v>2293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1225</v>
      </c>
      <c r="B37" s="115">
        <v>0.02</v>
      </c>
      <c r="C37" s="2801" t="s">
        <v>2294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1226</v>
      </c>
      <c r="B38" s="113">
        <v>0.02</v>
      </c>
      <c r="C38" s="2801" t="s">
        <v>2294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1227</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2309</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1228</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1229</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1230</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1231</v>
      </c>
      <c r="B44" s="119">
        <v>0.05</v>
      </c>
      <c r="C44" s="2801" t="s">
        <v>2303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1232</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1233</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1234</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1235</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1236</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1237</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1238</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1239</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1240</v>
      </c>
      <c r="B53" s="1737" t="s">
        <v>29</v>
      </c>
      <c r="C53" s="2659" t="s">
        <v>1241</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1242</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1243</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1244</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1245</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1246</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1247</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1248</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1249</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1250</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1251</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55" t="s">
        <v>2281</v>
      </c>
      <c r="B1" s="3556"/>
      <c r="C1" s="3556"/>
      <c r="D1" s="3556"/>
      <c r="E1" s="3556"/>
      <c r="F1" s="3556"/>
      <c r="G1" s="355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2276</v>
      </c>
      <c r="D2" s="2459"/>
      <c r="E2" s="2456"/>
      <c r="F2" s="2460"/>
      <c r="G2" s="2458" t="s">
        <v>2277</v>
      </c>
      <c r="H2" s="799"/>
      <c r="I2" s="799"/>
      <c r="J2" s="799"/>
      <c r="K2" s="799"/>
      <c r="L2" s="799"/>
      <c r="M2" s="799"/>
      <c r="N2" s="799"/>
      <c r="O2" s="799"/>
      <c r="P2" s="799"/>
      <c r="Q2" s="799"/>
      <c r="R2" s="799"/>
    </row>
    <row r="3" spans="1:29" ht="48">
      <c r="A3" s="2439" t="s">
        <v>2278</v>
      </c>
      <c r="B3" s="2461" t="s">
        <v>2247</v>
      </c>
      <c r="C3" s="2462" t="s">
        <v>2279</v>
      </c>
      <c r="D3" s="2463"/>
      <c r="E3" s="2440" t="s">
        <v>2278</v>
      </c>
      <c r="F3" s="2464" t="s">
        <v>2248</v>
      </c>
      <c r="G3" s="2465" t="s">
        <v>2280</v>
      </c>
      <c r="H3" s="799"/>
      <c r="I3" s="799"/>
      <c r="J3" s="799"/>
      <c r="K3" s="799"/>
      <c r="L3" s="799"/>
      <c r="M3" s="799"/>
      <c r="N3" s="799"/>
      <c r="O3" s="799"/>
      <c r="P3" s="799"/>
      <c r="Q3" s="799"/>
      <c r="R3" s="799"/>
    </row>
    <row r="4" spans="1:29" ht="36.75">
      <c r="A4" s="2440"/>
      <c r="B4" s="323" t="s">
        <v>2249</v>
      </c>
      <c r="C4" s="2466" t="s">
        <v>2250</v>
      </c>
      <c r="D4" s="2463"/>
      <c r="E4" s="2467"/>
      <c r="F4" s="1373" t="s">
        <v>2251</v>
      </c>
      <c r="G4" s="2468" t="s">
        <v>2252</v>
      </c>
      <c r="H4" s="799"/>
      <c r="I4" s="799"/>
      <c r="J4" s="799"/>
      <c r="K4" s="799"/>
      <c r="L4" s="799"/>
      <c r="M4" s="799"/>
      <c r="N4" s="799"/>
      <c r="O4" s="799"/>
      <c r="P4" s="799"/>
      <c r="Q4" s="799"/>
      <c r="R4" s="799"/>
    </row>
    <row r="5" spans="1:29" ht="36.75">
      <c r="A5" s="2440"/>
      <c r="B5" s="323" t="s">
        <v>2253</v>
      </c>
      <c r="C5" s="2466" t="s">
        <v>2254</v>
      </c>
      <c r="D5" s="2463"/>
      <c r="E5" s="2467"/>
      <c r="F5" s="323" t="s">
        <v>2255</v>
      </c>
      <c r="G5" s="2468" t="s">
        <v>2256</v>
      </c>
      <c r="H5" s="799"/>
      <c r="I5" s="799"/>
      <c r="J5" s="799"/>
      <c r="K5" s="799"/>
      <c r="L5" s="799"/>
      <c r="M5" s="799"/>
      <c r="N5" s="799"/>
      <c r="O5" s="799"/>
      <c r="P5" s="799"/>
      <c r="Q5" s="799"/>
      <c r="R5" s="799"/>
    </row>
    <row r="6" spans="1:29" ht="36">
      <c r="A6" s="2440"/>
      <c r="B6" s="323" t="s">
        <v>2257</v>
      </c>
      <c r="C6" s="2468" t="s">
        <v>2252</v>
      </c>
      <c r="D6" s="2463"/>
      <c r="E6" s="2467"/>
      <c r="F6" s="323" t="s">
        <v>2258</v>
      </c>
      <c r="G6" s="2468" t="s">
        <v>2259</v>
      </c>
      <c r="H6" s="799"/>
      <c r="I6" s="799"/>
      <c r="J6" s="799"/>
      <c r="K6" s="799"/>
      <c r="L6" s="799"/>
      <c r="M6" s="799"/>
      <c r="N6" s="799"/>
      <c r="O6" s="799"/>
      <c r="P6" s="799"/>
      <c r="Q6" s="799"/>
      <c r="R6" s="799"/>
    </row>
    <row r="7" spans="1:29" ht="24.75" thickBot="1">
      <c r="A7" s="2440"/>
      <c r="B7" s="323" t="s">
        <v>2255</v>
      </c>
      <c r="C7" s="2468" t="s">
        <v>2256</v>
      </c>
      <c r="D7" s="2469"/>
      <c r="E7" s="2470"/>
      <c r="F7" s="2471" t="s">
        <v>2260</v>
      </c>
      <c r="G7" s="2472" t="s">
        <v>2261</v>
      </c>
      <c r="H7" s="799"/>
      <c r="I7" s="799"/>
      <c r="J7" s="799"/>
      <c r="K7" s="799"/>
      <c r="L7" s="799"/>
      <c r="M7" s="799"/>
      <c r="N7" s="799"/>
      <c r="O7" s="799"/>
      <c r="P7" s="799"/>
      <c r="Q7" s="799"/>
      <c r="R7" s="799"/>
    </row>
    <row r="8" spans="1:29">
      <c r="A8" s="2440"/>
      <c r="B8" s="323" t="s">
        <v>2258</v>
      </c>
      <c r="C8" s="2468" t="s">
        <v>2259</v>
      </c>
      <c r="D8" s="2469"/>
      <c r="E8" s="2469"/>
      <c r="F8" s="2473"/>
      <c r="G8" s="2473"/>
      <c r="H8" s="799"/>
      <c r="I8" s="799"/>
      <c r="J8" s="799"/>
      <c r="K8" s="799"/>
      <c r="L8" s="799"/>
      <c r="M8" s="799"/>
      <c r="N8" s="799"/>
      <c r="O8" s="799"/>
      <c r="P8" s="799"/>
      <c r="Q8" s="799"/>
      <c r="R8" s="799"/>
    </row>
    <row r="9" spans="1:29" ht="24">
      <c r="A9" s="2440"/>
      <c r="B9" s="323" t="s">
        <v>2262</v>
      </c>
      <c r="C9" s="2466" t="s">
        <v>2263</v>
      </c>
      <c r="D9" s="2463"/>
      <c r="E9" s="2469"/>
      <c r="F9" s="2473"/>
      <c r="G9" s="2473"/>
      <c r="H9" s="799"/>
      <c r="I9" s="799"/>
      <c r="J9" s="799"/>
      <c r="K9" s="799"/>
      <c r="L9" s="799"/>
      <c r="M9" s="799"/>
      <c r="N9" s="799"/>
      <c r="O9" s="799"/>
      <c r="P9" s="799"/>
      <c r="Q9" s="799"/>
      <c r="R9" s="799"/>
    </row>
    <row r="10" spans="1:29" s="2479" customFormat="1" ht="15" thickBot="1">
      <c r="A10" s="2441"/>
      <c r="B10" s="2474" t="s">
        <v>2264</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2265</v>
      </c>
      <c r="D14" s="2463"/>
      <c r="E14" s="2494"/>
      <c r="F14" s="2494"/>
      <c r="G14" s="2458" t="s">
        <v>2266</v>
      </c>
    </row>
    <row r="15" spans="1:29" ht="51">
      <c r="A15" s="2442" t="s">
        <v>2267</v>
      </c>
      <c r="B15" s="2495" t="s">
        <v>2247</v>
      </c>
      <c r="C15" s="2496" t="str">
        <f>C3</f>
        <v>估价对象周边居住用地比例、居住小区规模和社区发展完善程度，综合评价居住社区成熟度一般</v>
      </c>
      <c r="D15" s="2463"/>
      <c r="E15" s="2443" t="s">
        <v>2268</v>
      </c>
      <c r="F15" s="2495" t="s">
        <v>2269</v>
      </c>
      <c r="G15" s="2497" t="str">
        <f>G3</f>
        <v>估价对象位于XX开发区，园区建设成熟度XX，产业集聚程度XX</v>
      </c>
    </row>
    <row r="16" spans="1:29" ht="38.25">
      <c r="A16" s="2444"/>
      <c r="B16" s="2498" t="s">
        <v>2249</v>
      </c>
      <c r="C16" s="2499" t="str">
        <f>C4</f>
        <v>估价对象位于XX商圈，周边商业氛围成熟，人流量大，商业繁华度好</v>
      </c>
      <c r="D16" s="2463"/>
      <c r="E16" s="2445"/>
      <c r="F16" s="2500" t="s">
        <v>2251</v>
      </c>
      <c r="G16" s="2501" t="str">
        <f>G4</f>
        <v>估价对象周边道路状况、公共交通通达情况、停车便捷程度，综合评价交通便捷度较好</v>
      </c>
    </row>
    <row r="17" spans="1:18" ht="38.25">
      <c r="A17" s="2444"/>
      <c r="B17" s="2498" t="s">
        <v>2253</v>
      </c>
      <c r="C17" s="2499" t="str">
        <f>C5</f>
        <v>估价对象位于XX商圈，周边办公楼项目较多，入驻率高，办公集聚程度较好</v>
      </c>
      <c r="D17" s="2469"/>
      <c r="E17" s="2445"/>
      <c r="F17" s="2500" t="s">
        <v>2270</v>
      </c>
      <c r="G17" s="2502"/>
    </row>
    <row r="18" spans="1:18" ht="38.25">
      <c r="A18" s="2444"/>
      <c r="B18" s="2500" t="s">
        <v>2257</v>
      </c>
      <c r="C18" s="2501" t="str">
        <f>C6</f>
        <v>估价对象周边道路状况、公共交通通达情况、停车便捷程度，综合评价交通便捷度较好</v>
      </c>
      <c r="D18" s="2469"/>
      <c r="E18" s="2445"/>
      <c r="F18" s="2500" t="s">
        <v>2260</v>
      </c>
      <c r="G18" s="2501" t="str">
        <f>G7</f>
        <v>该园区内是否有污染型企业，绿化情况，卫生条件，整体环境状况判断</v>
      </c>
    </row>
    <row r="19" spans="1:18" ht="25.5">
      <c r="A19" s="2444"/>
      <c r="B19" s="2500" t="s">
        <v>2271</v>
      </c>
      <c r="C19" s="2502"/>
      <c r="D19" s="2463"/>
      <c r="E19" s="2445"/>
      <c r="F19" s="323" t="s">
        <v>2255</v>
      </c>
      <c r="G19" s="2501" t="str">
        <f>G5</f>
        <v>估价对象所在区域公共配套设施齐备情况</v>
      </c>
    </row>
    <row r="20" spans="1:18" ht="25.5">
      <c r="A20" s="2444"/>
      <c r="B20" s="2500" t="s">
        <v>2272</v>
      </c>
      <c r="C20" s="2499" t="str">
        <f>C9</f>
        <v>区域自然环境：；人文环境；综合评价环境状况一般</v>
      </c>
      <c r="D20" s="2469"/>
      <c r="E20" s="2445"/>
      <c r="F20" s="323" t="s">
        <v>2258</v>
      </c>
      <c r="G20" s="2501" t="str">
        <f>G6</f>
        <v>估价对象所在区域基础设施水平</v>
      </c>
    </row>
    <row r="21" spans="1:18" ht="25.5">
      <c r="A21" s="2444"/>
      <c r="B21" s="323" t="s">
        <v>2255</v>
      </c>
      <c r="C21" s="2501" t="str">
        <f>C7</f>
        <v>估价对象所在区域公共配套设施齐备情况</v>
      </c>
      <c r="D21" s="2463"/>
      <c r="E21" s="2445"/>
      <c r="F21" s="2500" t="s">
        <v>2273</v>
      </c>
      <c r="G21" s="2503"/>
    </row>
    <row r="22" spans="1:18" ht="13.5" customHeight="1">
      <c r="A22" s="2444"/>
      <c r="B22" s="323" t="s">
        <v>2258</v>
      </c>
      <c r="C22" s="2501" t="str">
        <f>C8</f>
        <v>估价对象所在区域基础设施水平</v>
      </c>
      <c r="D22" s="2463"/>
      <c r="E22" s="2445"/>
      <c r="F22" s="2500" t="s">
        <v>2264</v>
      </c>
      <c r="G22" s="2502"/>
    </row>
    <row r="23" spans="1:18" s="799" customFormat="1" ht="15" thickBot="1">
      <c r="A23" s="2444"/>
      <c r="B23" s="2500" t="s">
        <v>2273</v>
      </c>
      <c r="C23" s="2503"/>
      <c r="D23" s="1740"/>
      <c r="E23" s="2446"/>
      <c r="F23" s="2504" t="s">
        <v>2274</v>
      </c>
      <c r="G23" s="2505"/>
      <c r="H23" s="2489"/>
      <c r="I23" s="2490"/>
      <c r="J23" s="2489"/>
      <c r="K23" s="2489"/>
      <c r="L23" s="2490"/>
      <c r="M23" s="2489"/>
      <c r="N23" s="2489"/>
      <c r="O23" s="2490"/>
      <c r="P23" s="2489"/>
      <c r="Q23" s="2489"/>
      <c r="R23" s="2491"/>
    </row>
    <row r="24" spans="1:18" s="799" customFormat="1" ht="15" thickBot="1">
      <c r="A24" s="2447"/>
      <c r="B24" s="2504" t="s">
        <v>2275</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26"/>
  <sheetViews>
    <sheetView tabSelected="1" view="pageBreakPreview" zoomScale="80" zoomScaleNormal="80" zoomScaleSheetLayoutView="80" workbookViewId="0">
      <selection activeCell="F36" sqref="F36"/>
    </sheetView>
  </sheetViews>
  <sheetFormatPr defaultColWidth="9" defaultRowHeight="13.5"/>
  <cols>
    <col min="1" max="1" width="25" style="2511" customWidth="1"/>
    <col min="2" max="9" width="15.75" style="2511" customWidth="1"/>
    <col min="10" max="16384" width="9" style="2511"/>
  </cols>
  <sheetData>
    <row r="1" spans="1:11" ht="16.5">
      <c r="A1" s="2510" t="s">
        <v>661</v>
      </c>
      <c r="B1" s="2510">
        <f>SUM(B14:B23)</f>
        <v>178630.57999999984</v>
      </c>
      <c r="C1" s="2684"/>
      <c r="D1" s="2684"/>
      <c r="E1" s="2684"/>
      <c r="F1" s="2684"/>
      <c r="G1" s="2685"/>
      <c r="H1" s="2686"/>
      <c r="I1" s="2686"/>
      <c r="J1" s="2686"/>
      <c r="K1" s="2686"/>
    </row>
    <row r="2" spans="1:11" ht="16.5">
      <c r="A2" s="2510" t="s">
        <v>649</v>
      </c>
      <c r="B2" s="2510">
        <f>SUM(C14:C23)</f>
        <v>75967.510000000009</v>
      </c>
      <c r="C2" s="2684"/>
      <c r="D2" s="2684"/>
      <c r="E2" s="2684"/>
      <c r="F2" s="2684"/>
      <c r="G2" s="2685"/>
      <c r="H2" s="2686"/>
      <c r="I2" s="2686"/>
      <c r="J2" s="2686"/>
      <c r="K2" s="2686"/>
    </row>
    <row r="3" spans="1:11" ht="16.5">
      <c r="A3" s="2510" t="s">
        <v>658</v>
      </c>
      <c r="B3" s="2512">
        <f>项目基本情况!D3</f>
        <v>45217</v>
      </c>
      <c r="C3" s="2684"/>
      <c r="D3" s="2684"/>
      <c r="E3" s="2684"/>
      <c r="F3" s="2684"/>
      <c r="G3" s="2685"/>
      <c r="H3" s="2686"/>
      <c r="I3" s="2686"/>
      <c r="J3" s="2686"/>
      <c r="K3" s="2686"/>
    </row>
    <row r="4" spans="1:11" ht="33">
      <c r="A4" s="2510" t="s">
        <v>657</v>
      </c>
      <c r="B4" s="2510" t="s">
        <v>656</v>
      </c>
      <c r="C4" s="2510" t="s">
        <v>655</v>
      </c>
      <c r="D4" s="2510" t="s">
        <v>654</v>
      </c>
      <c r="E4" s="2684"/>
      <c r="F4" s="2685"/>
      <c r="G4" s="2685"/>
      <c r="H4" s="2686"/>
      <c r="I4" s="2686"/>
      <c r="J4" s="2686"/>
      <c r="K4" s="2686"/>
    </row>
    <row r="5" spans="1:11" ht="16.5">
      <c r="A5" s="2510" t="s">
        <v>653</v>
      </c>
      <c r="B5" s="2510">
        <f ca="1">SUM(D14:D23)</f>
        <v>119918</v>
      </c>
      <c r="C5" s="2510">
        <f ca="1">IF(B5=D14,结果表!H102,ROUND(B5*10000/$B$1,0))</f>
        <v>6713</v>
      </c>
      <c r="D5" s="2510">
        <f ca="1">ROUND(B5*10000/$B$2,0)</f>
        <v>15785</v>
      </c>
      <c r="E5" s="2684"/>
      <c r="F5" s="2685"/>
      <c r="G5" s="2685"/>
      <c r="H5" s="2686"/>
      <c r="I5" s="2686"/>
      <c r="J5" s="2686"/>
      <c r="K5" s="2686"/>
    </row>
    <row r="6" spans="1:11" ht="16.5">
      <c r="A6" s="2510" t="s">
        <v>652</v>
      </c>
      <c r="B6" s="2510">
        <f ca="1">SUM(G14:G23)</f>
        <v>119918</v>
      </c>
      <c r="C6" s="2510">
        <f ca="1">IF(B6=G14,结果表!H108,ROUND(B6*10000/$B$1,0))</f>
        <v>6713</v>
      </c>
      <c r="D6" s="2510">
        <f ca="1">ROUND(B6*10000/$B$2,0)</f>
        <v>15785</v>
      </c>
      <c r="E6" s="2684"/>
      <c r="F6" s="2685"/>
      <c r="G6" s="2685"/>
      <c r="H6" s="2686"/>
      <c r="I6" s="2686"/>
      <c r="J6" s="2686"/>
      <c r="K6" s="2686"/>
    </row>
    <row r="7" spans="1:11" ht="16.5">
      <c r="A7" s="2510" t="s">
        <v>660</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651</v>
      </c>
      <c r="B9" s="2518"/>
      <c r="C9" s="2684"/>
      <c r="D9" s="2684"/>
      <c r="E9" s="2684"/>
      <c r="F9" s="2685"/>
      <c r="G9" s="2685"/>
      <c r="H9" s="2686"/>
      <c r="I9" s="2686"/>
      <c r="J9" s="2686"/>
      <c r="K9" s="2686"/>
    </row>
    <row r="10" spans="1:11" ht="16.5">
      <c r="A10" s="2510" t="s">
        <v>650</v>
      </c>
      <c r="B10" s="2510">
        <f>IF(E10="",0,ROUND(B1*(E10*365/G10)/10000,0))</f>
        <v>0</v>
      </c>
      <c r="C10" s="2510" t="s">
        <v>3356</v>
      </c>
      <c r="D10" s="2510" t="s">
        <v>3357</v>
      </c>
      <c r="E10" s="3437"/>
      <c r="F10" s="3441" t="s">
        <v>3358</v>
      </c>
      <c r="G10" s="3438"/>
      <c r="H10" s="2686"/>
      <c r="I10" s="2686"/>
      <c r="J10" s="2686"/>
      <c r="K10" s="2686"/>
    </row>
    <row r="11" spans="1:11" ht="16.5">
      <c r="A11" s="2510" t="s">
        <v>666</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665</v>
      </c>
      <c r="B13" s="2514" t="s">
        <v>662</v>
      </c>
      <c r="C13" s="2514" t="s">
        <v>664</v>
      </c>
      <c r="D13" s="2514" t="s">
        <v>663</v>
      </c>
      <c r="E13" s="2510" t="s">
        <v>655</v>
      </c>
      <c r="F13" s="2510" t="s">
        <v>654</v>
      </c>
      <c r="G13" s="2514" t="s">
        <v>648</v>
      </c>
      <c r="H13" s="2514" t="s">
        <v>659</v>
      </c>
      <c r="I13" s="2514" t="s">
        <v>647</v>
      </c>
      <c r="J13" s="2685" t="s">
        <v>3442</v>
      </c>
      <c r="K13" s="2686" t="s">
        <v>3443</v>
      </c>
    </row>
    <row r="14" spans="1:11" ht="16.5">
      <c r="A14" s="2515">
        <v>6019</v>
      </c>
      <c r="B14" s="2516">
        <f>结果表!B118</f>
        <v>9801.27</v>
      </c>
      <c r="C14" s="2516">
        <f>结果表!C118</f>
        <v>7720.87</v>
      </c>
      <c r="D14" s="2516">
        <f ca="1">结果表!H118</f>
        <v>1935</v>
      </c>
      <c r="E14" s="2516">
        <f ca="1">ROUND(D14*10000/B14,0)</f>
        <v>1974</v>
      </c>
      <c r="F14" s="2516">
        <f ca="1">ROUND(D14*10000/C14,0)</f>
        <v>2506</v>
      </c>
      <c r="G14" s="2516">
        <f ca="1">D14</f>
        <v>1935</v>
      </c>
      <c r="H14" s="2516"/>
      <c r="I14" s="2516"/>
      <c r="J14" s="2685">
        <v>1941</v>
      </c>
      <c r="K14" s="2686">
        <f ca="1">G14-J14</f>
        <v>-6</v>
      </c>
    </row>
    <row r="15" spans="1:11" ht="16.5">
      <c r="A15" s="2515">
        <v>6020</v>
      </c>
      <c r="B15" s="2517">
        <f>[3]系统读取表!$B$14</f>
        <v>66832.349999999991</v>
      </c>
      <c r="C15" s="2517">
        <f>[3]系统读取表!$C$14</f>
        <v>36830.400000000001</v>
      </c>
      <c r="D15" s="2517">
        <f ca="1">[3]系统读取表!$D$14</f>
        <v>39215</v>
      </c>
      <c r="E15" s="2516">
        <f t="shared" ref="E15:E23" ca="1" si="0">ROUND(D15*10000/B15,0)</f>
        <v>5868</v>
      </c>
      <c r="F15" s="2516">
        <f t="shared" ref="F15:F23" ca="1" si="1">ROUND(D15*10000/C15,0)</f>
        <v>10647</v>
      </c>
      <c r="G15" s="1331">
        <f ca="1">D15</f>
        <v>39215</v>
      </c>
      <c r="H15" s="1331"/>
      <c r="I15" s="2517"/>
      <c r="J15" s="2685">
        <v>41601</v>
      </c>
      <c r="K15" s="2686">
        <f t="shared" ref="K15:K17" ca="1" si="2">G15-J15</f>
        <v>-2386</v>
      </c>
    </row>
    <row r="16" spans="1:11" ht="16.5">
      <c r="A16" s="2515">
        <v>6021</v>
      </c>
      <c r="B16" s="2517">
        <f>[6]系统读取表!$B$1</f>
        <v>44767.379999999852</v>
      </c>
      <c r="C16" s="2517">
        <f>[6]系统读取表!$B$2</f>
        <v>0</v>
      </c>
      <c r="D16" s="2517">
        <f ca="1">[6]系统读取表!$B$5</f>
        <v>44593</v>
      </c>
      <c r="E16" s="2516">
        <f t="shared" ca="1" si="0"/>
        <v>9961</v>
      </c>
      <c r="F16" s="2516" t="e">
        <f t="shared" ca="1" si="1"/>
        <v>#DIV/0!</v>
      </c>
      <c r="G16" s="1331">
        <f ca="1">D16</f>
        <v>44593</v>
      </c>
      <c r="H16" s="1331"/>
      <c r="I16" s="2517"/>
      <c r="J16" s="2686">
        <v>34240</v>
      </c>
      <c r="K16" s="2686">
        <f t="shared" ca="1" si="2"/>
        <v>10353</v>
      </c>
    </row>
    <row r="17" spans="1:11" ht="16.5">
      <c r="A17" s="2515">
        <v>6024</v>
      </c>
      <c r="B17" s="2517">
        <f>[4]系统读取表!$B$14</f>
        <v>57229.579999999994</v>
      </c>
      <c r="C17" s="2517">
        <f>[4]系统读取表!$C$14</f>
        <v>31416.240000000002</v>
      </c>
      <c r="D17" s="2517">
        <f ca="1">[4]系统读取表!$D$14</f>
        <v>34175</v>
      </c>
      <c r="E17" s="2516">
        <f t="shared" ca="1" si="0"/>
        <v>5972</v>
      </c>
      <c r="F17" s="2516">
        <f t="shared" ca="1" si="1"/>
        <v>10878</v>
      </c>
      <c r="G17" s="1331">
        <f ca="1">[4]系统读取表!$G$14</f>
        <v>34175</v>
      </c>
      <c r="H17" s="1331"/>
      <c r="I17" s="2517"/>
      <c r="J17" s="2686">
        <v>36239</v>
      </c>
      <c r="K17" s="2686">
        <f t="shared" ca="1" si="2"/>
        <v>-2064</v>
      </c>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85" zoomScaleNormal="100" zoomScaleSheetLayoutView="85" zoomScalePageLayoutView="80" workbookViewId="0">
      <selection activeCell="K127" sqref="K12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1257</v>
      </c>
      <c r="B1" s="1746"/>
      <c r="C1" s="1747"/>
      <c r="D1" s="1746"/>
      <c r="E1" s="1746"/>
      <c r="F1" s="1748" t="s">
        <v>1258</v>
      </c>
      <c r="G1" s="1561"/>
      <c r="H1" s="1749" t="str">
        <f>IF(G1="现房","——","估价对象范围")</f>
        <v>估价对象范围</v>
      </c>
      <c r="I1" s="1750"/>
    </row>
    <row r="2" spans="1:12" ht="21.75" customHeight="1" thickBot="1">
      <c r="A2" s="3624" t="str">
        <f>项目基本情况!S2</f>
        <v>北京市平谷区金海湖镇PG06-0100-6019地块1宗商业、地下车库用地房地产</v>
      </c>
      <c r="B2" s="3625"/>
      <c r="C2" s="3625"/>
      <c r="D2" s="3625"/>
      <c r="E2" s="3625"/>
      <c r="F2" s="3625"/>
      <c r="G2" s="3625"/>
      <c r="H2" s="3625"/>
      <c r="I2" s="3626"/>
    </row>
    <row r="3" spans="1:12" ht="12.75">
      <c r="A3" s="3628" t="s">
        <v>1259</v>
      </c>
      <c r="B3" s="3629"/>
      <c r="C3" s="3629"/>
      <c r="D3" s="3629"/>
      <c r="E3" s="3629"/>
      <c r="F3" s="3629"/>
      <c r="G3" s="3629"/>
      <c r="H3" s="3629"/>
      <c r="I3" s="3629"/>
    </row>
    <row r="4" spans="1:12" ht="14.25">
      <c r="A4" s="1753" t="s">
        <v>1260</v>
      </c>
      <c r="B4" s="1754" t="s">
        <v>1261</v>
      </c>
      <c r="C4" s="1755" t="s">
        <v>3424</v>
      </c>
      <c r="D4" s="1755" t="s">
        <v>3425</v>
      </c>
      <c r="E4" s="3633" t="s">
        <v>1262</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2" t="s">
        <v>1263</v>
      </c>
      <c r="B5" s="3627">
        <v>25</v>
      </c>
      <c r="C5" s="3630"/>
      <c r="D5" s="3618"/>
      <c r="E5" s="131" t="s">
        <v>1264</v>
      </c>
      <c r="F5" s="1756"/>
      <c r="G5" s="1756"/>
      <c r="H5" s="1756"/>
      <c r="I5" s="1373"/>
    </row>
    <row r="6" spans="1:12" ht="12.75">
      <c r="A6" s="3572"/>
      <c r="B6" s="3627"/>
      <c r="C6" s="3632"/>
      <c r="D6" s="3618"/>
      <c r="E6" s="131" t="s">
        <v>1265</v>
      </c>
      <c r="F6" s="1756"/>
      <c r="G6" s="1756"/>
      <c r="H6" s="1756"/>
      <c r="I6" s="1373"/>
    </row>
    <row r="7" spans="1:12" ht="12.75">
      <c r="A7" s="3572"/>
      <c r="B7" s="3627"/>
      <c r="C7" s="3631"/>
      <c r="D7" s="3618"/>
      <c r="E7" s="131" t="s">
        <v>1266</v>
      </c>
      <c r="F7" s="1756"/>
      <c r="G7" s="1756"/>
      <c r="H7" s="1756"/>
      <c r="I7" s="1373"/>
    </row>
    <row r="8" spans="1:12" ht="12.75">
      <c r="A8" s="3572" t="s">
        <v>1267</v>
      </c>
      <c r="B8" s="3627">
        <v>15</v>
      </c>
      <c r="C8" s="3630"/>
      <c r="D8" s="3618"/>
      <c r="E8" s="131" t="s">
        <v>1268</v>
      </c>
      <c r="F8" s="1756"/>
      <c r="G8" s="1756"/>
      <c r="H8" s="1756"/>
      <c r="I8" s="1373"/>
    </row>
    <row r="9" spans="1:12" ht="12.75">
      <c r="A9" s="3572"/>
      <c r="B9" s="3627"/>
      <c r="C9" s="3631"/>
      <c r="D9" s="3618"/>
      <c r="E9" s="131" t="s">
        <v>1269</v>
      </c>
      <c r="F9" s="1756"/>
      <c r="G9" s="1756"/>
      <c r="H9" s="1756"/>
      <c r="I9" s="1373"/>
    </row>
    <row r="10" spans="1:12" ht="12.75">
      <c r="A10" s="3572" t="s">
        <v>1270</v>
      </c>
      <c r="B10" s="3627">
        <v>15</v>
      </c>
      <c r="C10" s="3630"/>
      <c r="D10" s="3618"/>
      <c r="E10" s="131" t="s">
        <v>1271</v>
      </c>
      <c r="F10" s="1756"/>
      <c r="G10" s="1756"/>
      <c r="H10" s="1756"/>
      <c r="I10" s="1373"/>
    </row>
    <row r="11" spans="1:12" ht="12.75">
      <c r="A11" s="3572"/>
      <c r="B11" s="3627"/>
      <c r="C11" s="3631"/>
      <c r="D11" s="3618"/>
      <c r="E11" s="131" t="s">
        <v>1272</v>
      </c>
      <c r="F11" s="1756"/>
      <c r="G11" s="1756"/>
      <c r="H11" s="1756"/>
      <c r="I11" s="1373"/>
    </row>
    <row r="12" spans="1:12" ht="12.75">
      <c r="A12" s="3572" t="s">
        <v>1273</v>
      </c>
      <c r="B12" s="3627">
        <v>15</v>
      </c>
      <c r="C12" s="3630"/>
      <c r="D12" s="3618"/>
      <c r="E12" s="131" t="s">
        <v>1274</v>
      </c>
      <c r="F12" s="1756"/>
      <c r="G12" s="1756"/>
      <c r="H12" s="1756"/>
      <c r="I12" s="1373"/>
    </row>
    <row r="13" spans="1:12" ht="12.75">
      <c r="A13" s="3572"/>
      <c r="B13" s="3627"/>
      <c r="C13" s="3631"/>
      <c r="D13" s="3618"/>
      <c r="E13" s="131" t="s">
        <v>1275</v>
      </c>
      <c r="F13" s="1756"/>
      <c r="G13" s="1756"/>
      <c r="H13" s="1756"/>
      <c r="I13" s="1373"/>
    </row>
    <row r="14" spans="1:12" ht="12.75">
      <c r="A14" s="3572" t="s">
        <v>1276</v>
      </c>
      <c r="B14" s="3627">
        <v>30</v>
      </c>
      <c r="C14" s="3630">
        <v>5</v>
      </c>
      <c r="D14" s="3618">
        <v>5</v>
      </c>
      <c r="E14" s="131" t="s">
        <v>1277</v>
      </c>
      <c r="F14" s="1756"/>
      <c r="G14" s="1756"/>
      <c r="H14" s="1756"/>
      <c r="I14" s="1373"/>
    </row>
    <row r="15" spans="1:12" ht="12.75">
      <c r="A15" s="3572"/>
      <c r="B15" s="3627"/>
      <c r="C15" s="3632"/>
      <c r="D15" s="3618"/>
      <c r="E15" s="131" t="s">
        <v>1278</v>
      </c>
      <c r="F15" s="1756"/>
      <c r="G15" s="1756"/>
      <c r="H15" s="1756"/>
      <c r="I15" s="1373"/>
    </row>
    <row r="16" spans="1:12" ht="12.75">
      <c r="A16" s="3572"/>
      <c r="B16" s="3627"/>
      <c r="C16" s="3631"/>
      <c r="D16" s="3618"/>
      <c r="E16" s="131" t="s">
        <v>1279</v>
      </c>
      <c r="F16" s="1756"/>
      <c r="G16" s="1756"/>
      <c r="H16" s="1756"/>
      <c r="I16" s="1373"/>
    </row>
    <row r="17" spans="1:36" ht="15">
      <c r="A17" s="1757" t="s">
        <v>1280</v>
      </c>
      <c r="B17" s="56"/>
      <c r="C17" s="132">
        <f>SUM(C5:C16)</f>
        <v>5</v>
      </c>
      <c r="D17" s="132">
        <f>SUM(D5:D16)</f>
        <v>5</v>
      </c>
      <c r="E17" s="129"/>
      <c r="F17" s="129"/>
      <c r="G17" s="129"/>
      <c r="H17" s="129"/>
      <c r="I17" s="129"/>
      <c r="K17" s="302"/>
      <c r="L17" s="302" t="s">
        <v>1281</v>
      </c>
      <c r="M17" s="302" t="s">
        <v>1282</v>
      </c>
    </row>
    <row r="18" spans="1:36" ht="31.9" customHeight="1" thickBot="1">
      <c r="A18" s="1758" t="s">
        <v>1283</v>
      </c>
      <c r="B18" s="1759"/>
      <c r="C18" s="133">
        <f>ROUND(C17/SUM(C17:D17),2)</f>
        <v>0.5</v>
      </c>
      <c r="D18" s="133">
        <f>1-C18</f>
        <v>0.5</v>
      </c>
      <c r="E18" s="3649" t="s">
        <v>2126</v>
      </c>
      <c r="F18" s="3650"/>
      <c r="G18" s="3650"/>
      <c r="H18" s="3650"/>
      <c r="I18" s="3650"/>
      <c r="J18" s="2541" t="s">
        <v>3426</v>
      </c>
      <c r="K18" s="302" t="s">
        <v>1284</v>
      </c>
      <c r="L18" s="302">
        <f>IF(C1="",'数据-汇总表'!E3,SUMIF(项目类型,C1,'数据-汇总表'!E17:E26)+SUMIF(项目类型,C1,'数据-汇总表'!I17:I26))</f>
        <v>9801.27</v>
      </c>
      <c r="M18" s="302">
        <f>IF(C1="",'数据-汇总表'!E3,SUMIF(项目类型,C1,'数据-汇总表'!E17:E26))</f>
        <v>9801.27</v>
      </c>
    </row>
    <row r="19" spans="1:36" ht="15">
      <c r="A19" s="1760" t="s">
        <v>1285</v>
      </c>
      <c r="B19" s="1761" t="s">
        <v>1286</v>
      </c>
      <c r="C19" s="134">
        <f ca="1">SUMIF(INDIRECT("'"&amp;C4&amp;"'"&amp;"!A:A"),结果表!B19,INDIRECT("'"&amp;C4&amp;"'"&amp;"!B:B"))</f>
        <v>2256</v>
      </c>
      <c r="D19" s="135">
        <f ca="1">SUMIF(INDIRECT("'"&amp;D4&amp;"'"&amp;"!A:A"),结果表!B19,INDIRECT("'"&amp;D4&amp;"'"&amp;"!B:B"))</f>
        <v>1614</v>
      </c>
      <c r="E19" s="1760" t="s">
        <v>1287</v>
      </c>
      <c r="F19" s="1761" t="s">
        <v>1286</v>
      </c>
      <c r="G19" s="136">
        <f ca="1">ROUND(C19*$C$18+D19*$D$18,0)</f>
        <v>1935</v>
      </c>
      <c r="H19" s="1762" t="s">
        <v>1288</v>
      </c>
      <c r="I19" s="129"/>
      <c r="J19" s="2541">
        <v>1941</v>
      </c>
      <c r="K19" s="302" t="s">
        <v>1289</v>
      </c>
      <c r="L19" s="302">
        <f>IF(C1="",'数据-汇总表'!D3,SUMIF(项目类型,C1,'数据-汇总表'!D17:D26)+SUMIF(项目类型,C1,'数据-汇总表'!H17:H27))</f>
        <v>7720.87</v>
      </c>
      <c r="M19" s="302">
        <f>IF(C1="",'数据-汇总表'!D3,SUMIF(项目类型,C1,'数据-汇总表'!D17:D26))</f>
        <v>7720.87</v>
      </c>
    </row>
    <row r="20" spans="1:36" ht="15">
      <c r="A20" s="1763"/>
      <c r="B20" s="1026" t="s">
        <v>1290</v>
      </c>
      <c r="C20" s="137">
        <f ca="1">SUMIF(INDIRECT("'"&amp;C4&amp;"'"&amp;"!A:A"),结果表!B20,INDIRECT("'"&amp;C4&amp;"'"&amp;"!B:B"))</f>
        <v>2943</v>
      </c>
      <c r="D20" s="138">
        <f ca="1">SUMIF(INDIRECT("'"&amp;D4&amp;"'"&amp;"!A:A"),结果表!B20,INDIRECT("'"&amp;D4&amp;"'"&amp;"!B:B"))</f>
        <v>1647</v>
      </c>
      <c r="E20" s="1763"/>
      <c r="F20" s="1026" t="s">
        <v>1290</v>
      </c>
      <c r="G20" s="139">
        <f ca="1">ROUND(C20*$C$18+D20*$D$18,0)</f>
        <v>2295</v>
      </c>
      <c r="H20" s="808" t="s">
        <v>1291</v>
      </c>
      <c r="I20" s="129"/>
    </row>
    <row r="21" spans="1:36" ht="15" customHeight="1" thickBot="1">
      <c r="A21" s="828"/>
      <c r="B21" s="1764" t="s">
        <v>1292</v>
      </c>
      <c r="C21" s="719">
        <f ca="1">ROUND(C19*10000/L19,0)</f>
        <v>2922</v>
      </c>
      <c r="D21" s="720">
        <f ca="1">ROUND(D19*10000/L19,0)</f>
        <v>2090</v>
      </c>
      <c r="E21" s="828"/>
      <c r="F21" s="1764" t="s">
        <v>1292</v>
      </c>
      <c r="G21" s="140">
        <f ca="1">ROUND(G19*10000/L19,0)</f>
        <v>2506</v>
      </c>
      <c r="H21" s="1765" t="s">
        <v>1291</v>
      </c>
      <c r="I21" s="129"/>
    </row>
    <row r="22" spans="1:36" ht="15" thickBot="1">
      <c r="A22" s="1687" t="s">
        <v>1293</v>
      </c>
      <c r="B22" s="1766"/>
      <c r="C22" s="1767"/>
      <c r="D22" s="721">
        <f ca="1">IF(C19&lt;D19,D19/C19-1,C19/D19-1)</f>
        <v>0.39776951672862459</v>
      </c>
      <c r="E22" s="129"/>
      <c r="F22" s="129"/>
      <c r="G22" s="129"/>
      <c r="H22" s="129"/>
      <c r="I22" s="129"/>
    </row>
    <row r="23" spans="1:36" ht="13.5" thickBot="1">
      <c r="A23" s="1746"/>
      <c r="B23" s="1746"/>
      <c r="C23" s="1746"/>
      <c r="D23" s="1746"/>
      <c r="E23" s="129"/>
      <c r="F23" s="129"/>
      <c r="G23" s="129"/>
      <c r="H23" s="129"/>
      <c r="I23" s="129"/>
    </row>
    <row r="24" spans="1:36" ht="14.25">
      <c r="A24" s="3642" t="s">
        <v>1294</v>
      </c>
      <c r="B24" s="1761" t="s">
        <v>1286</v>
      </c>
      <c r="C24" s="136">
        <f>IF(B30=0,0,D30)</f>
        <v>0</v>
      </c>
      <c r="D24" s="1768"/>
      <c r="E24" s="129"/>
      <c r="F24" s="129"/>
      <c r="G24" s="129"/>
      <c r="H24" s="129"/>
      <c r="I24" s="129"/>
    </row>
    <row r="25" spans="1:36" ht="14.25">
      <c r="A25" s="3643"/>
      <c r="B25" s="1026" t="s">
        <v>1290</v>
      </c>
      <c r="C25" s="141">
        <f>IF(B30=0,0,C30)</f>
        <v>0</v>
      </c>
      <c r="D25" s="1769"/>
      <c r="E25" s="129"/>
      <c r="F25" s="129"/>
      <c r="G25" s="129"/>
      <c r="H25" s="129"/>
      <c r="I25" s="129"/>
    </row>
    <row r="26" spans="1:36" ht="13.5" customHeight="1">
      <c r="A26" s="1770" t="s">
        <v>1295</v>
      </c>
      <c r="B26" s="142" t="s">
        <v>1296</v>
      </c>
      <c r="C26" s="142" t="s">
        <v>1297</v>
      </c>
      <c r="D26" s="143" t="s">
        <v>1298</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1299</v>
      </c>
      <c r="B30" s="142"/>
      <c r="C30" s="142"/>
      <c r="D30" s="142"/>
      <c r="E30" s="2302" t="s">
        <v>2127</v>
      </c>
      <c r="F30" s="129"/>
      <c r="G30" s="129"/>
      <c r="H30" s="129"/>
      <c r="I30" s="129"/>
    </row>
    <row r="31" spans="1:36" s="2308" customFormat="1" ht="26.45" customHeight="1" thickTop="1" thickBot="1">
      <c r="A31" s="2303"/>
      <c r="B31" s="2304"/>
      <c r="C31" s="2304"/>
      <c r="D31" s="2304"/>
      <c r="E31" s="2304"/>
      <c r="F31" s="2304"/>
      <c r="G31" s="2304"/>
      <c r="H31" s="2304"/>
      <c r="I31" s="2305" t="s">
        <v>2128</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1300</v>
      </c>
      <c r="B32" s="1773"/>
      <c r="C32" s="144">
        <f ca="1">IF(D32="总价",G19-C24,G20-C25)</f>
        <v>1935</v>
      </c>
      <c r="D32" s="1774" t="s">
        <v>3427</v>
      </c>
      <c r="E32" s="129"/>
      <c r="F32" s="129"/>
      <c r="G32" s="129"/>
      <c r="H32" s="129"/>
      <c r="I32" s="129"/>
    </row>
    <row r="33" spans="1:15" ht="15">
      <c r="A33" s="786" t="s">
        <v>1301</v>
      </c>
      <c r="B33" s="1775"/>
      <c r="C33" s="1776" t="s">
        <v>3428</v>
      </c>
      <c r="D33" s="1777"/>
      <c r="E33" s="1778" t="s">
        <v>1302</v>
      </c>
      <c r="F33" s="1779" t="str">
        <f>IF(D32="楼面单价","取值（单价）","取值（总价）")</f>
        <v>取值（总价）</v>
      </c>
      <c r="G33" s="129"/>
      <c r="H33" s="129"/>
      <c r="I33" s="129"/>
    </row>
    <row r="34" spans="1:15" ht="15">
      <c r="A34" s="1780"/>
      <c r="B34" s="1781" t="s">
        <v>1303</v>
      </c>
      <c r="C34" s="148">
        <f>IF(C33="自定义",F34,C32-C35)</f>
        <v>0</v>
      </c>
      <c r="D34" s="861">
        <f ca="1">IF(C33="自定义",ROUND(C34/C32,3),IF(C33="收益比率",SUMIF(INDIRECT("'"&amp;D33&amp;"'"&amp;"!b:b"),"土地收益比率",INDIRECT("'"&amp;D33&amp;"'"&amp;"!c:c")),SUMIF(INDIRECT("'"&amp;D33&amp;"'"&amp;"!b:b"),"土地成本比率",INDIRECT("'"&amp;D33&amp;"'"&amp;"!c:c"))))</f>
        <v>0</v>
      </c>
      <c r="E34" s="1782" t="s">
        <v>1304</v>
      </c>
      <c r="F34" s="1330"/>
      <c r="G34" s="129"/>
      <c r="H34" s="129"/>
      <c r="I34" s="129"/>
    </row>
    <row r="35" spans="1:15" ht="15.75" thickBot="1">
      <c r="A35" s="1783"/>
      <c r="B35" s="1784" t="s">
        <v>1305</v>
      </c>
      <c r="C35" s="1170">
        <f>IF(C33="自定义",F35,ROUND(C32*D35,0))</f>
        <v>0</v>
      </c>
      <c r="D35" s="1171">
        <f ca="1">IF(C33="自定义",ROUND(C35/C32,3),IF(C33="收益比率",SUMIF(INDIRECT("'"&amp;D33&amp;"'"&amp;"!b:b"),"建筑物收益比率",INDIRECT("'"&amp;D33&amp;"'"&amp;"!c:c")),SUMIF(INDIRECT("'"&amp;D33&amp;"'"&amp;"!b:b"),"建筑物成本比率",INDIRECT("'"&amp;D33&amp;"'"&amp;"!c:c"))))</f>
        <v>0</v>
      </c>
      <c r="E35" s="1785" t="s">
        <v>1306</v>
      </c>
      <c r="F35" s="154"/>
      <c r="G35" s="129"/>
      <c r="H35" s="129"/>
      <c r="I35" s="129"/>
    </row>
    <row r="36" spans="1:15" ht="15.75" thickBot="1">
      <c r="A36" s="3619" t="s">
        <v>1307</v>
      </c>
      <c r="B36" s="1786" t="s">
        <v>1308</v>
      </c>
      <c r="C36" s="145"/>
      <c r="D36" s="1787"/>
      <c r="E36" s="1788"/>
      <c r="F36" s="1789"/>
      <c r="G36" s="129"/>
      <c r="H36" s="129"/>
      <c r="I36" s="129"/>
    </row>
    <row r="37" spans="1:15" ht="15.75" thickBot="1">
      <c r="A37" s="3620"/>
      <c r="B37" s="1673" t="s">
        <v>1309</v>
      </c>
      <c r="C37" s="147"/>
      <c r="D37" s="1139"/>
      <c r="E37" s="1139"/>
      <c r="F37" s="1789"/>
      <c r="G37" s="129"/>
      <c r="H37" s="129"/>
      <c r="I37" s="129"/>
    </row>
    <row r="38" spans="1:15" ht="15.75" thickBot="1">
      <c r="A38" s="3621"/>
      <c r="B38" s="1790" t="s">
        <v>1310</v>
      </c>
      <c r="C38" s="674"/>
      <c r="D38" s="1791" t="s">
        <v>1311</v>
      </c>
      <c r="E38" s="1139"/>
      <c r="F38" s="1789"/>
      <c r="G38" s="129"/>
      <c r="H38" s="129"/>
      <c r="I38" s="129"/>
    </row>
    <row r="39" spans="1:15" ht="15">
      <c r="A39" s="1763" t="s">
        <v>1312</v>
      </c>
      <c r="B39" s="1792" t="s">
        <v>1313</v>
      </c>
      <c r="C39" s="1793" t="s">
        <v>1314</v>
      </c>
      <c r="D39" s="1793" t="s">
        <v>1315</v>
      </c>
      <c r="E39" s="1794" t="s">
        <v>1316</v>
      </c>
      <c r="F39" s="1789"/>
      <c r="G39" s="129"/>
      <c r="H39" s="129"/>
      <c r="I39" s="129"/>
    </row>
    <row r="40" spans="1:15" ht="14.25">
      <c r="A40" s="1795" t="s">
        <v>1317</v>
      </c>
      <c r="B40" s="149"/>
      <c r="C40" s="150"/>
      <c r="D40" s="150"/>
      <c r="E40" s="151"/>
      <c r="F40" s="1789"/>
      <c r="G40" s="129"/>
      <c r="H40" s="129"/>
      <c r="I40" s="129"/>
    </row>
    <row r="41" spans="1:15" ht="14.25">
      <c r="A41" s="1795" t="s">
        <v>1318</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7"/>
      <c r="B43" s="1577"/>
      <c r="C43" s="1577"/>
      <c r="D43" s="1577"/>
      <c r="E43" s="1577"/>
      <c r="F43" s="1797"/>
      <c r="G43" s="1797"/>
      <c r="H43" s="1797"/>
      <c r="I43" s="1798"/>
    </row>
    <row r="44" spans="1:15" ht="18.75">
      <c r="A44" s="1799" t="s">
        <v>1319</v>
      </c>
      <c r="B44" s="1800"/>
      <c r="C44" s="1800"/>
      <c r="D44" s="1801"/>
      <c r="E44" s="1801"/>
      <c r="F44" s="1802"/>
      <c r="G44" s="1802"/>
      <c r="H44" s="1802"/>
      <c r="I44" s="1802"/>
      <c r="J44" s="1803" t="s">
        <v>1320</v>
      </c>
      <c r="K44" s="1804"/>
      <c r="L44" s="1804"/>
      <c r="M44" s="1804"/>
      <c r="N44" s="1804"/>
      <c r="O44" s="1804"/>
    </row>
    <row r="45" spans="1:15" ht="14.25" customHeight="1" thickBot="1">
      <c r="A45" s="3639" t="s">
        <v>1321</v>
      </c>
      <c r="B45" s="3640"/>
      <c r="C45" s="3641"/>
      <c r="D45" s="155">
        <f ca="1">ROUND(H101*F45,0)</f>
        <v>1935</v>
      </c>
      <c r="E45" s="156" t="s">
        <v>1322</v>
      </c>
      <c r="F45" s="157">
        <v>1</v>
      </c>
      <c r="G45" s="158" t="s">
        <v>1323</v>
      </c>
      <c r="H45" s="129"/>
      <c r="I45" s="129"/>
      <c r="J45" s="3559" t="s">
        <v>1324</v>
      </c>
      <c r="K45" s="3559"/>
      <c r="L45" s="3559"/>
      <c r="M45" s="3559"/>
      <c r="N45" s="3559"/>
      <c r="O45" s="3559"/>
    </row>
    <row r="46" spans="1:15" ht="14.25" customHeight="1">
      <c r="A46" s="3636" t="s">
        <v>1325</v>
      </c>
      <c r="B46" s="3637"/>
      <c r="C46" s="3637"/>
      <c r="D46" s="3637"/>
      <c r="E46" s="3637"/>
      <c r="F46" s="3637"/>
      <c r="G46" s="3638"/>
      <c r="H46" s="1805"/>
      <c r="I46" s="159"/>
      <c r="J46" s="2521">
        <v>1</v>
      </c>
      <c r="K46" s="3560" t="s">
        <v>1326</v>
      </c>
      <c r="L46" s="3560"/>
      <c r="M46" s="3561"/>
      <c r="N46" s="3561"/>
      <c r="O46" s="3561"/>
    </row>
    <row r="47" spans="1:15" ht="12" customHeight="1">
      <c r="A47" s="160" t="s">
        <v>1327</v>
      </c>
      <c r="B47" s="161"/>
      <c r="C47" s="162"/>
      <c r="D47" s="1087" t="s">
        <v>1328</v>
      </c>
      <c r="E47" s="302" t="s">
        <v>1329</v>
      </c>
      <c r="F47" s="163" t="s">
        <v>1330</v>
      </c>
      <c r="G47" s="2544" t="s">
        <v>1331</v>
      </c>
      <c r="H47" s="2545"/>
      <c r="I47" s="159"/>
      <c r="J47" s="2521">
        <v>2</v>
      </c>
      <c r="K47" s="3560" t="s">
        <v>1332</v>
      </c>
      <c r="L47" s="3560"/>
      <c r="M47" s="3562">
        <f>'数据-取费表'!B2</f>
        <v>45217</v>
      </c>
      <c r="N47" s="3562"/>
      <c r="O47" s="3562"/>
    </row>
    <row r="48" spans="1:15" ht="25.5">
      <c r="A48" s="3622" t="s">
        <v>1333</v>
      </c>
      <c r="B48" s="3623"/>
      <c r="C48" s="3623"/>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1334</v>
      </c>
      <c r="H48" s="2548"/>
      <c r="I48" s="1805"/>
      <c r="J48" s="2521">
        <v>3</v>
      </c>
      <c r="K48" s="3560" t="s">
        <v>1335</v>
      </c>
      <c r="L48" s="3560"/>
      <c r="M48" s="3563">
        <f ca="1">H101</f>
        <v>1935</v>
      </c>
      <c r="N48" s="3563"/>
      <c r="O48" s="3563"/>
    </row>
    <row r="49" spans="1:35" ht="25.5" customHeight="1">
      <c r="A49" s="2332" t="s">
        <v>1336</v>
      </c>
      <c r="B49" s="3608" t="s">
        <v>1337</v>
      </c>
      <c r="C49" s="3608"/>
      <c r="D49" s="1590">
        <v>0</v>
      </c>
      <c r="E49" s="324" t="s">
        <v>1338</v>
      </c>
      <c r="F49" s="2422" t="s">
        <v>28</v>
      </c>
      <c r="G49" s="3591"/>
      <c r="H49" s="2309" t="s">
        <v>2129</v>
      </c>
      <c r="I49" s="2310"/>
      <c r="J49" s="2521">
        <v>4</v>
      </c>
      <c r="K49" s="3560" t="str">
        <f>IF(项目基本情况!E8="房地产抵押价值","房地产抵押价值","抵押担保权已注销时的房地产抵押价值")</f>
        <v>房地产抵押价值</v>
      </c>
      <c r="L49" s="3560"/>
      <c r="M49" s="3563">
        <f ca="1">IF(项目基本情况!E8="房地产抵押价值",H107,H109)</f>
        <v>1935</v>
      </c>
      <c r="N49" s="3563"/>
      <c r="O49" s="3563"/>
    </row>
    <row r="50" spans="1:35" ht="25.5" customHeight="1">
      <c r="A50" s="2549"/>
      <c r="B50" s="3608" t="s">
        <v>1339</v>
      </c>
      <c r="C50" s="3608"/>
      <c r="D50" s="2550"/>
      <c r="E50" s="332"/>
      <c r="F50" s="2422"/>
      <c r="G50" s="3592"/>
      <c r="H50" s="2311" t="s">
        <v>2130</v>
      </c>
      <c r="I50" s="2310"/>
      <c r="J50" s="3559" t="s">
        <v>1340</v>
      </c>
      <c r="K50" s="3559"/>
      <c r="L50" s="3559"/>
      <c r="M50" s="3559"/>
      <c r="N50" s="3559"/>
      <c r="O50" s="3559"/>
    </row>
    <row r="51" spans="1:35" ht="20.45" customHeight="1">
      <c r="A51" s="2551"/>
      <c r="B51" s="3608" t="s">
        <v>1341</v>
      </c>
      <c r="C51" s="3608"/>
      <c r="D51" s="1087"/>
      <c r="E51" s="327"/>
      <c r="F51" s="2422"/>
      <c r="G51" s="3593"/>
      <c r="H51" s="2311" t="s">
        <v>2131</v>
      </c>
      <c r="I51" s="2310"/>
      <c r="J51" s="2522" t="s">
        <v>1342</v>
      </c>
      <c r="K51" s="3560" t="s">
        <v>1343</v>
      </c>
      <c r="L51" s="3560"/>
      <c r="M51" s="2522" t="s">
        <v>1344</v>
      </c>
      <c r="N51" s="2522" t="s">
        <v>1345</v>
      </c>
      <c r="O51" s="2522" t="s">
        <v>1346</v>
      </c>
    </row>
    <row r="52" spans="1:35" ht="24" customHeight="1">
      <c r="A52" s="2334" t="s">
        <v>1347</v>
      </c>
      <c r="B52" s="3608" t="s">
        <v>1348</v>
      </c>
      <c r="C52" s="3608"/>
      <c r="D52" s="1087">
        <f ca="1">ROUND(D45*'数据-取费表'!B41/(1+'数据-取费表'!C42),0)</f>
        <v>101</v>
      </c>
      <c r="E52" s="2333" t="s">
        <v>1349</v>
      </c>
      <c r="F52" s="2552">
        <f>'数据-取费表'!B41</f>
        <v>5.5000000000000007E-2</v>
      </c>
      <c r="G52" s="2553"/>
      <c r="H52" s="2542"/>
      <c r="I52" s="1806"/>
      <c r="J52" s="2521">
        <v>1</v>
      </c>
      <c r="K52" s="3585" t="s">
        <v>1350</v>
      </c>
      <c r="L52" s="3585"/>
      <c r="M52" s="2523" t="b">
        <f>D48</f>
        <v>0</v>
      </c>
      <c r="N52" s="2521" t="str">
        <f>E48</f>
        <v>销售额×税（费）率</v>
      </c>
      <c r="O52" s="2524">
        <f>F48</f>
        <v>5.5000000000000007E-2</v>
      </c>
    </row>
    <row r="53" spans="1:35" ht="12" customHeight="1">
      <c r="A53" s="2334" t="s">
        <v>1351</v>
      </c>
      <c r="B53" s="3609" t="s">
        <v>2286</v>
      </c>
      <c r="C53" s="3610"/>
      <c r="D53" s="1087">
        <f ca="1">ROUND(D45*'数据-取费表'!B41/(1+'数据-取费表'!C42),0)</f>
        <v>101</v>
      </c>
      <c r="E53" s="2333" t="s">
        <v>1349</v>
      </c>
      <c r="F53" s="2552">
        <f>'数据-取费表'!B41</f>
        <v>5.5000000000000007E-2</v>
      </c>
      <c r="G53" s="2553"/>
      <c r="H53" s="2542"/>
      <c r="I53" s="1806"/>
      <c r="J53" s="2521">
        <v>2</v>
      </c>
      <c r="K53" s="3585" t="s">
        <v>1352</v>
      </c>
      <c r="L53" s="3585"/>
      <c r="M53" s="2523">
        <f t="shared" ref="M53:O54" ca="1" si="0">D55</f>
        <v>1</v>
      </c>
      <c r="N53" s="2521" t="str">
        <f t="shared" si="0"/>
        <v>销售额×税（费）率</v>
      </c>
      <c r="O53" s="2524" t="str">
        <f t="shared" si="0"/>
        <v>免征</v>
      </c>
    </row>
    <row r="54" spans="1:35" ht="12" customHeight="1">
      <c r="A54" s="2334" t="s">
        <v>1353</v>
      </c>
      <c r="B54" s="3609" t="s">
        <v>2287</v>
      </c>
      <c r="C54" s="3610"/>
      <c r="D54" s="1087">
        <f ca="1">C68</f>
        <v>101</v>
      </c>
      <c r="E54" s="327" t="s">
        <v>1354</v>
      </c>
      <c r="F54" s="2552">
        <f>'数据-取费表'!B41</f>
        <v>5.5000000000000007E-2</v>
      </c>
      <c r="G54" s="2553"/>
      <c r="H54" s="2554"/>
      <c r="I54" s="1806"/>
      <c r="J54" s="2521">
        <v>3</v>
      </c>
      <c r="K54" s="3585" t="s">
        <v>1355</v>
      </c>
      <c r="L54" s="3585"/>
      <c r="M54" s="2523">
        <f t="shared" ca="1" si="0"/>
        <v>1097</v>
      </c>
      <c r="N54" s="2521" t="str">
        <f t="shared" si="0"/>
        <v>增值额×税（费）率</v>
      </c>
      <c r="O54" s="2525" t="str">
        <f t="shared" si="0"/>
        <v>免征</v>
      </c>
    </row>
    <row r="55" spans="1:35" ht="24" customHeight="1">
      <c r="A55" s="3645" t="s">
        <v>1356</v>
      </c>
      <c r="B55" s="3623"/>
      <c r="C55" s="3623"/>
      <c r="D55" s="2323">
        <f ca="1">IF(H55="个人住宅",0,ROUND(D45*I55,0))</f>
        <v>1</v>
      </c>
      <c r="E55" s="2333" t="s">
        <v>1357</v>
      </c>
      <c r="F55" s="2552" t="str">
        <f>IF(H55="正常",I55,"免征")</f>
        <v>免征</v>
      </c>
      <c r="G55" s="2553"/>
      <c r="H55" s="2548"/>
      <c r="I55" s="165">
        <f>'数据-取费表'!B49</f>
        <v>5.0000000000000001E-4</v>
      </c>
      <c r="J55" s="2521">
        <f>IF(H59="非个人房产","",4)</f>
        <v>4</v>
      </c>
      <c r="K55" s="3585" t="str">
        <f>IF(H59="非个人房产","——","个人所得税")</f>
        <v>个人所得税</v>
      </c>
      <c r="L55" s="3585"/>
      <c r="M55" s="2526">
        <f ca="1">D59</f>
        <v>18</v>
      </c>
      <c r="N55" s="2039" t="str">
        <f>E59</f>
        <v>差额计税</v>
      </c>
      <c r="O55" s="2527">
        <f>F59</f>
        <v>0.01</v>
      </c>
    </row>
    <row r="56" spans="1:35" ht="24.75">
      <c r="A56" s="3645" t="s">
        <v>1358</v>
      </c>
      <c r="B56" s="3623"/>
      <c r="C56" s="3623"/>
      <c r="D56" s="2323">
        <f ca="1">IF(H56="个人住宅",D57,D58)</f>
        <v>1097</v>
      </c>
      <c r="E56" s="2333" t="s">
        <v>1359</v>
      </c>
      <c r="F56" s="2552" t="str">
        <f>IF(H56="正常",F58,"免征")</f>
        <v>免征</v>
      </c>
      <c r="G56" s="2555" t="s">
        <v>1360</v>
      </c>
      <c r="H56" s="2556"/>
      <c r="I56" s="1807"/>
      <c r="J56" s="2521" t="str">
        <f>IF(项目基本情况!K6="上海银行",IF(J55="",4,J55+1),"")</f>
        <v/>
      </c>
      <c r="K56" s="3566" t="str">
        <f>IF(项目基本情况!K6="上海银行","其他处置费用","")</f>
        <v/>
      </c>
      <c r="L56" s="3567"/>
      <c r="M56" s="2523" t="str">
        <f>IF(项目基本情况!K6="上海银行",M69,"")</f>
        <v/>
      </c>
      <c r="N56" s="3566" t="str">
        <f>IF(项目基本情况!K6="上海银行","包含处置中涉及的律师、诉讼、拍卖、评估等费用","")</f>
        <v/>
      </c>
      <c r="O56" s="3569"/>
    </row>
    <row r="57" spans="1:35" ht="12.75">
      <c r="A57" s="2334" t="s">
        <v>1336</v>
      </c>
      <c r="B57" s="3609" t="s">
        <v>1361</v>
      </c>
      <c r="C57" s="3610"/>
      <c r="D57" s="1590">
        <v>0</v>
      </c>
      <c r="E57" s="324" t="s">
        <v>1338</v>
      </c>
      <c r="F57" s="302"/>
      <c r="G57" s="2553"/>
      <c r="H57" s="2557"/>
      <c r="I57" s="1807"/>
      <c r="J57" s="3585">
        <f>IF(AND(J55="",J56=""),4,IF(项目基本情况!K6="上海银行",结果表!J56+1,结果表!J55+1))</f>
        <v>5</v>
      </c>
      <c r="K57" s="3585" t="s">
        <v>1362</v>
      </c>
      <c r="L57" s="2528" t="s">
        <v>1363</v>
      </c>
      <c r="M57" s="2529"/>
      <c r="N57" s="2530">
        <f ca="1">SUMIF(M52:M56,"&lt;9e307")</f>
        <v>1116</v>
      </c>
      <c r="O57" s="2531"/>
      <c r="P57" s="2688">
        <f ca="1">N57/M49</f>
        <v>0.57674418604651168</v>
      </c>
    </row>
    <row r="58" spans="1:35" ht="24.75">
      <c r="A58" s="2334" t="s">
        <v>1347</v>
      </c>
      <c r="B58" s="3609" t="s">
        <v>1364</v>
      </c>
      <c r="C58" s="3608"/>
      <c r="D58" s="2323">
        <f ca="1">IF(H58="转让取得",C81,C97)</f>
        <v>1097</v>
      </c>
      <c r="E58" s="2333" t="s">
        <v>1359</v>
      </c>
      <c r="F58" s="302" t="s">
        <v>28</v>
      </c>
      <c r="G58" s="2553"/>
      <c r="H58" s="2556"/>
      <c r="I58" s="1807"/>
      <c r="J58" s="3585"/>
      <c r="K58" s="3585"/>
      <c r="L58" s="2528" t="s">
        <v>1365</v>
      </c>
      <c r="M58" s="2532"/>
      <c r="N58" s="2533" t="str">
        <f ca="1">NUMBERSTRING(INT(N57*10000),2)&amp;"元整"</f>
        <v>壹仟壹佰壹拾陆万元整</v>
      </c>
      <c r="O58" s="2534"/>
    </row>
    <row r="59" spans="1:35" ht="24.75" thickBot="1">
      <c r="A59" s="3589" t="s">
        <v>1366</v>
      </c>
      <c r="B59" s="3590"/>
      <c r="C59" s="3590"/>
      <c r="D59" s="2558">
        <f ca="1">IF(H59="非个人房产","——",IF(H59="个人住宅（满五唯一有凭证）",0,IF(H59="个人其他（无凭证）",ROUND(D45*F59,0),ROUND(C67*F59,0))))</f>
        <v>18</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1360</v>
      </c>
      <c r="H59" s="2313"/>
      <c r="I59" s="2312" t="s">
        <v>2132</v>
      </c>
      <c r="J59" s="3587">
        <f>J57+1</f>
        <v>6</v>
      </c>
      <c r="K59" s="3585" t="s">
        <v>1367</v>
      </c>
      <c r="L59" s="2521" t="s">
        <v>1363</v>
      </c>
      <c r="M59" s="2535"/>
      <c r="N59" s="2536">
        <f ca="1">M49-N57</f>
        <v>819</v>
      </c>
      <c r="O59" s="2537"/>
    </row>
    <row r="60" spans="1:35" ht="12" customHeight="1">
      <c r="A60" s="1808"/>
      <c r="B60" s="1746"/>
      <c r="C60" s="1746"/>
      <c r="D60" s="1746"/>
      <c r="E60" s="1578"/>
      <c r="F60" s="1807"/>
      <c r="G60" s="1807"/>
      <c r="H60" s="1809"/>
      <c r="I60" s="129"/>
      <c r="J60" s="3588"/>
      <c r="K60" s="3585"/>
      <c r="L60" s="2528" t="s">
        <v>1365</v>
      </c>
      <c r="M60" s="2532"/>
      <c r="N60" s="2533" t="str">
        <f ca="1">NUMBERSTRING(INT(N59*10000),2)&amp;"元整"</f>
        <v>捌佰壹拾玖万元整</v>
      </c>
      <c r="O60" s="2534"/>
    </row>
    <row r="61" spans="1:35" ht="13.5" thickBot="1">
      <c r="A61" s="3644" t="s">
        <v>1368</v>
      </c>
      <c r="B61" s="3644"/>
      <c r="C61" s="3644"/>
      <c r="D61" s="3644"/>
      <c r="E61" s="3644"/>
      <c r="F61" s="1807"/>
      <c r="G61" s="1807"/>
      <c r="H61" s="1809"/>
      <c r="I61" s="129"/>
      <c r="J61" s="2521">
        <f>J59+1</f>
        <v>7</v>
      </c>
      <c r="K61" s="3585" t="s">
        <v>1369</v>
      </c>
      <c r="L61" s="3585"/>
      <c r="M61" s="2538"/>
      <c r="N61" s="2539">
        <f ca="1">ROUND(N59*10000/'数据-汇总表'!E3,0)</f>
        <v>836</v>
      </c>
      <c r="O61" s="2540"/>
    </row>
    <row r="62" spans="1:35" ht="12.75">
      <c r="A62" s="3604" t="s">
        <v>1370</v>
      </c>
      <c r="B62" s="3605"/>
      <c r="C62" s="2020"/>
      <c r="D62" s="2020" t="s">
        <v>1371</v>
      </c>
      <c r="E62" s="166" t="s">
        <v>1372</v>
      </c>
      <c r="F62" s="1807"/>
      <c r="G62" s="1807"/>
      <c r="H62" s="1809"/>
      <c r="I62" s="129"/>
    </row>
    <row r="63" spans="1:35" ht="12.75">
      <c r="A63" s="173" t="s">
        <v>330</v>
      </c>
      <c r="B63" s="167" t="s">
        <v>1373</v>
      </c>
      <c r="C63" s="2562">
        <f ca="1">ROUND((C64+C65)/(1+'数据-取费表'!C42),0)</f>
        <v>1843</v>
      </c>
      <c r="D63" s="167"/>
      <c r="E63" s="168"/>
      <c r="F63" s="1807"/>
      <c r="G63" s="1807"/>
      <c r="H63" s="1809"/>
      <c r="I63" s="129"/>
      <c r="J63" s="3568" t="s">
        <v>1374</v>
      </c>
      <c r="K63" s="1332" t="s">
        <v>1375</v>
      </c>
      <c r="L63" s="1332">
        <f ca="1">IF(M49&gt;10000,M49*0.5%,IF(AND(M49&gt;1000,M49&lt;=10000),M49*1%,IF(AND(M49&gt;100,M49&lt;=1000),M49*3%,IF(AND(M49&gt;10,M49&lt;=100),M49*5%,M49*8%))))</f>
        <v>19.350000000000001</v>
      </c>
      <c r="M63" s="302">
        <f ca="1">ROUND(L63,1)</f>
        <v>19.399999999999999</v>
      </c>
      <c r="N63" s="2541"/>
      <c r="Z63" s="1751"/>
      <c r="AI63" s="1752"/>
    </row>
    <row r="64" spans="1:35" ht="14.25" customHeight="1">
      <c r="A64" s="169" t="s">
        <v>325</v>
      </c>
      <c r="B64" s="170" t="s">
        <v>1376</v>
      </c>
      <c r="C64" s="2563">
        <f ca="1">D45</f>
        <v>1935</v>
      </c>
      <c r="D64" s="170" t="s">
        <v>26</v>
      </c>
      <c r="E64" s="172"/>
      <c r="F64" s="1807"/>
      <c r="G64" s="1807"/>
      <c r="H64" s="1809"/>
      <c r="I64" s="129"/>
      <c r="J64" s="3568"/>
      <c r="K64" s="1332" t="s">
        <v>1377</v>
      </c>
      <c r="L64" s="1332">
        <f ca="1">IF(M49&gt;2000,M49*0.5%,IF(AND(M49&gt;1000,M49&lt;=2000),M49*0.6%,IF(AND(M49&gt;500,M49&lt;=1000),M49*0.7%,IF(AND(M49&gt;200,M49&lt;=500),M49*0.8%,IF(AND(M49&gt;100,M49&lt;=200),M49*0.9%,IF(AND(M49&gt;50,M49&lt;=100),M49*1%,IF(AND(M49&gt;20,M49&lt;=50),M49*1.5%,IF(AND(M49&gt;10,M49&lt;=20),M49*2%,IF(AND(M49&gt;1,M49&lt;=10),M49*2.5%)))))))))</f>
        <v>11.61</v>
      </c>
      <c r="M64" s="302">
        <f t="shared" ref="M64:M65" ca="1" si="1">ROUND(L64,1)</f>
        <v>11.6</v>
      </c>
      <c r="N64" s="2542" t="s">
        <v>1378</v>
      </c>
      <c r="Z64" s="1751"/>
      <c r="AI64" s="1752"/>
    </row>
    <row r="65" spans="1:35" ht="14.25" customHeight="1">
      <c r="A65" s="169" t="s">
        <v>326</v>
      </c>
      <c r="B65" s="170" t="s">
        <v>1379</v>
      </c>
      <c r="C65" s="2564"/>
      <c r="D65" s="170"/>
      <c r="E65" s="172"/>
      <c r="F65" s="1807"/>
      <c r="G65" s="1807"/>
      <c r="H65" s="1809"/>
      <c r="I65" s="129"/>
      <c r="J65" s="3568"/>
      <c r="K65" s="1332" t="s">
        <v>1380</v>
      </c>
      <c r="L65" s="1332">
        <f ca="1">IF(M49&gt;1000,M49*0.1%,IF(AND(M49&gt;500,M49&lt;=1000),M49*0.5%,IF(AND(M49&gt;50,M49&lt;=500),M49*1%,IF(AND(M49&gt;1,M49&lt;=50),M49*1.5%))))</f>
        <v>1.9350000000000001</v>
      </c>
      <c r="M65" s="302">
        <f t="shared" ca="1" si="1"/>
        <v>1.9</v>
      </c>
      <c r="N65" s="2542" t="s">
        <v>1378</v>
      </c>
      <c r="Z65" s="1751"/>
      <c r="AI65" s="1752"/>
    </row>
    <row r="66" spans="1:35" ht="14.25" customHeight="1">
      <c r="A66" s="173" t="s">
        <v>327</v>
      </c>
      <c r="B66" s="174" t="s">
        <v>1381</v>
      </c>
      <c r="C66" s="2565"/>
      <c r="D66" s="174" t="s">
        <v>26</v>
      </c>
      <c r="E66" s="1338" t="s">
        <v>667</v>
      </c>
      <c r="F66" s="1807"/>
      <c r="G66" s="1807"/>
      <c r="H66" s="1809"/>
      <c r="I66" s="129"/>
      <c r="J66" s="3568"/>
      <c r="K66" s="1332" t="s">
        <v>1382</v>
      </c>
      <c r="L66" s="1332">
        <f ca="1">M49*0.5%</f>
        <v>9.6750000000000007</v>
      </c>
      <c r="M66" s="302">
        <f ca="1">IF(L66&gt;0.5,0.5,ROUND(L66,0))</f>
        <v>0.5</v>
      </c>
      <c r="N66" s="2542" t="s">
        <v>1383</v>
      </c>
      <c r="Z66" s="1751"/>
      <c r="AI66" s="1752"/>
    </row>
    <row r="67" spans="1:35" ht="14.25" customHeight="1">
      <c r="A67" s="173" t="s">
        <v>328</v>
      </c>
      <c r="B67" s="174" t="s">
        <v>1384</v>
      </c>
      <c r="C67" s="2566">
        <f ca="1">C63-C66</f>
        <v>1843</v>
      </c>
      <c r="D67" s="170" t="s">
        <v>26</v>
      </c>
      <c r="E67" s="172"/>
      <c r="F67" s="1807"/>
      <c r="G67" s="1807"/>
      <c r="H67" s="1809"/>
      <c r="I67" s="129"/>
      <c r="J67" s="3568"/>
      <c r="K67" s="1332" t="s">
        <v>1385</v>
      </c>
      <c r="L67" s="1332">
        <f ca="1">IF(M49&gt;=10000,(8.25+(M49-10000)*0.01%),IF(AND(M49&gt;=8000,M49&lt;10000),(7.85+(M49-8000)*0.02%),IF(AND(M49&gt;=5000,M49&lt;8000),(6.65+(M49-5000)*0.04%),IF(AND(M49&gt;=2000,M49&lt;5000),(4.25+(PM49-2000)*0.08%),IF(AND(M49&gt;=1000,M49&lt;2000),(2.75+(M49-1000)*0.15%),IF(AND(M49&gt;=100,M49&lt;1000),(0.5+(M49-100)*0.25%),IF(AND(M49&gt;0,M49&lt;100),M49*0.5%)))))))</f>
        <v>4.1524999999999999</v>
      </c>
      <c r="M67" s="302">
        <f ca="1">ROUND(L67*0.9,1)</f>
        <v>3.7</v>
      </c>
      <c r="N67" s="2541"/>
      <c r="Z67" s="1751"/>
      <c r="AI67" s="1752"/>
    </row>
    <row r="68" spans="1:35" ht="14.25" customHeight="1" thickBot="1">
      <c r="A68" s="176" t="s">
        <v>329</v>
      </c>
      <c r="B68" s="177" t="s">
        <v>1386</v>
      </c>
      <c r="C68" s="2567">
        <f ca="1">IF(C67&lt;=0,0,ROUND(C67*D68,0))</f>
        <v>101</v>
      </c>
      <c r="D68" s="2568">
        <f>'数据-取费表'!B41</f>
        <v>5.5000000000000007E-2</v>
      </c>
      <c r="E68" s="178"/>
      <c r="F68" s="1807"/>
      <c r="G68" s="1807"/>
      <c r="H68" s="1809"/>
      <c r="I68" s="129"/>
      <c r="J68" s="3568"/>
      <c r="K68" s="1332" t="s">
        <v>1387</v>
      </c>
      <c r="L68" s="1332">
        <f ca="1">IF(M49&gt;10000,M49*0.5%,IF(AND(M49&gt;5000,M49&lt;=10000),M49*1%,IF(AND(M49&gt;1000,M49&lt;=5000),M49*2%,IF(AND(M49&gt;200,M49&lt;=1000),M49*3%,M49*5%))))</f>
        <v>38.700000000000003</v>
      </c>
      <c r="M68" s="302">
        <f ca="1">ROUND(L68,1)</f>
        <v>38.700000000000003</v>
      </c>
      <c r="N68" s="2541"/>
      <c r="Z68" s="1751"/>
      <c r="AI68" s="1752"/>
    </row>
    <row r="69" spans="1:35" s="1771" customFormat="1" ht="16.5" customHeight="1">
      <c r="A69" s="1810"/>
      <c r="B69" s="1811"/>
      <c r="C69" s="1812"/>
      <c r="D69" s="1813"/>
      <c r="E69" s="1814"/>
      <c r="F69" s="1578"/>
      <c r="G69" s="1578"/>
      <c r="H69" s="1577"/>
      <c r="I69" s="1746"/>
      <c r="J69" s="3568"/>
      <c r="K69" s="1332" t="s">
        <v>1388</v>
      </c>
      <c r="L69" s="1332"/>
      <c r="M69" s="302">
        <f ca="1">ROUND(SUM(M63:M68),0)</f>
        <v>76</v>
      </c>
      <c r="N69" s="2543">
        <f ca="1">M69/M49</f>
        <v>3.9276485788113692E-2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2" t="s">
        <v>1389</v>
      </c>
      <c r="B70" s="3613"/>
      <c r="C70" s="3613"/>
      <c r="D70" s="3613"/>
      <c r="E70" s="3613"/>
      <c r="F70" s="3613"/>
      <c r="G70" s="3613"/>
      <c r="H70" s="3613"/>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4" t="s">
        <v>1370</v>
      </c>
      <c r="B71" s="3605"/>
      <c r="C71" s="2020"/>
      <c r="D71" s="2020" t="s">
        <v>1371</v>
      </c>
      <c r="E71" s="179" t="s">
        <v>1372</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1390</v>
      </c>
      <c r="C72" s="2566">
        <f ca="1">ROUND(D45/(1+'数据-取费表'!C42),0)</f>
        <v>1843</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1391</v>
      </c>
      <c r="C73" s="2566">
        <f ca="1">C74+C78</f>
        <v>9</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1392</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1393</v>
      </c>
      <c r="C75" s="2569"/>
      <c r="D75" s="170" t="s">
        <v>26</v>
      </c>
      <c r="E75" s="184" t="s">
        <v>1394</v>
      </c>
      <c r="F75" s="2570"/>
      <c r="G75" s="184" t="s">
        <v>1395</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1396</v>
      </c>
      <c r="C76" s="170">
        <f>IF(F75="购房发票",ROUND(C75*H75*D76,0),0)</f>
        <v>0</v>
      </c>
      <c r="D76" s="2572">
        <v>0.05</v>
      </c>
      <c r="E76" s="3609" t="s">
        <v>1397</v>
      </c>
      <c r="F76" s="3608"/>
      <c r="G76" s="3608"/>
      <c r="H76" s="361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1398</v>
      </c>
      <c r="C77" s="170">
        <f>ROUND(IF(G77="个人住宅",0,IF(G77="2016年5月1日前购买",C75*D77,C75*D77/(1+'数据-取费表'!C42))),0)</f>
        <v>0</v>
      </c>
      <c r="D77" s="2573">
        <f>'数据-取费表'!B48+'数据-取费表'!B49</f>
        <v>3.0499999999999999E-2</v>
      </c>
      <c r="E77" s="2323" t="s">
        <v>1399</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1400</v>
      </c>
      <c r="C78" s="2574">
        <f ca="1">ROUND(D45*D78/(1+'数据-取费表'!C42),0)</f>
        <v>9</v>
      </c>
      <c r="D78" s="2575">
        <f>'数据-取费表'!B43</f>
        <v>5.000000000000001E-3</v>
      </c>
      <c r="E78" s="3601" t="s">
        <v>1401</v>
      </c>
      <c r="F78" s="3602"/>
      <c r="G78" s="3602"/>
      <c r="H78" s="360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1402</v>
      </c>
      <c r="C79" s="2566">
        <f ca="1">C72-C73</f>
        <v>1834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1403</v>
      </c>
      <c r="C80" s="2576">
        <f ca="1">IF(C79&lt;=0,0,C79/C73)</f>
        <v>203.77777777777777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1404</v>
      </c>
      <c r="C81" s="2577">
        <f ca="1">ROUND(IF(C79&lt;=0,0,IF(C80&gt;=200%,C79*60%-C73*35%,IF(C80&gt;=100%,C79*50%-C73*15%,IF(C80&gt;=50%,C79*40%-C73*5%,IF(C80&lt;50%,C79*30%,0))))),0)</f>
        <v>1097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2" t="s">
        <v>1405</v>
      </c>
      <c r="B83" s="3613"/>
      <c r="C83" s="3613"/>
      <c r="D83" s="3613"/>
      <c r="E83" s="3613"/>
      <c r="F83" s="3613"/>
      <c r="G83" s="3613"/>
      <c r="H83" s="361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4" t="s">
        <v>1370</v>
      </c>
      <c r="B84" s="3605"/>
      <c r="C84" s="2020"/>
      <c r="D84" s="2020" t="s">
        <v>1371</v>
      </c>
      <c r="E84" s="179" t="s">
        <v>1372</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1390</v>
      </c>
      <c r="C85" s="2566">
        <f ca="1">ROUND(D45/(1+'数据-取费表'!C42),0)</f>
        <v>1843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1391</v>
      </c>
      <c r="C86" s="2566">
        <f ca="1">IF(H88="仅含出让金",C87+C90+C91+C92+C93+C94,C87+C91+C92+C93+C94)</f>
        <v>9</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1406</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1407</v>
      </c>
      <c r="C88" s="2580"/>
      <c r="D88" s="2575"/>
      <c r="E88" s="193" t="s">
        <v>1408</v>
      </c>
      <c r="F88" s="2326"/>
      <c r="G88" s="194" t="s">
        <v>1409</v>
      </c>
      <c r="H88" s="1823"/>
      <c r="I88" s="1820"/>
      <c r="J88" s="2519" t="s">
        <v>2283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1398</v>
      </c>
      <c r="C89" s="2574">
        <f>ROUND(C88*D89,0)</f>
        <v>0</v>
      </c>
      <c r="D89" s="2575">
        <f>'数据-取费表'!B48+'数据-取费表'!B49</f>
        <v>3.0499999999999999E-2</v>
      </c>
      <c r="E89" s="193" t="s">
        <v>1410</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1411</v>
      </c>
      <c r="C90" s="2580"/>
      <c r="D90" s="2575"/>
      <c r="E90" s="193" t="str">
        <f>IF(H88="-","土地取得成本中已包含该笔费用"," ")</f>
        <v xml:space="preserve"> </v>
      </c>
      <c r="F90" s="2326"/>
      <c r="G90" s="3570" t="s">
        <v>2124</v>
      </c>
      <c r="H90" s="3571"/>
      <c r="I90" s="1820"/>
      <c r="J90" s="2519" t="s">
        <v>2284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1412</v>
      </c>
      <c r="B91" s="170" t="s">
        <v>1413</v>
      </c>
      <c r="C91" s="2574">
        <f>IF(H91="——",成本法!C33,I91)</f>
        <v>0</v>
      </c>
      <c r="D91" s="2575"/>
      <c r="E91" s="3601" t="s">
        <v>1414</v>
      </c>
      <c r="F91" s="3602"/>
      <c r="G91" s="360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1415</v>
      </c>
      <c r="B92" s="170" t="s">
        <v>1416</v>
      </c>
      <c r="C92" s="2574">
        <f>ROUND((C87+C90+C91)*D92,0)</f>
        <v>0</v>
      </c>
      <c r="D92" s="2581"/>
      <c r="E92" s="3601" t="s">
        <v>1417</v>
      </c>
      <c r="F92" s="3602"/>
      <c r="G92" s="3602"/>
      <c r="H92" s="3603"/>
      <c r="I92" s="1820"/>
      <c r="J92" s="2520" t="s">
        <v>2285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1418</v>
      </c>
      <c r="B93" s="170" t="s">
        <v>1400</v>
      </c>
      <c r="C93" s="2574">
        <f ca="1">ROUND(D45*D93/(1+'数据-取费表'!C42),0)</f>
        <v>9</v>
      </c>
      <c r="D93" s="2575">
        <f>'数据-取费表'!B43</f>
        <v>5.000000000000001E-3</v>
      </c>
      <c r="E93" s="3601" t="s">
        <v>1401</v>
      </c>
      <c r="F93" s="3602"/>
      <c r="G93" s="3602"/>
      <c r="H93" s="360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1419</v>
      </c>
      <c r="B94" s="170" t="s">
        <v>1420</v>
      </c>
      <c r="C94" s="2580">
        <f>ROUND((C87+C90+C91)*D94,0)</f>
        <v>0</v>
      </c>
      <c r="D94" s="2575">
        <v>0.2</v>
      </c>
      <c r="E94" s="3646" t="s">
        <v>1421</v>
      </c>
      <c r="F94" s="3647"/>
      <c r="G94" s="3647"/>
      <c r="H94" s="364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1402</v>
      </c>
      <c r="C95" s="2566">
        <f ca="1">ROUND(C85-C86,0)</f>
        <v>1834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1403</v>
      </c>
      <c r="C96" s="2576">
        <f ca="1">IF(C95&lt;=0,0,C95/C86)</f>
        <v>203.77777777777777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1404</v>
      </c>
      <c r="C97" s="2577">
        <f ca="1">ROUND(IF(C95&lt;=0,0,IF(C96&gt;=200%,C95*60%-C86*35%,IF(C96&gt;=100%,C95*50%-C86*15%,IF(C96&gt;=50%,C95*40%-C86*5%,IF(C96&lt;50%,C95*30%,0))))),0)</f>
        <v>1097</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8"/>
      <c r="F98" s="1578"/>
      <c r="G98" s="1578"/>
      <c r="H98" s="1577"/>
      <c r="I98" s="129"/>
    </row>
    <row r="99" spans="1:35" ht="21.75" customHeight="1" thickBot="1">
      <c r="A99" s="1799" t="s">
        <v>1422</v>
      </c>
      <c r="B99" s="1746"/>
      <c r="C99" s="1746"/>
      <c r="D99" s="1746"/>
      <c r="E99" s="1578"/>
      <c r="F99" s="1578"/>
      <c r="G99" s="1578"/>
      <c r="H99" s="1577"/>
      <c r="I99" s="129"/>
    </row>
    <row r="100" spans="1:35" ht="18.75" customHeight="1">
      <c r="A100" s="3551" t="s">
        <v>1423</v>
      </c>
      <c r="B100" s="3552"/>
      <c r="C100" s="3552"/>
      <c r="D100" s="3586"/>
      <c r="E100" s="3552" t="s">
        <v>1424</v>
      </c>
      <c r="F100" s="3552"/>
      <c r="G100" s="3552"/>
      <c r="H100" s="3586"/>
      <c r="I100" s="129"/>
    </row>
    <row r="101" spans="1:35" ht="18.75" customHeight="1">
      <c r="A101" s="3594" t="s">
        <v>1425</v>
      </c>
      <c r="B101" s="3595"/>
      <c r="C101" s="2583" t="str">
        <f>C4</f>
        <v>基准地价修正</v>
      </c>
      <c r="D101" s="2584" t="str">
        <f>D4</f>
        <v>假设开发法</v>
      </c>
      <c r="E101" s="3564" t="s">
        <v>1426</v>
      </c>
      <c r="F101" s="3565"/>
      <c r="G101" s="1826" t="s">
        <v>1427</v>
      </c>
      <c r="H101" s="2593">
        <f ca="1">H118</f>
        <v>1935</v>
      </c>
      <c r="I101" s="129"/>
    </row>
    <row r="102" spans="1:35" ht="18.75" customHeight="1">
      <c r="A102" s="3596" t="s">
        <v>1428</v>
      </c>
      <c r="B102" s="2582" t="s">
        <v>1427</v>
      </c>
      <c r="C102" s="2583">
        <f ca="1">IF(D32="楼面单价",ROUND(C19,0),C19)</f>
        <v>2256</v>
      </c>
      <c r="D102" s="2584">
        <f ca="1">IF(D32="楼面单价",ROUND(D19,0),D19)</f>
        <v>1614</v>
      </c>
      <c r="E102" s="3564"/>
      <c r="F102" s="3565"/>
      <c r="G102" s="1826" t="s">
        <v>1429</v>
      </c>
      <c r="H102" s="2553">
        <f ca="1">I118</f>
        <v>1974</v>
      </c>
      <c r="I102" s="129"/>
    </row>
    <row r="103" spans="1:35" ht="42.75" customHeight="1">
      <c r="A103" s="3596"/>
      <c r="B103" s="2582" t="s">
        <v>1429</v>
      </c>
      <c r="C103" s="2585">
        <f ca="1">C20</f>
        <v>2943</v>
      </c>
      <c r="D103" s="2586">
        <f ca="1">D20</f>
        <v>1647</v>
      </c>
      <c r="E103" s="3557" t="s">
        <v>1430</v>
      </c>
      <c r="F103" s="3558"/>
      <c r="G103" s="1827" t="s">
        <v>1431</v>
      </c>
      <c r="H103" s="2593">
        <f>IF(D36="正常操作",H104+H105+H106,H105+H106)</f>
        <v>0</v>
      </c>
      <c r="I103" s="129"/>
    </row>
    <row r="104" spans="1:35" ht="18.75" customHeight="1">
      <c r="A104" s="3596" t="s">
        <v>1432</v>
      </c>
      <c r="B104" s="2587" t="s">
        <v>1427</v>
      </c>
      <c r="C104" s="2588">
        <f ca="1">H118</f>
        <v>1935</v>
      </c>
      <c r="D104" s="2589"/>
      <c r="E104" s="1673" t="s">
        <v>1433</v>
      </c>
      <c r="F104" s="1665"/>
      <c r="G104" s="1827" t="s">
        <v>1431</v>
      </c>
      <c r="H104" s="2594">
        <f>IF(D36="同一抵押权人同一抵押物续贷",C36&amp;"（续贷，未扣减，详见特别提示）",C36)</f>
        <v>0</v>
      </c>
      <c r="I104" s="129"/>
    </row>
    <row r="105" spans="1:35" ht="18.75" customHeight="1" thickBot="1">
      <c r="A105" s="3606"/>
      <c r="B105" s="2590" t="s">
        <v>1429</v>
      </c>
      <c r="C105" s="2591">
        <f ca="1">I118</f>
        <v>1974</v>
      </c>
      <c r="D105" s="2592"/>
      <c r="E105" s="1673" t="s">
        <v>1434</v>
      </c>
      <c r="F105" s="1665"/>
      <c r="G105" s="1827" t="s">
        <v>1431</v>
      </c>
      <c r="H105" s="2595">
        <f>C37</f>
        <v>0</v>
      </c>
      <c r="I105" s="129"/>
    </row>
    <row r="106" spans="1:35" ht="18.75" customHeight="1">
      <c r="A106" s="1746" t="s">
        <v>1435</v>
      </c>
      <c r="B106" s="1746"/>
      <c r="C106" s="1746"/>
      <c r="D106" s="1746"/>
      <c r="E106" s="1828" t="s">
        <v>1436</v>
      </c>
      <c r="F106" s="1665"/>
      <c r="G106" s="1827" t="s">
        <v>1431</v>
      </c>
      <c r="H106" s="2595">
        <f>C38</f>
        <v>0</v>
      </c>
      <c r="I106" s="129"/>
    </row>
    <row r="107" spans="1:35" ht="18.75" customHeight="1">
      <c r="A107" s="129"/>
      <c r="B107" s="129"/>
      <c r="C107" s="129"/>
      <c r="D107" s="129"/>
      <c r="E107" s="3597" t="str">
        <f>IF(项目基本情况!E8="已注销","——","3.房地产抵押价值")</f>
        <v>3.房地产抵押价值</v>
      </c>
      <c r="F107" s="3565"/>
      <c r="G107" s="1826" t="s">
        <v>1427</v>
      </c>
      <c r="H107" s="2593">
        <f ca="1">IF(E107="——","——",H101-H103)</f>
        <v>1935</v>
      </c>
      <c r="I107" s="129"/>
    </row>
    <row r="108" spans="1:35" ht="18.75" customHeight="1">
      <c r="A108" s="129"/>
      <c r="B108" s="129"/>
      <c r="C108" s="129"/>
      <c r="D108" s="129"/>
      <c r="E108" s="3597"/>
      <c r="F108" s="3565"/>
      <c r="G108" s="1826" t="s">
        <v>1429</v>
      </c>
      <c r="H108" s="2553">
        <f ca="1">IF(H107=H101,H102,ROUND(H107*10000/'数据-汇总表'!E3,0))</f>
        <v>1974</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6" t="s">
        <v>1427</v>
      </c>
      <c r="H109" s="2596" t="str">
        <f>IF(E109="——","——",H101-H105-H106)</f>
        <v>——</v>
      </c>
      <c r="I109" s="129"/>
    </row>
    <row r="110" spans="1:35" ht="18.75" customHeight="1">
      <c r="A110" s="129"/>
      <c r="B110" s="129"/>
      <c r="C110" s="129"/>
      <c r="D110" s="129"/>
      <c r="E110" s="3597"/>
      <c r="F110" s="3565"/>
      <c r="G110" s="1826" t="s">
        <v>1429</v>
      </c>
      <c r="H110" s="2553"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6" t="s">
        <v>1427</v>
      </c>
      <c r="H111" s="2593" t="str">
        <f>IF(E111="——","——",N59)</f>
        <v>——</v>
      </c>
      <c r="I111" s="129"/>
    </row>
    <row r="112" spans="1:35" ht="18.75" customHeight="1" thickBot="1">
      <c r="A112" s="129"/>
      <c r="B112" s="129"/>
      <c r="C112" s="129"/>
      <c r="D112" s="129"/>
      <c r="E112" s="3599"/>
      <c r="F112" s="3600"/>
      <c r="G112" s="1829" t="s">
        <v>1429</v>
      </c>
      <c r="H112" s="2597" t="str">
        <f>IF(E111="——","——",N61)</f>
        <v>——</v>
      </c>
      <c r="I112" s="129"/>
    </row>
    <row r="113" spans="1:27" ht="18.75" customHeight="1">
      <c r="A113" s="129"/>
      <c r="B113" s="129"/>
      <c r="C113" s="129"/>
      <c r="D113" s="129"/>
      <c r="E113" s="3607" t="s">
        <v>1435</v>
      </c>
      <c r="F113" s="3607"/>
      <c r="G113" s="3607"/>
      <c r="H113" s="3607"/>
      <c r="I113" s="129"/>
    </row>
    <row r="114" spans="1:27" ht="3.75" customHeight="1">
      <c r="A114" s="1746"/>
      <c r="B114" s="1746"/>
      <c r="C114" s="1746"/>
      <c r="D114" s="1746"/>
      <c r="E114" s="1808"/>
      <c r="F114" s="1808"/>
      <c r="G114" s="1808"/>
      <c r="H114" s="1808"/>
      <c r="I114" s="1746"/>
    </row>
    <row r="115" spans="1:27" ht="18.75" customHeight="1">
      <c r="A115" s="3615" t="s">
        <v>1437</v>
      </c>
      <c r="B115" s="3616"/>
      <c r="C115" s="3616"/>
      <c r="D115" s="3616"/>
      <c r="E115" s="3616"/>
      <c r="F115" s="3616"/>
      <c r="G115" s="3616"/>
      <c r="H115" s="3616"/>
      <c r="I115" s="3617"/>
    </row>
    <row r="116" spans="1:27" ht="27" customHeight="1">
      <c r="A116" s="3572" t="s">
        <v>1438</v>
      </c>
      <c r="B116" s="3576" t="s">
        <v>1439</v>
      </c>
      <c r="C116" s="3576" t="s">
        <v>1440</v>
      </c>
      <c r="D116" s="3582" t="s">
        <v>1441</v>
      </c>
      <c r="E116" s="3583"/>
      <c r="F116" s="3614" t="s">
        <v>1442</v>
      </c>
      <c r="G116" s="3614"/>
      <c r="H116" s="3572" t="s">
        <v>1443</v>
      </c>
      <c r="I116" s="3572"/>
    </row>
    <row r="117" spans="1:27" ht="18.75" customHeight="1">
      <c r="A117" s="3572"/>
      <c r="B117" s="3577"/>
      <c r="C117" s="3577"/>
      <c r="D117" s="2328" t="s">
        <v>1444</v>
      </c>
      <c r="E117" s="2328" t="s">
        <v>1445</v>
      </c>
      <c r="F117" s="2328" t="s">
        <v>1444</v>
      </c>
      <c r="G117" s="2328" t="s">
        <v>1446</v>
      </c>
      <c r="H117" s="2328" t="s">
        <v>1444</v>
      </c>
      <c r="I117" s="2328" t="s">
        <v>1446</v>
      </c>
    </row>
    <row r="118" spans="1:27" ht="24.75" customHeight="1">
      <c r="A118" s="2598" t="str">
        <f>项目基本情况!S2</f>
        <v>北京市平谷区金海湖镇PG06-0100-6019地块1宗商业、地下车库用地房地产</v>
      </c>
      <c r="B118" s="2328">
        <f>M18</f>
        <v>9801.27</v>
      </c>
      <c r="C118" s="2328">
        <f>M19</f>
        <v>7720.87</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1935</v>
      </c>
      <c r="I118" s="2328">
        <f ca="1">ROUND(IF(D32="楼面单价",C32,H118*10000/B118),0)</f>
        <v>1974</v>
      </c>
    </row>
    <row r="119" spans="1:27" ht="18.75" customHeight="1">
      <c r="A119" s="3572" t="s">
        <v>1447</v>
      </c>
      <c r="B119" s="3572"/>
      <c r="C119" s="3572"/>
      <c r="D119" s="3578" t="str">
        <f>NUMBERSTRING(INT(D118*10000),2)&amp;"元整"</f>
        <v>零元整</v>
      </c>
      <c r="E119" s="3579"/>
      <c r="F119" s="3578" t="str">
        <f>NUMBERSTRING(INT(F118*10000),2)&amp;"元整"</f>
        <v>零元整</v>
      </c>
      <c r="G119" s="3579"/>
      <c r="H119" s="3578" t="str">
        <f ca="1">NUMBERSTRING(INT(H118*10000),2)&amp;"元整"</f>
        <v>壹仟玖佰叁拾伍万元整</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8" t="s">
        <v>1447</v>
      </c>
      <c r="B121" s="3580"/>
      <c r="C121" s="3579"/>
      <c r="D121" s="3578" t="str">
        <f>IF(D120=0,"零元整",NUMBERSTRING(INT(D120*10000),2)&amp;"元整")</f>
        <v>零元整</v>
      </c>
      <c r="E121" s="3580"/>
      <c r="F121" s="3580"/>
      <c r="G121" s="3580"/>
      <c r="H121" s="3580"/>
      <c r="I121" s="3579"/>
      <c r="AA121" s="725"/>
    </row>
    <row r="122" spans="1:27" ht="18.75" customHeight="1">
      <c r="A122" s="3584" t="str">
        <f>IF(项目基本情况!B9="房地产市场价值","",MID(E107,3,LEN(E107)-2))</f>
        <v>房地产抵押价值</v>
      </c>
      <c r="B122" s="3584"/>
      <c r="C122" s="3584"/>
      <c r="D122" s="3573">
        <f ca="1">H107</f>
        <v>1935</v>
      </c>
      <c r="E122" s="3574"/>
      <c r="F122" s="3574"/>
      <c r="G122" s="3574"/>
      <c r="H122" s="3574"/>
      <c r="I122" s="3575"/>
      <c r="AA122" s="725"/>
    </row>
    <row r="123" spans="1:27" ht="18.75" customHeight="1">
      <c r="A123" s="3572" t="s">
        <v>1447</v>
      </c>
      <c r="B123" s="3572"/>
      <c r="C123" s="3572"/>
      <c r="D123" s="3578" t="str">
        <f ca="1">NUMBERSTRING(INT(D122*10000),2)&amp;"元整"</f>
        <v>壹仟玖佰叁拾伍万元整</v>
      </c>
      <c r="E123" s="3580"/>
      <c r="F123" s="3580"/>
      <c r="G123" s="3580"/>
      <c r="H123" s="3580"/>
      <c r="I123" s="3579"/>
      <c r="AA123" s="725"/>
    </row>
    <row r="124" spans="1:27" ht="18.75" customHeight="1">
      <c r="A124" s="3584" t="str">
        <f>IF(项目基本情况!B9="房地产市场价值","",MID(E109,3,LEN(E109)-2))</f>
        <v/>
      </c>
      <c r="B124" s="3584"/>
      <c r="C124" s="3584"/>
      <c r="D124" s="3573" t="str">
        <f>H109</f>
        <v>——</v>
      </c>
      <c r="E124" s="3574"/>
      <c r="F124" s="3574"/>
      <c r="G124" s="3574"/>
      <c r="H124" s="3574"/>
      <c r="I124" s="3575"/>
      <c r="AA124" s="725"/>
    </row>
    <row r="125" spans="1:27" ht="18.75" customHeight="1">
      <c r="A125" s="3572" t="s">
        <v>1447</v>
      </c>
      <c r="B125" s="3572"/>
      <c r="C125" s="3572"/>
      <c r="D125" s="3578" t="e">
        <f>NUMBERSTRING(INT(D124*10000),2)&amp;"元整"</f>
        <v>#VALUE!</v>
      </c>
      <c r="E125" s="3580"/>
      <c r="F125" s="3580"/>
      <c r="G125" s="3580"/>
      <c r="H125" s="3580"/>
      <c r="I125" s="3579"/>
      <c r="AA125" s="725"/>
    </row>
    <row r="126" spans="1:27" ht="18.75" customHeight="1">
      <c r="A126" s="3584" t="str">
        <f>IF(项目基本情况!B9="房地产市场价值","",MID(E111,3,LEN(E111)-2))</f>
        <v/>
      </c>
      <c r="B126" s="3584"/>
      <c r="C126" s="3584"/>
      <c r="D126" s="3573" t="str">
        <f>H111</f>
        <v>——</v>
      </c>
      <c r="E126" s="3574"/>
      <c r="F126" s="3574"/>
      <c r="G126" s="3574"/>
      <c r="H126" s="3574"/>
      <c r="I126" s="3575"/>
      <c r="AA126" s="725"/>
    </row>
    <row r="127" spans="1:27" ht="18.75" customHeight="1">
      <c r="A127" s="3572" t="s">
        <v>1447</v>
      </c>
      <c r="B127" s="3572"/>
      <c r="C127" s="3572"/>
      <c r="D127" s="3578" t="e">
        <f>NUMBERSTRING(INT(D126*10000),2)&amp;"元整"</f>
        <v>#VALUE!</v>
      </c>
      <c r="E127" s="3580"/>
      <c r="F127" s="3580"/>
      <c r="G127" s="3580"/>
      <c r="H127" s="3580"/>
      <c r="I127" s="3579"/>
      <c r="AA127" s="725"/>
    </row>
    <row r="128" spans="1:27" ht="21.75" customHeight="1">
      <c r="A128" s="3581" t="s">
        <v>1448</v>
      </c>
      <c r="B128" s="3581"/>
      <c r="C128" s="3581"/>
      <c r="D128" s="3581"/>
      <c r="E128" s="3581"/>
      <c r="F128" s="3581"/>
      <c r="G128" s="3581"/>
      <c r="H128" s="3581"/>
      <c r="I128" s="3581"/>
      <c r="AA128" s="725"/>
    </row>
    <row r="129" spans="1:35" ht="21.75" customHeight="1">
      <c r="A129" s="1830" t="s">
        <v>1449</v>
      </c>
      <c r="B129" s="1831"/>
      <c r="C129" s="1832" t="s">
        <v>1450</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1451</v>
      </c>
      <c r="G135" s="1847"/>
      <c r="H135" s="1847"/>
      <c r="I135" s="1848" t="s">
        <v>1452</v>
      </c>
    </row>
    <row r="136" spans="1:35" ht="21.75" customHeight="1">
      <c r="A136" s="725"/>
      <c r="B136" s="1849"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1454</v>
      </c>
    </row>
    <row r="139" spans="1:35" ht="21.75" customHeight="1">
      <c r="A139" s="725"/>
      <c r="B139" s="1849" t="s">
        <v>1455</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1454</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北京市平谷区金海湖镇PG06-0100-6019地块1宗商业、地下车库用地房地产抵押价值预评估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70"/>
      <c r="C1" s="198"/>
      <c r="D1" s="198"/>
      <c r="E1" s="198"/>
      <c r="F1" s="198"/>
      <c r="G1" s="1126">
        <f>MATCH(B1,'数据-取费表'!A6:A16,0)+5</f>
        <v>7</v>
      </c>
    </row>
    <row r="2" spans="1:9" s="200" customFormat="1" ht="18" customHeight="1">
      <c r="A2" s="201" t="s">
        <v>1457</v>
      </c>
      <c r="B2" s="202">
        <f ca="1">IF(D2="——",C52,C52-E2)</f>
        <v>171</v>
      </c>
      <c r="C2" s="199" t="s">
        <v>1458</v>
      </c>
      <c r="D2" s="1852" t="s">
        <v>43</v>
      </c>
      <c r="E2" s="1169" t="e">
        <f ca="1">SUMIF(INDIRECT("'"&amp;G2&amp;"'"&amp;"!A:A"),"承租人权益价值",INDIRECT("'"&amp;G2&amp;"'"&amp;"!c:c"))</f>
        <v>#REF!</v>
      </c>
      <c r="F2" s="1853" t="s">
        <v>1458</v>
      </c>
      <c r="G2" s="1854"/>
    </row>
    <row r="3" spans="1:9" s="200" customFormat="1" ht="18" customHeight="1" thickBot="1">
      <c r="A3" s="203" t="s">
        <v>1459</v>
      </c>
      <c r="B3" s="204">
        <f ca="1">ROUND(B2*10000/(IF(B1="",'数据-汇总表'!E3,INDIRECT("'数据-取费表'!k"&amp;$G$1))),0)</f>
        <v>174</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 ca="1">C6+C7+C8</f>
        <v>78</v>
      </c>
      <c r="D5" s="211" t="s">
        <v>1464</v>
      </c>
      <c r="E5" s="212" t="s">
        <v>1465</v>
      </c>
      <c r="F5" s="212" t="s">
        <v>1466</v>
      </c>
      <c r="G5" s="213"/>
    </row>
    <row r="6" spans="1:9" s="214" customFormat="1" ht="13.5" customHeight="1">
      <c r="A6" s="778" t="s">
        <v>1467</v>
      </c>
      <c r="B6" s="215" t="s">
        <v>1468</v>
      </c>
      <c r="C6" s="216"/>
      <c r="D6" s="217"/>
      <c r="E6" s="218"/>
      <c r="F6" s="218"/>
      <c r="G6" s="219"/>
    </row>
    <row r="7" spans="1:9" s="214" customFormat="1" ht="13.5" customHeight="1">
      <c r="A7" s="778" t="s">
        <v>1469</v>
      </c>
      <c r="B7" s="215" t="s">
        <v>1470</v>
      </c>
      <c r="C7" s="220">
        <f>ROUND(C6*F7,0)</f>
        <v>0</v>
      </c>
      <c r="D7" s="220"/>
      <c r="E7" s="218"/>
      <c r="F7" s="221">
        <f>IF(项目基本情况!B8="出让",0,'数据-取费表'!B48+'数据-取费表'!B49)</f>
        <v>3.0499999999999999E-2</v>
      </c>
      <c r="G7" s="219"/>
    </row>
    <row r="8" spans="1:9" s="223" customFormat="1">
      <c r="A8" s="778" t="s">
        <v>1471</v>
      </c>
      <c r="B8" s="215" t="s">
        <v>1472</v>
      </c>
      <c r="C8" s="220">
        <f ca="1">IF(G8="已包含在土地购买价格中","0",IF(B1="",'数据-取费表'!B29,IF(G9="全部缴纳",C9+C10,H9)))</f>
        <v>78</v>
      </c>
      <c r="D8" s="222"/>
      <c r="E8" s="220"/>
      <c r="F8" s="221"/>
      <c r="G8" s="1855"/>
    </row>
    <row r="9" spans="1:9" s="214" customFormat="1" ht="13.5" customHeight="1">
      <c r="A9" s="779" t="s">
        <v>355</v>
      </c>
      <c r="B9" s="224" t="s">
        <v>1473</v>
      </c>
      <c r="C9" s="225">
        <f ca="1">ROUND(D9*E9/10000,0)</f>
        <v>0</v>
      </c>
      <c r="D9" s="845">
        <f ca="1">IF(B1="",'数据-汇总表'!E5,IF(INDIRECT("'数据-取费表'!c"&amp;$G$1)="住宅",INDIRECT("'数据-取费表'!k"&amp;$G$1),0))</f>
        <v>0</v>
      </c>
      <c r="E9" s="225">
        <f>'数据-取费表'!B27</f>
        <v>80</v>
      </c>
      <c r="F9" s="221"/>
      <c r="G9" s="1856"/>
      <c r="H9" s="1137"/>
      <c r="I9" s="1857" t="s">
        <v>1474</v>
      </c>
    </row>
    <row r="10" spans="1:9" s="214" customFormat="1" ht="13.5" customHeight="1">
      <c r="A10" s="779" t="s">
        <v>356</v>
      </c>
      <c r="B10" s="224" t="s">
        <v>1475</v>
      </c>
      <c r="C10" s="225">
        <f ca="1">ROUND(D10*E10/10000,0)</f>
        <v>78</v>
      </c>
      <c r="D10" s="845">
        <f ca="1">IF(B1="",'数据-汇总表'!E6,IF(INDIRECT("'数据-取费表'!c"&amp;$G$1)="住宅",INDIRECT("'数据-取费表'!s"&amp;$G$1),INDIRECT("'数据-取费表'!k"&amp;$G$1)+INDIRECT("'数据-取费表'!s"&amp;$G$1)))</f>
        <v>9801.27</v>
      </c>
      <c r="E10" s="225">
        <f>'数据-取费表'!B28</f>
        <v>80</v>
      </c>
      <c r="F10" s="221"/>
      <c r="G10" s="226"/>
    </row>
    <row r="11" spans="1:9" s="214" customFormat="1" ht="13.5" hidden="1" customHeight="1">
      <c r="A11" s="227" t="s">
        <v>4</v>
      </c>
      <c r="B11" s="215" t="s">
        <v>1476</v>
      </c>
      <c r="C11" s="211"/>
      <c r="D11" s="847"/>
      <c r="E11" s="218"/>
      <c r="F11" s="218"/>
      <c r="G11" s="219"/>
    </row>
    <row r="12" spans="1:9" s="214" customFormat="1" ht="13.5" hidden="1" customHeight="1">
      <c r="A12" s="227" t="s">
        <v>5</v>
      </c>
      <c r="B12" s="215" t="s">
        <v>1477</v>
      </c>
      <c r="C12" s="211">
        <v>0</v>
      </c>
      <c r="D12" s="847"/>
      <c r="E12" s="228"/>
      <c r="F12" s="221">
        <v>3.0499999999999999E-2</v>
      </c>
      <c r="G12" s="219"/>
    </row>
    <row r="13" spans="1:9" s="214" customFormat="1" ht="13.5" hidden="1" customHeight="1">
      <c r="A13" s="227" t="s">
        <v>6</v>
      </c>
      <c r="B13" s="215" t="s">
        <v>1478</v>
      </c>
      <c r="C13" s="211"/>
      <c r="D13" s="847"/>
      <c r="E13" s="218"/>
      <c r="F13" s="218"/>
      <c r="G13" s="219"/>
    </row>
    <row r="14" spans="1:9" s="214" customFormat="1" ht="13.5" hidden="1" customHeight="1">
      <c r="A14" s="227" t="s">
        <v>7</v>
      </c>
      <c r="B14" s="215" t="s">
        <v>1479</v>
      </c>
      <c r="C14" s="211"/>
      <c r="D14" s="847"/>
      <c r="E14" s="218"/>
      <c r="F14" s="218"/>
      <c r="G14" s="219" t="s">
        <v>1480</v>
      </c>
    </row>
    <row r="15" spans="1:9" s="214" customFormat="1" ht="13.5" hidden="1" customHeight="1">
      <c r="A15" s="227" t="s">
        <v>8</v>
      </c>
      <c r="B15" s="215" t="s">
        <v>1481</v>
      </c>
      <c r="C15" s="220"/>
      <c r="D15" s="847"/>
      <c r="E15" s="218"/>
      <c r="F15" s="218"/>
      <c r="G15" s="219" t="s">
        <v>1482</v>
      </c>
    </row>
    <row r="16" spans="1:9" s="214" customFormat="1" ht="13.5" hidden="1" customHeight="1">
      <c r="A16" s="227" t="s">
        <v>9</v>
      </c>
      <c r="B16" s="215" t="s">
        <v>1479</v>
      </c>
      <c r="C16" s="220"/>
      <c r="D16" s="847"/>
      <c r="E16" s="218"/>
      <c r="F16" s="218"/>
      <c r="G16" s="219"/>
    </row>
    <row r="17" spans="1:7" s="214" customFormat="1" ht="13.5" hidden="1" customHeight="1">
      <c r="A17" s="227" t="s">
        <v>10</v>
      </c>
      <c r="B17" s="215" t="s">
        <v>1483</v>
      </c>
      <c r="C17" s="229"/>
      <c r="D17" s="848"/>
      <c r="E17" s="229"/>
      <c r="F17" s="229"/>
      <c r="G17" s="219" t="s">
        <v>1482</v>
      </c>
    </row>
    <row r="18" spans="1:7" s="214" customFormat="1" ht="13.5" hidden="1" customHeight="1">
      <c r="A18" s="227" t="s">
        <v>11</v>
      </c>
      <c r="B18" s="215" t="s">
        <v>1484</v>
      </c>
      <c r="C18" s="220">
        <v>0</v>
      </c>
      <c r="D18" s="847"/>
      <c r="E18" s="218"/>
      <c r="F18" s="221">
        <v>3.0499999999999999E-2</v>
      </c>
      <c r="G18" s="219" t="s">
        <v>1485</v>
      </c>
    </row>
    <row r="19" spans="1:7" s="223" customFormat="1" ht="13.5" customHeight="1">
      <c r="A19" s="255" t="s">
        <v>1486</v>
      </c>
      <c r="B19" s="210" t="s">
        <v>1487</v>
      </c>
      <c r="C19" s="211">
        <f ca="1">IF(G19="已包含在土地取得成本中","0",ROUND(D19*E19/10000,0))</f>
        <v>78</v>
      </c>
      <c r="D19" s="849">
        <f ca="1">D9+D10</f>
        <v>9801.27</v>
      </c>
      <c r="E19" s="211">
        <f>'数据-取费表'!B31</f>
        <v>80</v>
      </c>
      <c r="F19" s="231"/>
      <c r="G19" s="1855"/>
    </row>
    <row r="20" spans="1:7" s="214" customFormat="1" ht="13.5" customHeight="1">
      <c r="A20" s="255" t="s">
        <v>1488</v>
      </c>
      <c r="B20" s="210" t="s">
        <v>1489</v>
      </c>
      <c r="C20" s="232">
        <f ca="1">ROUND((C5+C19)*F20,0)</f>
        <v>3</v>
      </c>
      <c r="D20" s="232"/>
      <c r="E20" s="232"/>
      <c r="F20" s="233">
        <f>'数据-取费表'!B37</f>
        <v>0.02</v>
      </c>
      <c r="G20" s="234" t="s">
        <v>1490</v>
      </c>
    </row>
    <row r="21" spans="1:7" s="214" customFormat="1" ht="13.5" customHeight="1">
      <c r="A21" s="255" t="s">
        <v>1491</v>
      </c>
      <c r="B21" s="210" t="s">
        <v>1492</v>
      </c>
      <c r="C21" s="235">
        <f>F21</f>
        <v>0.02</v>
      </c>
      <c r="D21" s="236" t="s">
        <v>1493</v>
      </c>
      <c r="E21" s="232"/>
      <c r="F21" s="233">
        <f>'数据-取费表'!B38</f>
        <v>0.02</v>
      </c>
      <c r="G21" s="234" t="s">
        <v>1494</v>
      </c>
    </row>
    <row r="22" spans="1:7" s="214" customFormat="1" ht="13.5" customHeight="1">
      <c r="A22" s="255" t="s">
        <v>1495</v>
      </c>
      <c r="B22" s="210" t="s">
        <v>1496</v>
      </c>
      <c r="C22" s="1104">
        <f ca="1">ROUND(SUM(C23:C25),0)</f>
        <v>0</v>
      </c>
      <c r="D22" s="235">
        <f ca="1">C26</f>
        <v>0</v>
      </c>
      <c r="E22" s="236" t="s">
        <v>1493</v>
      </c>
      <c r="F22" s="237">
        <f ca="1">'数据-取费表'!B40</f>
        <v>3.4500000000000003E-2</v>
      </c>
      <c r="G22" s="234" t="str">
        <f>IF('数据-取费表'!B22&lt;=1,"单利计息","复利计息")</f>
        <v>单利计息</v>
      </c>
    </row>
    <row r="23" spans="1:7" s="214" customFormat="1" ht="13.5" customHeight="1">
      <c r="A23" s="780" t="s">
        <v>1497</v>
      </c>
      <c r="B23" s="215" t="s">
        <v>1498</v>
      </c>
      <c r="C23" s="1105">
        <f ca="1">ROUND(IF('数据-取费表'!B22&lt;=1,C5*F22*'数据-取费表'!B23,C5*(POWER((1+F22),'数据-取费表'!B23)-1)),0)</f>
        <v>0</v>
      </c>
      <c r="D23" s="238"/>
      <c r="E23" s="238"/>
      <c r="F23" s="239"/>
      <c r="G23" s="240" t="s">
        <v>1499</v>
      </c>
    </row>
    <row r="24" spans="1:7" s="214" customFormat="1" ht="13.5" customHeight="1">
      <c r="A24" s="780" t="s">
        <v>1500</v>
      </c>
      <c r="B24" s="215" t="s">
        <v>1501</v>
      </c>
      <c r="C24" s="1105">
        <f ca="1">ROUND(IF('数据-取费表'!B22&lt;=1,C19*F22*('数据-取费表'!B19/2+'数据-取费表'!B21),C19*(POWER((1+F22),('数据-取费表'!B19/2+'数据-取费表'!B21))-1)),0)</f>
        <v>0</v>
      </c>
      <c r="D24" s="238"/>
      <c r="E24" s="238"/>
      <c r="F24" s="239"/>
      <c r="G24" s="240" t="s">
        <v>1502</v>
      </c>
    </row>
    <row r="25" spans="1:7" s="214" customFormat="1" ht="24">
      <c r="A25" s="780" t="s">
        <v>1503</v>
      </c>
      <c r="B25" s="215" t="s">
        <v>1504</v>
      </c>
      <c r="C25" s="1105">
        <f ca="1">ROUND(IF('数据-取费表'!B22&lt;=1,C20*F22*'数据-取费表'!B23/2,C20*(POWER((1+F22),'数据-取费表'!B23/2)-1)),0)</f>
        <v>0</v>
      </c>
      <c r="D25" s="238"/>
      <c r="E25" s="241"/>
      <c r="F25" s="239"/>
      <c r="G25" s="242" t="s">
        <v>1505</v>
      </c>
    </row>
    <row r="26" spans="1:7" s="214" customFormat="1">
      <c r="A26" s="780" t="s">
        <v>350</v>
      </c>
      <c r="B26" s="215" t="s">
        <v>1506</v>
      </c>
      <c r="C26" s="238">
        <f ca="1">ROUND(IF('数据-取费表'!B22&lt;=1,F21*F22*'数据-取费表'!B23/2,F21*(POWER((1+F22),'数据-取费表'!B23/2)-1)),4)</f>
        <v>0</v>
      </c>
      <c r="D26" s="238"/>
      <c r="E26" s="241"/>
      <c r="F26" s="239"/>
      <c r="G26" s="243"/>
    </row>
    <row r="27" spans="1:7" s="214" customFormat="1" ht="24.75">
      <c r="A27" s="255" t="s">
        <v>1507</v>
      </c>
      <c r="B27" s="244" t="s">
        <v>1508</v>
      </c>
      <c r="C27" s="245">
        <f ca="1">C28</f>
        <v>0</v>
      </c>
      <c r="D27" s="235">
        <f ca="1">C29</f>
        <v>0</v>
      </c>
      <c r="E27" s="236" t="s">
        <v>1509</v>
      </c>
      <c r="F27" s="246">
        <f ca="1">IF(B1="",'数据-取费表'!Q16,INDIRECT("'数据-取费表'!q"&amp;$G$1))</f>
        <v>0.1</v>
      </c>
      <c r="G27" s="247" t="s">
        <v>1510</v>
      </c>
    </row>
    <row r="28" spans="1:7" s="214" customFormat="1" ht="13.5" customHeight="1">
      <c r="A28" s="780" t="s">
        <v>346</v>
      </c>
      <c r="B28" s="248" t="s">
        <v>1511</v>
      </c>
      <c r="C28" s="249">
        <f ca="1">ROUND((C5+C19+C20)*F27*'数据-取费表'!B21/'数据-取费表'!B20,0)</f>
        <v>0</v>
      </c>
      <c r="D28" s="235"/>
      <c r="E28" s="236"/>
      <c r="F28" s="246"/>
      <c r="G28" s="247"/>
    </row>
    <row r="29" spans="1:7" s="214" customFormat="1" ht="13.5" customHeight="1">
      <c r="A29" s="780" t="s">
        <v>347</v>
      </c>
      <c r="B29" s="248" t="s">
        <v>1512</v>
      </c>
      <c r="C29" s="238">
        <f ca="1">ROUND(C21*F27*'数据-取费表'!B21/'数据-取费表'!B20,4)</f>
        <v>0</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171</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0</v>
      </c>
      <c r="D33" s="232"/>
      <c r="E33" s="212"/>
      <c r="F33" s="241"/>
      <c r="G33" s="234"/>
    </row>
    <row r="34" spans="1:7" s="258" customFormat="1" ht="13.5" customHeight="1">
      <c r="A34" s="780" t="s">
        <v>346</v>
      </c>
      <c r="B34" s="215" t="s">
        <v>1520</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0</v>
      </c>
      <c r="G34" s="219" t="s">
        <v>1521</v>
      </c>
    </row>
    <row r="35" spans="1:7" ht="13.5" customHeight="1">
      <c r="A35" s="780" t="s">
        <v>351</v>
      </c>
      <c r="B35" s="215" t="s">
        <v>1522</v>
      </c>
      <c r="C35" s="220">
        <f ca="1">ROUND(C34*F35,0)</f>
        <v>0</v>
      </c>
      <c r="D35" s="220"/>
      <c r="E35" s="220"/>
      <c r="F35" s="259">
        <f>'数据-取费表'!B33</f>
        <v>0.05</v>
      </c>
      <c r="G35" s="219" t="s">
        <v>1523</v>
      </c>
    </row>
    <row r="36" spans="1:7" ht="24">
      <c r="A36" s="780"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80" t="s">
        <v>353</v>
      </c>
      <c r="B37" s="215" t="s">
        <v>1526</v>
      </c>
      <c r="C37" s="249">
        <f ca="1">ROUND(E37*D37*F34/10000,0)</f>
        <v>0</v>
      </c>
      <c r="D37" s="217">
        <f ca="1">D19</f>
        <v>9801.27</v>
      </c>
      <c r="E37" s="249">
        <f>'数据-取费表'!B35</f>
        <v>200</v>
      </c>
      <c r="F37" s="259"/>
      <c r="G37" s="261" t="s">
        <v>1527</v>
      </c>
    </row>
    <row r="38" spans="1:7" ht="13.5" customHeight="1">
      <c r="A38" s="780" t="s">
        <v>354</v>
      </c>
      <c r="B38" s="215" t="s">
        <v>1528</v>
      </c>
      <c r="C38" s="220">
        <f ca="1">ROUND(C34*F38,0)</f>
        <v>0</v>
      </c>
      <c r="D38" s="220"/>
      <c r="E38" s="220"/>
      <c r="F38" s="259">
        <f>'数据-取费表'!B36</f>
        <v>1.4999999999999999E-2</v>
      </c>
      <c r="G38" s="219" t="s">
        <v>1523</v>
      </c>
    </row>
    <row r="39" spans="1:7" s="214" customFormat="1" ht="13.5" customHeight="1">
      <c r="A39" s="255" t="s">
        <v>1529</v>
      </c>
      <c r="B39" s="210" t="s">
        <v>1530</v>
      </c>
      <c r="C39" s="232">
        <f ca="1">ROUND(C33*F20,0)</f>
        <v>0</v>
      </c>
      <c r="D39" s="232"/>
      <c r="E39" s="232"/>
      <c r="F39" s="233">
        <f>F20</f>
        <v>0.02</v>
      </c>
      <c r="G39" s="234" t="s">
        <v>1531</v>
      </c>
    </row>
    <row r="40" spans="1:7" s="214" customFormat="1" ht="13.5" customHeight="1">
      <c r="A40" s="255" t="s">
        <v>1532</v>
      </c>
      <c r="B40" s="210" t="s">
        <v>1533</v>
      </c>
      <c r="C40" s="1327">
        <f>F21</f>
        <v>0.02</v>
      </c>
      <c r="D40" s="236" t="s">
        <v>1534</v>
      </c>
      <c r="E40" s="232"/>
      <c r="F40" s="233">
        <f>F21</f>
        <v>0.02</v>
      </c>
      <c r="G40" s="234" t="s">
        <v>1535</v>
      </c>
    </row>
    <row r="41" spans="1:7" s="214" customFormat="1" ht="13.5" customHeight="1">
      <c r="A41" s="255" t="s">
        <v>1536</v>
      </c>
      <c r="B41" s="210" t="s">
        <v>1537</v>
      </c>
      <c r="C41" s="232">
        <f ca="1">ROUND(SUM(C42:C43),0)</f>
        <v>0</v>
      </c>
      <c r="D41" s="235">
        <f ca="1">C44</f>
        <v>0</v>
      </c>
      <c r="E41" s="236" t="s">
        <v>1534</v>
      </c>
      <c r="F41" s="237">
        <f ca="1">F22</f>
        <v>3.4500000000000003E-2</v>
      </c>
      <c r="G41" s="234" t="str">
        <f>IF('数据-取费表'!B22&lt;=1,"单利计息","复利计息")</f>
        <v>单利计息</v>
      </c>
    </row>
    <row r="42" spans="1:7" ht="13.5" customHeight="1">
      <c r="A42" s="780" t="s">
        <v>346</v>
      </c>
      <c r="B42" s="215" t="s">
        <v>1538</v>
      </c>
      <c r="C42" s="238">
        <f ca="1">ROUND(IF('数据-取费表'!B22&lt;=1,C33*F22*'数据-取费表'!B21/2,C33*(POWER((1+F22),'数据-取费表'!B21/2)-1)),0)</f>
        <v>0</v>
      </c>
      <c r="D42" s="238"/>
      <c r="E42" s="238"/>
      <c r="F42" s="239"/>
      <c r="G42" s="3651" t="s">
        <v>1539</v>
      </c>
    </row>
    <row r="43" spans="1:7" ht="13.5" customHeight="1">
      <c r="A43" s="780" t="s">
        <v>347</v>
      </c>
      <c r="B43" s="215" t="s">
        <v>1540</v>
      </c>
      <c r="C43" s="238">
        <f ca="1">ROUND(IF('数据-取费表'!B22&lt;=1,C39*F22*'数据-取费表'!B21/2,C39*(POWER((1+F22),'数据-取费表'!B21/2)-1)),0)</f>
        <v>0</v>
      </c>
      <c r="D43" s="238"/>
      <c r="E43" s="238"/>
      <c r="F43" s="239"/>
      <c r="G43" s="3652"/>
    </row>
    <row r="44" spans="1:7" ht="13.5" customHeight="1">
      <c r="A44" s="780" t="s">
        <v>348</v>
      </c>
      <c r="B44" s="215" t="s">
        <v>1541</v>
      </c>
      <c r="C44" s="238">
        <f ca="1">ROUND(IF('数据-取费表'!B22&lt;=1,C40*F22*'数据-取费表'!B21/2,C40*(POWER((1+F22),'数据-取费表'!B21/2)-1)),4)</f>
        <v>0</v>
      </c>
      <c r="D44" s="238"/>
      <c r="E44" s="238"/>
      <c r="F44" s="239"/>
      <c r="G44" s="3653"/>
    </row>
    <row r="45" spans="1:7" s="214" customFormat="1" ht="13.5" customHeight="1">
      <c r="A45" s="255" t="s">
        <v>1542</v>
      </c>
      <c r="B45" s="244" t="s">
        <v>1508</v>
      </c>
      <c r="C45" s="245">
        <f ca="1">C46</f>
        <v>0</v>
      </c>
      <c r="D45" s="235">
        <f ca="1">C47</f>
        <v>2E-3</v>
      </c>
      <c r="E45" s="236" t="s">
        <v>1534</v>
      </c>
      <c r="F45" s="246">
        <f ca="1">F27</f>
        <v>0.1</v>
      </c>
      <c r="G45" s="247" t="s">
        <v>1543</v>
      </c>
    </row>
    <row r="46" spans="1:7" s="214" customFormat="1" ht="13.5" customHeight="1">
      <c r="A46" s="780" t="s">
        <v>346</v>
      </c>
      <c r="B46" s="248" t="s">
        <v>1544</v>
      </c>
      <c r="C46" s="249">
        <f ca="1">ROUND((C33+C39)*F27,0)</f>
        <v>0</v>
      </c>
      <c r="D46" s="263"/>
      <c r="E46" s="236"/>
      <c r="F46" s="246"/>
      <c r="G46" s="247"/>
    </row>
    <row r="47" spans="1:7" s="214" customFormat="1" ht="13.5" customHeight="1">
      <c r="A47" s="780" t="s">
        <v>347</v>
      </c>
      <c r="B47" s="248" t="s">
        <v>1545</v>
      </c>
      <c r="C47" s="238">
        <f ca="1">ROUND(C40*F27,4)</f>
        <v>2E-3</v>
      </c>
      <c r="D47" s="263"/>
      <c r="E47" s="236"/>
      <c r="F47" s="246"/>
      <c r="G47" s="247"/>
    </row>
    <row r="48" spans="1:7" s="214" customFormat="1" ht="13.5" customHeight="1">
      <c r="A48" s="255" t="s">
        <v>1507</v>
      </c>
      <c r="B48" s="210" t="s">
        <v>1546</v>
      </c>
      <c r="C48" s="1327">
        <f>ROUND(F30/(1+'数据-取费表'!C42),4)</f>
        <v>5.2400000000000002E-2</v>
      </c>
      <c r="D48" s="236" t="s">
        <v>1534</v>
      </c>
      <c r="E48" s="232"/>
      <c r="F48" s="237">
        <f>F30</f>
        <v>5.5000000000000007E-2</v>
      </c>
      <c r="G48" s="234" t="s">
        <v>1547</v>
      </c>
    </row>
    <row r="49" spans="1:7" ht="16.5" customHeight="1">
      <c r="A49" s="255" t="s">
        <v>1513</v>
      </c>
      <c r="B49" s="210" t="s">
        <v>1548</v>
      </c>
      <c r="C49" s="232">
        <f ca="1">ROUND((C33+C39+C41+C45)/(1-C40-D41-D45-C48),0)</f>
        <v>0</v>
      </c>
      <c r="D49" s="232"/>
      <c r="E49" s="232"/>
      <c r="F49" s="264"/>
      <c r="G49" s="234" t="s">
        <v>1549</v>
      </c>
    </row>
    <row r="50" spans="1:7" s="258" customFormat="1" ht="24">
      <c r="A50" s="255" t="s">
        <v>1550</v>
      </c>
      <c r="B50" s="210" t="s">
        <v>1551</v>
      </c>
      <c r="C50" s="232"/>
      <c r="D50" s="232"/>
      <c r="E50" s="232"/>
      <c r="F50" s="264">
        <f>IF('数据-取费表'!B24=0,'数据-取费表'!N16,1)</f>
        <v>1</v>
      </c>
      <c r="G50" s="247" t="s">
        <v>1552</v>
      </c>
    </row>
    <row r="51" spans="1:7" ht="16.5" customHeight="1">
      <c r="A51" s="255" t="s">
        <v>1553</v>
      </c>
      <c r="B51" s="210" t="s">
        <v>1554</v>
      </c>
      <c r="C51" s="232">
        <f ca="1">ROUND(C49*F50,0)</f>
        <v>0</v>
      </c>
      <c r="D51" s="232"/>
      <c r="E51" s="232"/>
      <c r="F51" s="264"/>
      <c r="G51" s="234" t="s">
        <v>1555</v>
      </c>
    </row>
    <row r="52" spans="1:7" s="208" customFormat="1" ht="16.5" thickBot="1">
      <c r="A52" s="265" t="s">
        <v>1556</v>
      </c>
      <c r="B52" s="266"/>
      <c r="C52" s="267">
        <f ca="1">C31+C51</f>
        <v>171</v>
      </c>
      <c r="D52" s="266"/>
      <c r="E52" s="266"/>
      <c r="F52" s="266"/>
      <c r="G52" s="268"/>
    </row>
    <row r="55" spans="1:7" ht="15">
      <c r="B55" s="270" t="s">
        <v>1557</v>
      </c>
      <c r="C55" s="271"/>
    </row>
    <row r="56" spans="1:7">
      <c r="B56" s="273" t="s">
        <v>798</v>
      </c>
      <c r="C56" s="275">
        <f ca="1">1-C57</f>
        <v>1</v>
      </c>
    </row>
    <row r="57" spans="1:7">
      <c r="B57" s="273" t="s">
        <v>799</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70"/>
      <c r="C1" s="1858" t="s">
        <v>1558</v>
      </c>
      <c r="D1" s="198"/>
      <c r="E1" s="198"/>
      <c r="F1" s="198"/>
      <c r="G1" s="1126">
        <f>MATCH(B1,'数据-取费表'!A6:A16,0)+5</f>
        <v>7</v>
      </c>
      <c r="H1" s="1061" t="str">
        <f>IF(ISERROR(FIND("住宅",B1)),"非住宅","住宅")</f>
        <v>非住宅</v>
      </c>
    </row>
    <row r="2" spans="1:8" s="200" customFormat="1" ht="18" customHeight="1">
      <c r="A2" s="201" t="s">
        <v>1457</v>
      </c>
      <c r="B2" s="3420">
        <f ca="1">ROUND(IF(D2="——",C52/10000,C52/10000-E2),4)</f>
        <v>3008.6518000000001</v>
      </c>
      <c r="C2" s="199" t="s">
        <v>1458</v>
      </c>
      <c r="D2" s="1852" t="s">
        <v>43</v>
      </c>
      <c r="E2" s="1169" t="e">
        <f ca="1">SUMIF(INDIRECT("'"&amp;G2&amp;"'"&amp;"!A:A"),"承租人权益价值",INDIRECT("'"&amp;G2&amp;"'"&amp;"!c:c"))</f>
        <v>#REF!</v>
      </c>
      <c r="F2" s="1853" t="s">
        <v>1458</v>
      </c>
      <c r="G2" s="1854"/>
    </row>
    <row r="3" spans="1:8" s="200" customFormat="1" ht="18" customHeight="1" thickBot="1">
      <c r="A3" s="203" t="s">
        <v>1459</v>
      </c>
      <c r="B3" s="204">
        <f ca="1">ROUND(B2*10000/(IF(B1="",'数据-汇总表'!E3,INDIRECT("'数据-取费表'!k"&amp;$G$1))),0)</f>
        <v>3070</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784102</v>
      </c>
      <c r="D5" s="211" t="s">
        <v>1464</v>
      </c>
      <c r="E5" s="212" t="s">
        <v>1465</v>
      </c>
      <c r="F5" s="212" t="s">
        <v>1466</v>
      </c>
      <c r="G5" s="213"/>
    </row>
    <row r="6" spans="1:8" s="214" customFormat="1" ht="13.5" customHeight="1">
      <c r="A6" s="778" t="s">
        <v>1467</v>
      </c>
      <c r="B6" s="215" t="s">
        <v>1468</v>
      </c>
      <c r="C6" s="216"/>
      <c r="D6" s="217"/>
      <c r="E6" s="218"/>
      <c r="F6" s="218"/>
      <c r="G6" s="219"/>
    </row>
    <row r="7" spans="1:8" s="214" customFormat="1" ht="13.5" customHeight="1">
      <c r="A7" s="778" t="s">
        <v>1469</v>
      </c>
      <c r="B7" s="215" t="s">
        <v>1470</v>
      </c>
      <c r="C7" s="220">
        <f>ROUND(C6*F7,0)</f>
        <v>0</v>
      </c>
      <c r="D7" s="220"/>
      <c r="E7" s="218"/>
      <c r="F7" s="221">
        <f>IF(项目基本情况!B8="出让",0,'数据-取费表'!B48+'数据-取费表'!B49)</f>
        <v>3.0499999999999999E-2</v>
      </c>
      <c r="G7" s="219"/>
    </row>
    <row r="8" spans="1:8" s="223" customFormat="1">
      <c r="A8" s="778" t="s">
        <v>1471</v>
      </c>
      <c r="B8" s="215" t="s">
        <v>1472</v>
      </c>
      <c r="C8" s="220">
        <f ca="1">IF(G8="已包含在土地购买价格中",0,C9+C10)</f>
        <v>784102</v>
      </c>
      <c r="D8" s="222"/>
      <c r="E8" s="220"/>
      <c r="F8" s="221"/>
      <c r="G8" s="1855"/>
    </row>
    <row r="9" spans="1:8" s="214" customFormat="1" ht="13.5" customHeight="1">
      <c r="A9" s="779" t="s">
        <v>355</v>
      </c>
      <c r="B9" s="224" t="s">
        <v>1473</v>
      </c>
      <c r="C9" s="225">
        <f ca="1">ROUND(D9*E9,0)</f>
        <v>0</v>
      </c>
      <c r="D9" s="845">
        <f ca="1">IF(B1="",'数据-汇总表'!E5,IF(INDIRECT("'数据-取费表'!c"&amp;$G$1)="住宅",INDIRECT("'数据-取费表'!k"&amp;$G$1),0))</f>
        <v>0</v>
      </c>
      <c r="E9" s="225">
        <f>'数据-取费表'!B27</f>
        <v>80</v>
      </c>
      <c r="F9" s="221"/>
      <c r="G9" s="226"/>
    </row>
    <row r="10" spans="1:8" s="214" customFormat="1" ht="13.5" customHeight="1">
      <c r="A10" s="779" t="s">
        <v>356</v>
      </c>
      <c r="B10" s="224" t="s">
        <v>1475</v>
      </c>
      <c r="C10" s="225">
        <f ca="1">ROUND(D10*E10,0)</f>
        <v>784102</v>
      </c>
      <c r="D10" s="845">
        <f ca="1">IF(B1="",'数据-汇总表'!E6,IF(INDIRECT("'数据-取费表'!c"&amp;$G$1)="住宅",INDIRECT("'数据-取费表'!s"&amp;$G$1),INDIRECT("'数据-取费表'!k"&amp;$G$1)+INDIRECT("'数据-取费表'!s"&amp;$G$1)))</f>
        <v>9801.27</v>
      </c>
      <c r="E10" s="225">
        <f>'数据-取费表'!B28</f>
        <v>80</v>
      </c>
      <c r="F10" s="221"/>
      <c r="G10" s="226"/>
    </row>
    <row r="11" spans="1:8" s="214" customFormat="1" ht="13.5" hidden="1" customHeight="1">
      <c r="A11" s="227" t="s">
        <v>4</v>
      </c>
      <c r="B11" s="215" t="s">
        <v>1476</v>
      </c>
      <c r="C11" s="211"/>
      <c r="D11" s="847"/>
      <c r="E11" s="218"/>
      <c r="F11" s="218"/>
      <c r="G11" s="219"/>
    </row>
    <row r="12" spans="1:8" s="214" customFormat="1" ht="13.5" hidden="1" customHeight="1">
      <c r="A12" s="227" t="s">
        <v>5</v>
      </c>
      <c r="B12" s="215" t="s">
        <v>1559</v>
      </c>
      <c r="C12" s="211">
        <v>0</v>
      </c>
      <c r="D12" s="847"/>
      <c r="E12" s="228"/>
      <c r="F12" s="221">
        <v>3.0499999999999999E-2</v>
      </c>
      <c r="G12" s="219"/>
    </row>
    <row r="13" spans="1:8" s="214" customFormat="1" ht="13.5" hidden="1" customHeight="1">
      <c r="A13" s="227" t="s">
        <v>6</v>
      </c>
      <c r="B13" s="215" t="s">
        <v>1560</v>
      </c>
      <c r="C13" s="211"/>
      <c r="D13" s="847"/>
      <c r="E13" s="218"/>
      <c r="F13" s="218"/>
      <c r="G13" s="219"/>
    </row>
    <row r="14" spans="1:8" s="214" customFormat="1" ht="13.5" hidden="1" customHeight="1">
      <c r="A14" s="227" t="s">
        <v>7</v>
      </c>
      <c r="B14" s="215" t="s">
        <v>1472</v>
      </c>
      <c r="C14" s="211"/>
      <c r="D14" s="847"/>
      <c r="E14" s="218"/>
      <c r="F14" s="218"/>
      <c r="G14" s="219" t="s">
        <v>1561</v>
      </c>
    </row>
    <row r="15" spans="1:8" s="214" customFormat="1" ht="13.5" hidden="1" customHeight="1">
      <c r="A15" s="227" t="s">
        <v>8</v>
      </c>
      <c r="B15" s="215" t="s">
        <v>1562</v>
      </c>
      <c r="C15" s="220"/>
      <c r="D15" s="847"/>
      <c r="E15" s="218"/>
      <c r="F15" s="218"/>
      <c r="G15" s="219" t="s">
        <v>1563</v>
      </c>
    </row>
    <row r="16" spans="1:8" s="214" customFormat="1" ht="13.5" hidden="1" customHeight="1">
      <c r="A16" s="227" t="s">
        <v>9</v>
      </c>
      <c r="B16" s="215" t="s">
        <v>1472</v>
      </c>
      <c r="C16" s="220"/>
      <c r="D16" s="847"/>
      <c r="E16" s="218"/>
      <c r="F16" s="218"/>
      <c r="G16" s="219"/>
    </row>
    <row r="17" spans="1:7" s="214" customFormat="1" ht="13.5" hidden="1" customHeight="1">
      <c r="A17" s="227" t="s">
        <v>10</v>
      </c>
      <c r="B17" s="215" t="s">
        <v>1564</v>
      </c>
      <c r="C17" s="229"/>
      <c r="D17" s="848"/>
      <c r="E17" s="229"/>
      <c r="F17" s="229"/>
      <c r="G17" s="219" t="s">
        <v>1563</v>
      </c>
    </row>
    <row r="18" spans="1:7" s="214" customFormat="1" ht="13.5" hidden="1" customHeight="1">
      <c r="A18" s="227" t="s">
        <v>11</v>
      </c>
      <c r="B18" s="215" t="s">
        <v>1565</v>
      </c>
      <c r="C18" s="220">
        <v>0</v>
      </c>
      <c r="D18" s="847"/>
      <c r="E18" s="218"/>
      <c r="F18" s="221">
        <v>3.0499999999999999E-2</v>
      </c>
      <c r="G18" s="219" t="s">
        <v>1566</v>
      </c>
    </row>
    <row r="19" spans="1:7" s="223" customFormat="1" ht="13.5" customHeight="1">
      <c r="A19" s="255" t="s">
        <v>1567</v>
      </c>
      <c r="B19" s="210" t="s">
        <v>1568</v>
      </c>
      <c r="C19" s="211">
        <f ca="1">IF(G19="已包含在土地取得成本中","0",ROUND(D19*E19,0))</f>
        <v>784102</v>
      </c>
      <c r="D19" s="849">
        <f ca="1">D9+D10</f>
        <v>9801.27</v>
      </c>
      <c r="E19" s="211">
        <f>'数据-取费表'!B31</f>
        <v>80</v>
      </c>
      <c r="F19" s="231"/>
      <c r="G19" s="1855"/>
    </row>
    <row r="20" spans="1:7" s="214" customFormat="1" ht="13.5" customHeight="1">
      <c r="A20" s="255" t="s">
        <v>1569</v>
      </c>
      <c r="B20" s="210" t="s">
        <v>1570</v>
      </c>
      <c r="C20" s="232">
        <f ca="1">ROUND((C5+C19)*F20,0)</f>
        <v>31364</v>
      </c>
      <c r="D20" s="232"/>
      <c r="E20" s="232"/>
      <c r="F20" s="233">
        <f>'数据-取费表'!B37</f>
        <v>0.02</v>
      </c>
      <c r="G20" s="234" t="s">
        <v>1571</v>
      </c>
    </row>
    <row r="21" spans="1:7" s="214" customFormat="1" ht="13.5" customHeight="1">
      <c r="A21" s="255" t="s">
        <v>1572</v>
      </c>
      <c r="B21" s="210" t="s">
        <v>1573</v>
      </c>
      <c r="C21" s="235">
        <f>F21</f>
        <v>0.02</v>
      </c>
      <c r="D21" s="236" t="s">
        <v>1574</v>
      </c>
      <c r="E21" s="232"/>
      <c r="F21" s="233">
        <f>'数据-取费表'!B38</f>
        <v>0.02</v>
      </c>
      <c r="G21" s="234" t="s">
        <v>1575</v>
      </c>
    </row>
    <row r="22" spans="1:7" s="214" customFormat="1" ht="13.5" customHeight="1">
      <c r="A22" s="255" t="s">
        <v>1576</v>
      </c>
      <c r="B22" s="210" t="s">
        <v>1577</v>
      </c>
      <c r="C22" s="1127">
        <f ca="1">ROUND(SUM(C23:C25),0)</f>
        <v>54645</v>
      </c>
      <c r="D22" s="235">
        <f ca="1">C26</f>
        <v>2.9999999999999997E-4</v>
      </c>
      <c r="E22" s="236" t="s">
        <v>1574</v>
      </c>
      <c r="F22" s="237">
        <f ca="1">'数据-取费表'!B40</f>
        <v>3.4500000000000003E-2</v>
      </c>
      <c r="G22" s="234" t="str">
        <f>IF('数据-取费表'!B22&lt;=1,"单利计息","复利计息")</f>
        <v>单利计息</v>
      </c>
    </row>
    <row r="23" spans="1:7" s="214" customFormat="1" ht="13.5" customHeight="1">
      <c r="A23" s="780" t="s">
        <v>1467</v>
      </c>
      <c r="B23" s="215" t="s">
        <v>1578</v>
      </c>
      <c r="C23" s="1128">
        <f ca="1">ROUND(IF('数据-取费表'!B22&lt;=1,C5*F22*'数据-取费表'!B22,C5*(POWER((1+F22),'数据-取费表'!B22)-1)),0)</f>
        <v>27052</v>
      </c>
      <c r="D23" s="238"/>
      <c r="E23" s="238"/>
      <c r="F23" s="239"/>
      <c r="G23" s="240" t="s">
        <v>1579</v>
      </c>
    </row>
    <row r="24" spans="1:7" s="214" customFormat="1" ht="13.5" customHeight="1">
      <c r="A24" s="780" t="s">
        <v>1469</v>
      </c>
      <c r="B24" s="215" t="s">
        <v>1580</v>
      </c>
      <c r="C24" s="1128">
        <f ca="1">ROUND(IF('数据-取费表'!B22&lt;=1,C19*F22*('数据-取费表'!B19/2+'数据-取费表'!B20),C19*(POWER((1+F22),('数据-取费表'!B19/2+'数据-取费表'!B20))-1)),0)</f>
        <v>27052</v>
      </c>
      <c r="D24" s="238"/>
      <c r="E24" s="238"/>
      <c r="F24" s="239"/>
      <c r="G24" s="240" t="s">
        <v>1581</v>
      </c>
    </row>
    <row r="25" spans="1:7" s="214" customFormat="1" ht="24">
      <c r="A25" s="780" t="s">
        <v>1471</v>
      </c>
      <c r="B25" s="215" t="s">
        <v>1582</v>
      </c>
      <c r="C25" s="1128">
        <f ca="1">ROUND(IF('数据-取费表'!B22&lt;=1,C20*F22*'数据-取费表'!B22/2,C20*(POWER((1+F22),'数据-取费表'!B22/2)-1)),0)</f>
        <v>541</v>
      </c>
      <c r="D25" s="238"/>
      <c r="E25" s="241"/>
      <c r="F25" s="239"/>
      <c r="G25" s="242" t="s">
        <v>1583</v>
      </c>
    </row>
    <row r="26" spans="1:7" s="214" customFormat="1">
      <c r="A26" s="780" t="s">
        <v>350</v>
      </c>
      <c r="B26" s="215" t="s">
        <v>1506</v>
      </c>
      <c r="C26" s="238">
        <f ca="1">ROUND(IF('数据-取费表'!B22&lt;=1,F21*F22*'数据-取费表'!B22/2,F21*(POWER((1+F22),'数据-取费表'!B22/2)-1)),4)</f>
        <v>2.9999999999999997E-4</v>
      </c>
      <c r="D26" s="238"/>
      <c r="E26" s="241"/>
      <c r="F26" s="239"/>
      <c r="G26" s="243"/>
    </row>
    <row r="27" spans="1:7" s="214" customFormat="1" ht="24.75">
      <c r="A27" s="255" t="s">
        <v>1507</v>
      </c>
      <c r="B27" s="244" t="s">
        <v>1508</v>
      </c>
      <c r="C27" s="245">
        <f ca="1">C28</f>
        <v>159957</v>
      </c>
      <c r="D27" s="235">
        <f ca="1">C29</f>
        <v>2E-3</v>
      </c>
      <c r="E27" s="236" t="s">
        <v>1509</v>
      </c>
      <c r="F27" s="246">
        <f ca="1">IF(B1="",'数据-取费表'!Q16,INDIRECT("'数据-取费表'!q"&amp;$G$1))</f>
        <v>0.1</v>
      </c>
      <c r="G27" s="247" t="s">
        <v>1510</v>
      </c>
    </row>
    <row r="28" spans="1:7" s="214" customFormat="1" ht="13.5" customHeight="1">
      <c r="A28" s="780" t="s">
        <v>346</v>
      </c>
      <c r="B28" s="248" t="s">
        <v>1511</v>
      </c>
      <c r="C28" s="249">
        <f ca="1">ROUND((C5+C19+C20)*F27,0)</f>
        <v>159957</v>
      </c>
      <c r="D28" s="235"/>
      <c r="E28" s="236"/>
      <c r="F28" s="246"/>
      <c r="G28" s="247"/>
    </row>
    <row r="29" spans="1:7" s="214" customFormat="1" ht="13.5" customHeight="1">
      <c r="A29" s="780" t="s">
        <v>347</v>
      </c>
      <c r="B29" s="248" t="s">
        <v>1512</v>
      </c>
      <c r="C29" s="238">
        <f ca="1">ROUND(C21*F27,4)</f>
        <v>2E-3</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1960629</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22836959</v>
      </c>
      <c r="D33" s="232"/>
      <c r="E33" s="212"/>
      <c r="F33" s="241"/>
      <c r="G33" s="234"/>
    </row>
    <row r="34" spans="1:7" s="258" customFormat="1" ht="13.5" customHeight="1">
      <c r="A34" s="780" t="s">
        <v>346</v>
      </c>
      <c r="B34" s="215" t="s">
        <v>1520</v>
      </c>
      <c r="C34" s="220">
        <f ca="1">ROUND(IF(B1="",SUMPRODUCT('数据-取费表'!K6:K14,'数据-取费表'!L6:L14),INDIRECT("'数据-取费表'!l"&amp;$G$1)*INDIRECT("'数据-取费表'!k"&amp;$G$1)+'数据-取费表'!L14*INDIRECT("'数据-取费表'!S"&amp;$G$1)),0)</f>
        <v>19602540</v>
      </c>
      <c r="D34" s="217"/>
      <c r="E34" s="220"/>
      <c r="F34" s="257"/>
      <c r="G34" s="219"/>
    </row>
    <row r="35" spans="1:7" ht="13.5" customHeight="1">
      <c r="A35" s="780" t="s">
        <v>351</v>
      </c>
      <c r="B35" s="215" t="s">
        <v>1522</v>
      </c>
      <c r="C35" s="220">
        <f ca="1">ROUND(C34*F35,0)</f>
        <v>980127</v>
      </c>
      <c r="D35" s="220"/>
      <c r="E35" s="220"/>
      <c r="F35" s="259">
        <f>'数据-取费表'!B33</f>
        <v>0.05</v>
      </c>
      <c r="G35" s="219" t="s">
        <v>1523</v>
      </c>
    </row>
    <row r="36" spans="1:7" ht="24">
      <c r="A36" s="780" t="s">
        <v>352</v>
      </c>
      <c r="B36" s="215" t="s">
        <v>1524</v>
      </c>
      <c r="C36" s="220">
        <f ca="1">ROUND(IF(B1="",SUM('数据-取费表'!AP6:AP13)*F36,IF(INDIRECT("'数据-取费表'!c"&amp;$G$1)="住宅",INDIRECT("'数据-取费表'!k"&amp;$G$1)*INDIRECT("'数据-取费表'!l"&amp;$G$1)*F36,0)),0)</f>
        <v>0</v>
      </c>
      <c r="D36" s="220"/>
      <c r="E36" s="220"/>
      <c r="F36" s="259">
        <f>'数据-取费表'!B34</f>
        <v>0</v>
      </c>
      <c r="G36" s="260" t="s">
        <v>1525</v>
      </c>
    </row>
    <row r="37" spans="1:7" s="258" customFormat="1" ht="13.5" customHeight="1">
      <c r="A37" s="780" t="s">
        <v>353</v>
      </c>
      <c r="B37" s="215" t="s">
        <v>1526</v>
      </c>
      <c r="C37" s="249">
        <f ca="1">ROUND(E37*D37,0)</f>
        <v>1960254</v>
      </c>
      <c r="D37" s="217">
        <f ca="1">D19</f>
        <v>9801.27</v>
      </c>
      <c r="E37" s="249">
        <f>'数据-取费表'!B35</f>
        <v>200</v>
      </c>
      <c r="F37" s="259"/>
      <c r="G37" s="261"/>
    </row>
    <row r="38" spans="1:7" ht="13.5" customHeight="1">
      <c r="A38" s="780" t="s">
        <v>354</v>
      </c>
      <c r="B38" s="215" t="s">
        <v>1528</v>
      </c>
      <c r="C38" s="220">
        <f ca="1">ROUND(C34*F38,0)</f>
        <v>294038</v>
      </c>
      <c r="D38" s="220"/>
      <c r="E38" s="220"/>
      <c r="F38" s="259">
        <f>'数据-取费表'!B36</f>
        <v>1.4999999999999999E-2</v>
      </c>
      <c r="G38" s="219" t="s">
        <v>1523</v>
      </c>
    </row>
    <row r="39" spans="1:7" s="214" customFormat="1" ht="13.5" customHeight="1">
      <c r="A39" s="255" t="s">
        <v>1529</v>
      </c>
      <c r="B39" s="210" t="s">
        <v>1530</v>
      </c>
      <c r="C39" s="232">
        <f ca="1">ROUND(C33*F20,0)</f>
        <v>456739</v>
      </c>
      <c r="D39" s="232"/>
      <c r="E39" s="232"/>
      <c r="F39" s="233">
        <f>F20</f>
        <v>0.02</v>
      </c>
      <c r="G39" s="234" t="s">
        <v>1531</v>
      </c>
    </row>
    <row r="40" spans="1:7" s="214" customFormat="1" ht="13.5" customHeight="1">
      <c r="A40" s="255" t="s">
        <v>1532</v>
      </c>
      <c r="B40" s="210" t="s">
        <v>1533</v>
      </c>
      <c r="C40" s="1327">
        <f>F21</f>
        <v>0.02</v>
      </c>
      <c r="D40" s="236" t="s">
        <v>1534</v>
      </c>
      <c r="E40" s="232"/>
      <c r="F40" s="233">
        <f>F21</f>
        <v>0.02</v>
      </c>
      <c r="G40" s="234" t="s">
        <v>1535</v>
      </c>
    </row>
    <row r="41" spans="1:7" s="214" customFormat="1" ht="13.5" customHeight="1">
      <c r="A41" s="255" t="s">
        <v>1536</v>
      </c>
      <c r="B41" s="210" t="s">
        <v>1537</v>
      </c>
      <c r="C41" s="232">
        <f ca="1">ROUND(SUM(C42:C43),0)</f>
        <v>401817</v>
      </c>
      <c r="D41" s="235">
        <f ca="1">C44</f>
        <v>2.9999999999999997E-4</v>
      </c>
      <c r="E41" s="236" t="s">
        <v>1534</v>
      </c>
      <c r="F41" s="237">
        <f ca="1">F22</f>
        <v>3.4500000000000003E-2</v>
      </c>
      <c r="G41" s="234" t="str">
        <f>IF('数据-取费表'!B22&lt;=1,"单利计息","复利计息")</f>
        <v>单利计息</v>
      </c>
    </row>
    <row r="42" spans="1:7" ht="13.5" customHeight="1">
      <c r="A42" s="780" t="s">
        <v>346</v>
      </c>
      <c r="B42" s="215" t="s">
        <v>1538</v>
      </c>
      <c r="C42" s="238">
        <f ca="1">ROUND(IF('数据-取费表'!B22&lt;=1,C33*F22*'数据-取费表'!B20/2,C33*(POWER((1+F22),'数据-取费表'!B20/2)-1)),0)</f>
        <v>393938</v>
      </c>
      <c r="D42" s="238"/>
      <c r="E42" s="238"/>
      <c r="F42" s="239"/>
      <c r="G42" s="3651" t="s">
        <v>1586</v>
      </c>
    </row>
    <row r="43" spans="1:7" ht="13.5" customHeight="1">
      <c r="A43" s="780" t="s">
        <v>347</v>
      </c>
      <c r="B43" s="215" t="s">
        <v>1540</v>
      </c>
      <c r="C43" s="238">
        <f ca="1">ROUND(IF('数据-取费表'!B22&lt;=1,C39*F22*'数据-取费表'!B20/2,C39*(POWER((1+F22),'数据-取费表'!B20/2)-1)),0)</f>
        <v>7879</v>
      </c>
      <c r="D43" s="238"/>
      <c r="E43" s="238"/>
      <c r="F43" s="239"/>
      <c r="G43" s="3652"/>
    </row>
    <row r="44" spans="1:7" ht="13.5" customHeight="1">
      <c r="A44" s="780" t="s">
        <v>348</v>
      </c>
      <c r="B44" s="215" t="s">
        <v>1541</v>
      </c>
      <c r="C44" s="238">
        <f ca="1">ROUND(IF('数据-取费表'!B22&lt;=1,C40*F22*'数据-取费表'!B20/2,C40*(POWER((1+F22),'数据-取费表'!B20/2)-1)),4)</f>
        <v>2.9999999999999997E-4</v>
      </c>
      <c r="D44" s="238"/>
      <c r="E44" s="238"/>
      <c r="F44" s="239"/>
      <c r="G44" s="3653"/>
    </row>
    <row r="45" spans="1:7" s="214" customFormat="1" ht="13.5" customHeight="1">
      <c r="A45" s="255" t="s">
        <v>1542</v>
      </c>
      <c r="B45" s="244" t="s">
        <v>1508</v>
      </c>
      <c r="C45" s="245">
        <f ca="1">C46</f>
        <v>2329370</v>
      </c>
      <c r="D45" s="235">
        <f ca="1">C47</f>
        <v>2E-3</v>
      </c>
      <c r="E45" s="236" t="s">
        <v>1534</v>
      </c>
      <c r="F45" s="246">
        <f ca="1">F27</f>
        <v>0.1</v>
      </c>
      <c r="G45" s="247" t="s">
        <v>1543</v>
      </c>
    </row>
    <row r="46" spans="1:7" s="214" customFormat="1" ht="13.5" customHeight="1">
      <c r="A46" s="780" t="s">
        <v>346</v>
      </c>
      <c r="B46" s="248" t="s">
        <v>1544</v>
      </c>
      <c r="C46" s="249">
        <f ca="1">ROUND((C33+C39)*F27,0)</f>
        <v>2329370</v>
      </c>
      <c r="D46" s="263"/>
      <c r="E46" s="236"/>
      <c r="F46" s="246"/>
      <c r="G46" s="247"/>
    </row>
    <row r="47" spans="1:7" s="214" customFormat="1" ht="13.5" customHeight="1">
      <c r="A47" s="780" t="s">
        <v>347</v>
      </c>
      <c r="B47" s="248" t="s">
        <v>1545</v>
      </c>
      <c r="C47" s="238">
        <f ca="1">ROUND(C40*F27,4)</f>
        <v>2E-3</v>
      </c>
      <c r="D47" s="263"/>
      <c r="E47" s="236"/>
      <c r="F47" s="246"/>
      <c r="G47" s="247"/>
    </row>
    <row r="48" spans="1:7" s="214" customFormat="1" ht="13.5" customHeight="1">
      <c r="A48" s="255" t="s">
        <v>1507</v>
      </c>
      <c r="B48" s="210" t="s">
        <v>1546</v>
      </c>
      <c r="C48" s="262">
        <f>ROUND(F30/(1+'数据-取费表'!C42),4)</f>
        <v>5.2400000000000002E-2</v>
      </c>
      <c r="D48" s="236" t="s">
        <v>1534</v>
      </c>
      <c r="E48" s="232"/>
      <c r="F48" s="237">
        <f>F30</f>
        <v>5.5000000000000007E-2</v>
      </c>
      <c r="G48" s="234" t="s">
        <v>1547</v>
      </c>
    </row>
    <row r="49" spans="1:7" ht="16.5" customHeight="1">
      <c r="A49" s="255" t="s">
        <v>1513</v>
      </c>
      <c r="B49" s="210" t="s">
        <v>1587</v>
      </c>
      <c r="C49" s="232">
        <f ca="1">ROUND((C33+C39+C41+C45)/(1-C40-D41-D45-C48),0)</f>
        <v>28125889</v>
      </c>
      <c r="D49" s="232"/>
      <c r="E49" s="232"/>
      <c r="F49" s="264"/>
      <c r="G49" s="234" t="s">
        <v>1549</v>
      </c>
    </row>
    <row r="50" spans="1:7" s="258" customFormat="1">
      <c r="A50" s="255" t="s">
        <v>1550</v>
      </c>
      <c r="B50" s="210" t="s">
        <v>1551</v>
      </c>
      <c r="C50" s="232"/>
      <c r="D50" s="232"/>
      <c r="E50" s="232"/>
      <c r="F50" s="264">
        <f>IF('数据-取费表'!B24=0,'数据-取费表'!N16,1)</f>
        <v>1</v>
      </c>
      <c r="G50" s="247"/>
    </row>
    <row r="51" spans="1:7" ht="16.5" customHeight="1">
      <c r="A51" s="255" t="s">
        <v>1553</v>
      </c>
      <c r="B51" s="210" t="s">
        <v>1588</v>
      </c>
      <c r="C51" s="232">
        <f ca="1">ROUND(C49*F50,0)</f>
        <v>28125889</v>
      </c>
      <c r="D51" s="232"/>
      <c r="E51" s="232"/>
      <c r="F51" s="264"/>
      <c r="G51" s="234" t="s">
        <v>1555</v>
      </c>
    </row>
    <row r="52" spans="1:7" s="208" customFormat="1" ht="16.5" thickBot="1">
      <c r="A52" s="265" t="s">
        <v>1556</v>
      </c>
      <c r="B52" s="266"/>
      <c r="C52" s="267">
        <f ca="1">C31+C51</f>
        <v>30086518</v>
      </c>
      <c r="D52" s="266"/>
      <c r="E52" s="266"/>
      <c r="F52" s="266"/>
      <c r="G52" s="268"/>
    </row>
    <row r="55" spans="1:7" ht="15">
      <c r="B55" s="270" t="s">
        <v>1557</v>
      </c>
      <c r="C55" s="271"/>
    </row>
    <row r="56" spans="1:7">
      <c r="B56" s="273" t="s">
        <v>798</v>
      </c>
      <c r="C56" s="275">
        <f ca="1">1-C57</f>
        <v>6.4999999999999947E-2</v>
      </c>
    </row>
    <row r="57" spans="1:7">
      <c r="B57" s="273" t="s">
        <v>799</v>
      </c>
      <c r="C57" s="274">
        <f ca="1">ROUND(C51/C52,3)</f>
        <v>0.93500000000000005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F50" sqref="F50"/>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1589</v>
      </c>
      <c r="B1" s="1191"/>
      <c r="C1" s="1192"/>
      <c r="D1" s="1190"/>
      <c r="E1" s="2804"/>
      <c r="F1" s="2804"/>
      <c r="G1" s="2669"/>
      <c r="H1" s="2804"/>
      <c r="I1" s="2804"/>
      <c r="J1" s="2804"/>
      <c r="K1" s="2805">
        <f>MATCH(C1,'数据-取费表'!A6:A16,0)+5</f>
        <v>7</v>
      </c>
    </row>
    <row r="2" spans="1:33" ht="18" customHeight="1">
      <c r="A2" s="201" t="s">
        <v>1457</v>
      </c>
      <c r="B2" s="204">
        <f ca="1">C32</f>
        <v>1614</v>
      </c>
      <c r="C2" s="276" t="s">
        <v>1590</v>
      </c>
      <c r="D2" s="276"/>
      <c r="E2" s="2804"/>
      <c r="F2" s="2804"/>
      <c r="G2" s="2804"/>
      <c r="H2" s="2804"/>
      <c r="I2" s="2804"/>
      <c r="J2" s="2804"/>
      <c r="K2" s="2804"/>
    </row>
    <row r="3" spans="1:33" ht="18" customHeight="1" thickBot="1">
      <c r="A3" s="203" t="s">
        <v>1459</v>
      </c>
      <c r="B3" s="204">
        <f ca="1">ROUND(B2*10000/IF(C1="",'数据-汇总表'!E3,INDIRECT("'数据-取费表'!K"&amp;$K$1)),0)</f>
        <v>1647</v>
      </c>
      <c r="C3" s="276" t="s">
        <v>1591</v>
      </c>
      <c r="D3" s="276"/>
      <c r="E3" s="2804"/>
      <c r="F3" s="2804"/>
      <c r="G3" s="2804"/>
      <c r="H3" s="2804"/>
      <c r="I3" s="2804"/>
      <c r="J3" s="2804"/>
      <c r="K3" s="2804"/>
    </row>
    <row r="4" spans="1:33" s="785" customFormat="1" ht="16.5" customHeight="1">
      <c r="A4" s="782" t="s">
        <v>1592</v>
      </c>
      <c r="B4" s="783"/>
      <c r="C4" s="824">
        <f ca="1">SUM(C8:K8)</f>
        <v>4994</v>
      </c>
      <c r="D4" s="783"/>
      <c r="E4" s="783"/>
      <c r="F4" s="783"/>
      <c r="G4" s="783"/>
      <c r="H4" s="783"/>
      <c r="I4" s="783"/>
      <c r="J4" s="783"/>
      <c r="K4" s="784"/>
    </row>
    <row r="5" spans="1:33" s="789" customFormat="1" ht="15">
      <c r="A5" s="786" t="s">
        <v>1593</v>
      </c>
      <c r="B5" s="787" t="s">
        <v>1594</v>
      </c>
      <c r="C5" s="1859" t="s">
        <v>669</v>
      </c>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1595</v>
      </c>
      <c r="C6" s="791">
        <f ca="1">收益法!B3</f>
        <v>6514</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1596</v>
      </c>
      <c r="B7" s="131" t="s">
        <v>1597</v>
      </c>
      <c r="C7" s="277">
        <f>SUMIF('数据-汇总表'!$C19:$C33,假设开发法!C5,'数据-汇总表'!$E19:$E33)</f>
        <v>7666.58</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1598</v>
      </c>
      <c r="B8" s="164" t="s">
        <v>1599</v>
      </c>
      <c r="C8" s="825">
        <f ca="1">收益法!B2</f>
        <v>4994</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1600</v>
      </c>
      <c r="B9" s="783"/>
      <c r="C9" s="783"/>
      <c r="D9" s="783"/>
      <c r="E9" s="783"/>
      <c r="F9" s="783"/>
      <c r="G9" s="783"/>
      <c r="H9" s="783"/>
      <c r="I9" s="783"/>
      <c r="J9" s="783"/>
      <c r="K9" s="784"/>
    </row>
    <row r="10" spans="1:33" s="799" customFormat="1" ht="13.5" customHeight="1">
      <c r="A10" s="786" t="s">
        <v>1601</v>
      </c>
      <c r="B10" s="5" t="s">
        <v>1602</v>
      </c>
      <c r="C10" s="795" t="s">
        <v>1603</v>
      </c>
      <c r="D10" s="796" t="s">
        <v>1604</v>
      </c>
      <c r="E10" s="796" t="s">
        <v>1605</v>
      </c>
      <c r="F10" s="796" t="s">
        <v>1606</v>
      </c>
      <c r="G10" s="5"/>
      <c r="H10" s="797"/>
      <c r="I10" s="797"/>
      <c r="J10" s="797"/>
      <c r="K10" s="798"/>
    </row>
    <row r="11" spans="1:33" s="803" customFormat="1" ht="13.5" customHeight="1">
      <c r="A11" s="800" t="s">
        <v>635</v>
      </c>
      <c r="B11" s="801" t="s">
        <v>1607</v>
      </c>
      <c r="C11" s="279">
        <f ca="1">IF(C1="",'数据-取费表'!P16,INDIRECT("'数据-取费表'!p"&amp;$K$1)+INDIRECT("'数据-取费表'!ar"&amp;$K$1))</f>
        <v>1960</v>
      </c>
      <c r="D11" s="802"/>
      <c r="E11" s="329"/>
      <c r="F11" s="812">
        <f ca="1">1-IF('数据-取费表'!B24=0,1,IF(C1="",'数据-取费表'!N16,INDIRECT("'数据-取费表'!n"&amp;$K$1)))</f>
        <v>1</v>
      </c>
      <c r="G11" s="5"/>
      <c r="H11" s="797"/>
      <c r="I11" s="797"/>
      <c r="J11" s="797"/>
      <c r="K11" s="798"/>
    </row>
    <row r="12" spans="1:33" s="803" customFormat="1" ht="13.5" customHeight="1">
      <c r="A12" s="800" t="s">
        <v>636</v>
      </c>
      <c r="B12" s="801" t="s">
        <v>1608</v>
      </c>
      <c r="C12" s="21">
        <f ca="1">ROUND(C11*F12,0)</f>
        <v>98</v>
      </c>
      <c r="D12" s="802"/>
      <c r="E12" s="329"/>
      <c r="F12" s="812">
        <f>'数据-取费表'!B33</f>
        <v>0.05</v>
      </c>
      <c r="G12" s="5" t="s">
        <v>1609</v>
      </c>
      <c r="H12" s="797"/>
      <c r="I12" s="797"/>
      <c r="J12" s="797"/>
      <c r="K12" s="798"/>
    </row>
    <row r="13" spans="1:33" s="803" customFormat="1" ht="13.5" customHeight="1">
      <c r="A13" s="800" t="s">
        <v>637</v>
      </c>
      <c r="B13" s="801" t="s">
        <v>1610</v>
      </c>
      <c r="C13" s="21">
        <f ca="1">ROUND(IF(C1="",SUMIF('数据-取费表'!C:C,"住宅",'数据-取费表'!P:P)*F13,IF(INDIRECT("'数据-取费表'!c"&amp;$K$1)="住宅",INDIRECT("'数据-取费表'!P"&amp;$K$1)*F13,0)),0)</f>
        <v>0</v>
      </c>
      <c r="D13" s="846"/>
      <c r="E13" s="329"/>
      <c r="F13" s="812">
        <f>'数据-取费表'!B34</f>
        <v>0</v>
      </c>
      <c r="G13" s="5" t="s">
        <v>1611</v>
      </c>
      <c r="H13" s="797"/>
      <c r="I13" s="797"/>
      <c r="J13" s="797"/>
      <c r="K13" s="798"/>
    </row>
    <row r="14" spans="1:33" s="805" customFormat="1" ht="13.5" customHeight="1">
      <c r="A14" s="800" t="s">
        <v>638</v>
      </c>
      <c r="B14" s="801" t="s">
        <v>1612</v>
      </c>
      <c r="C14" s="21">
        <f ca="1">ROUND(D14*E14*F11/10000,0)</f>
        <v>196</v>
      </c>
      <c r="D14" s="846">
        <f ca="1">IF(C1="",'数据-汇总表'!E3,INDIRECT("'数据-取费表'!K"&amp;$K$1)+INDIRECT("'数据-取费表'!S"&amp;$K$1))</f>
        <v>9801.27</v>
      </c>
      <c r="E14" s="21">
        <f>'数据-取费表'!B35</f>
        <v>200</v>
      </c>
      <c r="F14" s="804"/>
      <c r="G14" s="5" t="s">
        <v>1613</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1614</v>
      </c>
      <c r="C15" s="811">
        <f ca="1">ROUND(C11*F15,0)</f>
        <v>29</v>
      </c>
      <c r="D15" s="806"/>
      <c r="E15" s="811"/>
      <c r="F15" s="812">
        <f>'数据-取费表'!B36</f>
        <v>1.4999999999999999E-2</v>
      </c>
      <c r="G15" s="131" t="s">
        <v>1615</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1616</v>
      </c>
      <c r="C16" s="811">
        <f ca="1">SUM(C11:C15)</f>
        <v>2283</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1617</v>
      </c>
      <c r="C17" s="21">
        <f ca="1">ROUND(D17*E17/10000,0)</f>
        <v>118</v>
      </c>
      <c r="D17" s="846">
        <f ca="1">D14</f>
        <v>9801.27</v>
      </c>
      <c r="E17" s="21">
        <f>'数据-取费表'!B32</f>
        <v>120</v>
      </c>
      <c r="F17" s="806"/>
      <c r="G17" s="131" t="s">
        <v>1618</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1619</v>
      </c>
      <c r="C18" s="21">
        <f ca="1">C19+C20-IF(C1="",'数据-取费表'!B29,IF(G18="已全部缴纳",C19+C20,H18))</f>
        <v>0</v>
      </c>
      <c r="D18" s="846"/>
      <c r="E18" s="21"/>
      <c r="F18" s="804"/>
      <c r="G18" s="1861" t="s">
        <v>3422</v>
      </c>
      <c r="H18" s="1187">
        <f ca="1">C20</f>
        <v>78</v>
      </c>
      <c r="I18" s="1862" t="s">
        <v>1620</v>
      </c>
      <c r="J18" s="807"/>
      <c r="K18" s="808"/>
    </row>
    <row r="19" spans="1:33" s="803" customFormat="1" ht="13.5" customHeight="1">
      <c r="A19" s="800" t="s">
        <v>360</v>
      </c>
      <c r="B19" s="801" t="s">
        <v>1621</v>
      </c>
      <c r="C19" s="21">
        <f ca="1">ROUND(D19*E19/10000,0)</f>
        <v>0</v>
      </c>
      <c r="D19" s="846">
        <f ca="1">IF(C1="",'数据-汇总表'!E5,IF(INDIRECT("'数据-取费表'!c"&amp;$K$1)="住宅",INDIRECT("'数据-取费表'!k"&amp;$K$1),0))</f>
        <v>0</v>
      </c>
      <c r="E19" s="21">
        <f>'数据-取费表'!B27</f>
        <v>80</v>
      </c>
      <c r="F19" s="804"/>
      <c r="G19" s="12"/>
      <c r="H19" s="1189"/>
      <c r="I19" s="809"/>
      <c r="J19" s="809"/>
      <c r="K19" s="810"/>
    </row>
    <row r="20" spans="1:33" s="803" customFormat="1" ht="13.5" customHeight="1">
      <c r="A20" s="800" t="s">
        <v>361</v>
      </c>
      <c r="B20" s="801" t="s">
        <v>1622</v>
      </c>
      <c r="C20" s="21">
        <f ca="1">ROUND(D20*E20/10000,0)</f>
        <v>78</v>
      </c>
      <c r="D20" s="846">
        <f ca="1">IF(C1="",'数据-汇总表'!E6,IF(INDIRECT("'数据-取费表'!c"&amp;$K$1)="住宅",INDIRECT("'数据-取费表'!s"&amp;$K$1),INDIRECT("'数据-取费表'!k"&amp;$K$1)+INDIRECT("'数据-取费表'!s"&amp;$K$1)))</f>
        <v>9801.27</v>
      </c>
      <c r="E20" s="21">
        <f>'数据-取费表'!B28</f>
        <v>80</v>
      </c>
      <c r="F20" s="804"/>
      <c r="G20" s="12"/>
      <c r="H20" s="809"/>
      <c r="I20" s="809"/>
      <c r="J20" s="809"/>
      <c r="K20" s="810"/>
    </row>
    <row r="21" spans="1:33" s="803" customFormat="1" ht="13.5" customHeight="1">
      <c r="A21" s="790" t="s">
        <v>357</v>
      </c>
      <c r="B21" s="813" t="s">
        <v>1623</v>
      </c>
      <c r="C21" s="814">
        <f ca="1">C16+C17+C18</f>
        <v>2401</v>
      </c>
      <c r="D21" s="815"/>
      <c r="E21" s="281"/>
      <c r="F21" s="281"/>
      <c r="G21" s="131" t="s">
        <v>1624</v>
      </c>
      <c r="H21" s="807"/>
      <c r="I21" s="807"/>
      <c r="J21" s="807"/>
      <c r="K21" s="808"/>
    </row>
    <row r="22" spans="1:33" s="803" customFormat="1" ht="13.5" customHeight="1">
      <c r="A22" s="790" t="s">
        <v>1596</v>
      </c>
      <c r="B22" s="813" t="s">
        <v>1625</v>
      </c>
      <c r="C22" s="814">
        <f ca="1">ROUND(C21*F22,0)</f>
        <v>48</v>
      </c>
      <c r="D22" s="281"/>
      <c r="E22" s="281"/>
      <c r="F22" s="816">
        <f>'数据-取费表'!B37</f>
        <v>0.02</v>
      </c>
      <c r="G22" s="5" t="s">
        <v>1626</v>
      </c>
      <c r="H22" s="797"/>
      <c r="I22" s="797"/>
      <c r="J22" s="797"/>
      <c r="K22" s="798"/>
    </row>
    <row r="23" spans="1:33" s="803" customFormat="1" ht="13.5" customHeight="1">
      <c r="A23" s="790" t="s">
        <v>1598</v>
      </c>
      <c r="B23" s="813" t="s">
        <v>1627</v>
      </c>
      <c r="C23" s="814">
        <f ca="1">ROUND(C4*F23*F11,0)</f>
        <v>100</v>
      </c>
      <c r="D23" s="281"/>
      <c r="E23" s="281"/>
      <c r="F23" s="816">
        <f>'数据-取费表'!B38</f>
        <v>0.02</v>
      </c>
      <c r="G23" s="5" t="s">
        <v>1628</v>
      </c>
      <c r="H23" s="797"/>
      <c r="I23" s="797"/>
      <c r="J23" s="797"/>
      <c r="K23" s="798"/>
    </row>
    <row r="24" spans="1:33" s="803" customFormat="1" ht="13.5" customHeight="1">
      <c r="A24" s="790" t="s">
        <v>1629</v>
      </c>
      <c r="B24" s="813" t="s">
        <v>1630</v>
      </c>
      <c r="C24" s="280">
        <f>ROUND(F24/(1+'数据-取费表'!C42),4)</f>
        <v>2.9000000000000001E-2</v>
      </c>
      <c r="D24" s="281" t="s">
        <v>12</v>
      </c>
      <c r="E24" s="281"/>
      <c r="F24" s="816">
        <f>IF(项目基本情况!B8="出让",0,'数据-取费表'!B48+'数据-取费表'!B49)</f>
        <v>3.0499999999999999E-2</v>
      </c>
      <c r="G24" s="5" t="s">
        <v>1631</v>
      </c>
      <c r="H24" s="818"/>
      <c r="I24" s="818"/>
      <c r="J24" s="818"/>
      <c r="K24" s="819"/>
    </row>
    <row r="25" spans="1:33" s="803" customFormat="1" ht="13.5" customHeight="1">
      <c r="A25" s="790" t="s">
        <v>1632</v>
      </c>
      <c r="B25" s="815" t="s">
        <v>1633</v>
      </c>
      <c r="C25" s="1106">
        <f ca="1">C27</f>
        <v>44</v>
      </c>
      <c r="D25" s="280">
        <f ca="1">C26</f>
        <v>3.5499999999999997E-2</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1634</v>
      </c>
      <c r="C26" s="1107">
        <f ca="1">ROUND(IF('数据-取费表'!B22&lt;=1,(1+C24)*F25*'数据-取费表'!B24,(1+C24)*(POWER((1+F25),'数据-取费表'!B24)-1)),4)</f>
        <v>3.5499999999999997E-2</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1635</v>
      </c>
      <c r="C27" s="1108">
        <f ca="1">ROUND(IF('数据-取费表'!B22&lt;=1,(C21+C22+C23)*F25*'数据-取费表'!B24/2,(C21+C22+C23)*(POWER((1+F25),'数据-取费表'!B24/2)-1)),0)</f>
        <v>44</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1636</v>
      </c>
      <c r="B28" s="1864" t="s">
        <v>1637</v>
      </c>
      <c r="C28" s="287">
        <f ca="1">C30</f>
        <v>255</v>
      </c>
      <c r="D28" s="280">
        <f ca="1">C29</f>
        <v>0.10290000000000001</v>
      </c>
      <c r="E28" s="282" t="s">
        <v>12</v>
      </c>
      <c r="F28" s="288">
        <f ca="1">IF(C1="",'数据-取费表'!Q16,INDIRECT("'数据-取费表'!q"&amp;$K$1))</f>
        <v>0.1</v>
      </c>
      <c r="G28" s="817"/>
      <c r="H28" s="818"/>
      <c r="I28" s="818"/>
      <c r="J28" s="818"/>
      <c r="K28" s="819"/>
    </row>
    <row r="29" spans="1:33" s="291" customFormat="1" ht="13.5" customHeight="1">
      <c r="A29" s="800" t="s">
        <v>358</v>
      </c>
      <c r="B29" s="822" t="s">
        <v>1638</v>
      </c>
      <c r="C29" s="284">
        <f ca="1">ROUND((1+C24)*F28*'数据-取费表'!B24/'数据-取费表'!B20,4)</f>
        <v>0.10290000000000001</v>
      </c>
      <c r="D29" s="284"/>
      <c r="E29" s="285"/>
      <c r="F29" s="290"/>
      <c r="G29" s="131" t="s">
        <v>1639</v>
      </c>
      <c r="H29" s="807"/>
      <c r="I29" s="807"/>
      <c r="J29" s="807"/>
      <c r="K29" s="808"/>
    </row>
    <row r="30" spans="1:33" s="291" customFormat="1" ht="13.5" customHeight="1">
      <c r="A30" s="800" t="s">
        <v>359</v>
      </c>
      <c r="B30" s="822" t="s">
        <v>1640</v>
      </c>
      <c r="C30" s="292">
        <f ca="1">ROUND((C21+C22+C23)*F28,0)</f>
        <v>255</v>
      </c>
      <c r="D30" s="284"/>
      <c r="E30" s="285"/>
      <c r="F30" s="290"/>
      <c r="G30" s="131"/>
      <c r="H30" s="807"/>
      <c r="I30" s="807"/>
      <c r="J30" s="807"/>
      <c r="K30" s="808"/>
    </row>
    <row r="31" spans="1:33" s="803" customFormat="1" ht="13.5" customHeight="1" thickBot="1">
      <c r="A31" s="1865" t="s">
        <v>1641</v>
      </c>
      <c r="B31" s="833" t="s">
        <v>1642</v>
      </c>
      <c r="C31" s="834">
        <f ca="1">ROUND(C4*F31/(1+'数据-取费表'!C42),0)</f>
        <v>262</v>
      </c>
      <c r="D31" s="835"/>
      <c r="E31" s="836"/>
      <c r="F31" s="837">
        <f>'数据-取费表'!B41</f>
        <v>5.5000000000000007E-2</v>
      </c>
      <c r="G31" s="838" t="s">
        <v>1643</v>
      </c>
      <c r="H31" s="839"/>
      <c r="I31" s="839"/>
      <c r="J31" s="839"/>
      <c r="K31" s="840"/>
    </row>
    <row r="32" spans="1:33" s="799" customFormat="1" ht="13.5" customHeight="1" thickBot="1">
      <c r="A32" s="828" t="s">
        <v>1644</v>
      </c>
      <c r="B32" s="829"/>
      <c r="C32" s="830">
        <f ca="1">ROUND((C4-C21-C22-C23-C25-C28-C31)/(1+C24+D25+D28),0)</f>
        <v>1614</v>
      </c>
      <c r="D32" s="829"/>
      <c r="E32" s="829"/>
      <c r="F32" s="829"/>
      <c r="G32" s="831" t="s">
        <v>1645</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57" sqref="K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t="s">
        <v>669</v>
      </c>
      <c r="D1" s="1362" t="s">
        <v>3418</v>
      </c>
      <c r="E1" s="1363" t="s">
        <v>674</v>
      </c>
      <c r="F1" s="1062">
        <f ca="1">J53</f>
        <v>34.520000000000003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f ca="1">C40+J29+L46</f>
        <v>4994</v>
      </c>
      <c r="C2" s="1387" t="s">
        <v>801</v>
      </c>
      <c r="D2" s="1387"/>
      <c r="E2" s="1388"/>
      <c r="F2" s="1389"/>
      <c r="G2" s="2704"/>
      <c r="H2" s="2693"/>
      <c r="I2" s="2693"/>
      <c r="J2" s="2693"/>
      <c r="K2" s="2694"/>
      <c r="L2" s="2693"/>
      <c r="M2" s="2693"/>
    </row>
    <row r="3" spans="1:37" ht="18" customHeight="1" thickBot="1">
      <c r="A3" s="1390" t="s">
        <v>802</v>
      </c>
      <c r="B3" s="1391">
        <f ca="1">IF(ISERROR(B2*10000/F43),0,ROUND(B2*10000/F43,0))</f>
        <v>6514</v>
      </c>
      <c r="C3" s="1387" t="s">
        <v>803</v>
      </c>
      <c r="D3" s="1387"/>
      <c r="E3" s="1388"/>
      <c r="F3" s="1389"/>
      <c r="G3" s="2704"/>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454</v>
      </c>
      <c r="D5" s="1364" t="s">
        <v>689</v>
      </c>
      <c r="E5" s="1071"/>
      <c r="F5" s="1072"/>
      <c r="G5" s="1384"/>
      <c r="H5" s="299">
        <v>1</v>
      </c>
      <c r="I5" s="300" t="s">
        <v>688</v>
      </c>
      <c r="J5" s="1070">
        <f ca="1">J6+J10+J12</f>
        <v>0</v>
      </c>
      <c r="K5" s="1364" t="s">
        <v>689</v>
      </c>
      <c r="L5" s="1071"/>
      <c r="M5" s="1072"/>
    </row>
    <row r="6" spans="1:37" ht="18" customHeight="1">
      <c r="A6" s="1069" t="s">
        <v>398</v>
      </c>
      <c r="B6" s="3656" t="s">
        <v>690</v>
      </c>
      <c r="C6" s="1074">
        <f ca="1">ROUND(F6*F8*F7*(1-F9)/10000,0)</f>
        <v>453</v>
      </c>
      <c r="D6" s="155" t="s">
        <v>2104</v>
      </c>
      <c r="E6" s="302" t="s">
        <v>692</v>
      </c>
      <c r="F6" s="303">
        <f ca="1">INDIRECT("'数据-取费表'!u"&amp;$G$1)</f>
        <v>1.8</v>
      </c>
      <c r="G6" s="1384"/>
      <c r="H6" s="1069" t="s">
        <v>398</v>
      </c>
      <c r="I6" s="3656" t="s">
        <v>690</v>
      </c>
      <c r="J6" s="301">
        <f ca="1">ROUND(M6*M8*M7*(1-M9)/10000,0)</f>
        <v>0</v>
      </c>
      <c r="K6" s="155" t="s">
        <v>2103</v>
      </c>
      <c r="L6" s="302" t="s">
        <v>692</v>
      </c>
      <c r="M6" s="303">
        <f ca="1">INDIRECT("'数据-取费表'!z"&amp;$G$1)</f>
        <v>0</v>
      </c>
    </row>
    <row r="7" spans="1:37" ht="18" customHeight="1">
      <c r="A7" s="1073"/>
      <c r="B7" s="3657"/>
      <c r="C7" s="1075"/>
      <c r="D7" s="307"/>
      <c r="E7" s="1076" t="s">
        <v>693</v>
      </c>
      <c r="F7" s="303">
        <f ca="1">IF(INDIRECT("'数据-取费表'!ah"&amp;$G$1)="",INDIRECT("'数据-取费表'!k"&amp;$G$1),INDIRECT("'数据-取费表'!ah"&amp;$G$1))</f>
        <v>7666.58</v>
      </c>
      <c r="G7" s="1384"/>
      <c r="H7" s="304"/>
      <c r="I7" s="3657"/>
      <c r="J7" s="306"/>
      <c r="K7" s="307"/>
      <c r="L7" s="302" t="s">
        <v>693</v>
      </c>
      <c r="M7" s="303">
        <f ca="1">F7</f>
        <v>7666.58</v>
      </c>
    </row>
    <row r="8" spans="1:37" ht="18" customHeight="1">
      <c r="A8" s="304"/>
      <c r="B8" s="3657"/>
      <c r="C8" s="306"/>
      <c r="D8" s="307"/>
      <c r="E8" s="302" t="s">
        <v>694</v>
      </c>
      <c r="F8" s="303">
        <f ca="1">INDIRECT("'数据-取费表'!ai"&amp;$G$1)</f>
        <v>365</v>
      </c>
      <c r="G8" s="1384"/>
      <c r="H8" s="304"/>
      <c r="I8" s="3657"/>
      <c r="J8" s="306"/>
      <c r="K8" s="307"/>
      <c r="L8" s="302" t="s">
        <v>694</v>
      </c>
      <c r="M8" s="303">
        <f ca="1">INDIRECT("'数据-取费表'!ai"&amp;$G$1)</f>
        <v>365</v>
      </c>
    </row>
    <row r="9" spans="1:37" ht="18" customHeight="1">
      <c r="A9" s="304"/>
      <c r="B9" s="3658"/>
      <c r="C9" s="306"/>
      <c r="D9" s="307"/>
      <c r="E9" s="302" t="s">
        <v>695</v>
      </c>
      <c r="F9" s="312">
        <f ca="1">INDIRECT("'数据-取费表'!w"&amp;$G$1)</f>
        <v>0.1</v>
      </c>
      <c r="G9" s="1384"/>
      <c r="H9" s="304"/>
      <c r="I9" s="3658"/>
      <c r="J9" s="306"/>
      <c r="K9" s="307"/>
      <c r="L9" s="313" t="s">
        <v>695</v>
      </c>
      <c r="M9" s="314">
        <f ca="1">INDIRECT("'数据-取费表'!ab"&amp;$G$1)</f>
        <v>0</v>
      </c>
    </row>
    <row r="10" spans="1:37" ht="18" customHeight="1">
      <c r="A10" s="1069" t="s">
        <v>402</v>
      </c>
      <c r="B10" s="1365" t="s">
        <v>696</v>
      </c>
      <c r="C10" s="316">
        <f ca="1">ROUND(IF(F10="押一",C6/12*F11,IF(F10="押二",C6/12*2*F11,IF(F10="押三",C6/12*3*F11,C11*F11))),0)</f>
        <v>1</v>
      </c>
      <c r="D10" s="1366" t="s">
        <v>2112</v>
      </c>
      <c r="E10" s="313" t="s">
        <v>697</v>
      </c>
      <c r="F10" s="1116" t="s">
        <v>3419</v>
      </c>
      <c r="G10" s="1384"/>
      <c r="H10" s="1069" t="s">
        <v>402</v>
      </c>
      <c r="I10" s="1365" t="s">
        <v>696</v>
      </c>
      <c r="J10" s="301">
        <f ca="1">ROUND(IF(M10="押一",J6/12*M11,IF(M10="押二",J6/12*2*M11,IF(M10="押三",J6/12*3*M11,J11*M11))),0)</f>
        <v>0</v>
      </c>
      <c r="K10" s="1366" t="s">
        <v>2111</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437</v>
      </c>
      <c r="B12" s="1369" t="s">
        <v>699</v>
      </c>
      <c r="C12" s="1084"/>
      <c r="D12" s="1085"/>
      <c r="E12" s="1090"/>
      <c r="F12" s="1086"/>
      <c r="G12" s="1384"/>
      <c r="H12" s="1083" t="s">
        <v>437</v>
      </c>
      <c r="I12" s="1369" t="s">
        <v>699</v>
      </c>
      <c r="J12" s="1084"/>
      <c r="K12" s="1098"/>
      <c r="L12" s="1090"/>
      <c r="M12" s="1099"/>
    </row>
    <row r="13" spans="1:37" ht="18" customHeight="1" thickTop="1">
      <c r="A13" s="1079">
        <v>2</v>
      </c>
      <c r="B13" s="1080" t="s">
        <v>700</v>
      </c>
      <c r="C13" s="310">
        <f ca="1">ROUND(C29*F13,0)</f>
        <v>2812</v>
      </c>
      <c r="D13" s="1081" t="s">
        <v>701</v>
      </c>
      <c r="E13" s="1081" t="s">
        <v>702</v>
      </c>
      <c r="F13" s="1082">
        <f ca="1">INDIRECT("'数据-取费表'!y"&amp;$G$1)</f>
        <v>1</v>
      </c>
      <c r="G13" s="1384"/>
      <c r="H13" s="1079">
        <v>2</v>
      </c>
      <c r="I13" s="1080" t="s">
        <v>700</v>
      </c>
      <c r="J13" s="1068">
        <f ca="1">ROUND(J14*J15,0)</f>
        <v>0</v>
      </c>
      <c r="K13" s="1087" t="s">
        <v>701</v>
      </c>
      <c r="L13" s="1392"/>
      <c r="M13" s="1393"/>
    </row>
    <row r="14" spans="1:37" ht="18" customHeight="1">
      <c r="A14" s="982" t="s">
        <v>397</v>
      </c>
      <c r="B14" s="302" t="s">
        <v>703</v>
      </c>
      <c r="C14" s="318">
        <f ca="1">INDIRECT("'数据-取费表'!m"&amp;$G$1)+INDIRECT("'数据-取费表'!t"&amp;$G$1)</f>
        <v>1960</v>
      </c>
      <c r="D14" s="1345" t="s">
        <v>704</v>
      </c>
      <c r="E14" s="1342"/>
      <c r="F14" s="319"/>
      <c r="G14" s="1384"/>
      <c r="H14" s="982" t="s">
        <v>398</v>
      </c>
      <c r="I14" s="302" t="s">
        <v>705</v>
      </c>
      <c r="J14" s="21">
        <f ca="1">C29</f>
        <v>2812</v>
      </c>
      <c r="K14" s="12"/>
      <c r="L14" s="807"/>
      <c r="M14" s="808"/>
    </row>
    <row r="15" spans="1:37" s="1397" customFormat="1" ht="18" customHeight="1" thickBot="1">
      <c r="A15" s="982" t="s">
        <v>399</v>
      </c>
      <c r="B15" s="302" t="s">
        <v>706</v>
      </c>
      <c r="C15" s="21">
        <f ca="1">ROUND(C14*F15,0)</f>
        <v>98</v>
      </c>
      <c r="D15" s="320" t="s">
        <v>707</v>
      </c>
      <c r="E15" s="320" t="s">
        <v>708</v>
      </c>
      <c r="F15" s="321">
        <f>'数据-取费表'!B33</f>
        <v>0.05</v>
      </c>
      <c r="G15" s="1396"/>
      <c r="H15" s="1089" t="s">
        <v>402</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393</v>
      </c>
      <c r="I16" s="1080" t="s">
        <v>710</v>
      </c>
      <c r="J16" s="310">
        <f ca="1">ROUND(J17+J22+J23+J24,0)</f>
        <v>43</v>
      </c>
      <c r="K16" s="1087" t="s">
        <v>711</v>
      </c>
      <c r="L16" s="1088"/>
      <c r="M16" s="1072"/>
    </row>
    <row r="17" spans="1:37" s="1397" customFormat="1" ht="18" customHeight="1">
      <c r="A17" s="982" t="s">
        <v>677</v>
      </c>
      <c r="B17" s="302" t="s">
        <v>712</v>
      </c>
      <c r="C17" s="21">
        <f ca="1">ROUND(F17*(F43+INDIRECT("'数据-取费表'!S"&amp;$G$1))/10000,0)</f>
        <v>196</v>
      </c>
      <c r="D17" s="302" t="s">
        <v>713</v>
      </c>
      <c r="E17" s="302" t="s">
        <v>714</v>
      </c>
      <c r="F17" s="23">
        <f>'数据-取费表'!B35</f>
        <v>200</v>
      </c>
      <c r="G17" s="1396"/>
      <c r="H17" s="982" t="s">
        <v>398</v>
      </c>
      <c r="I17" s="302" t="s">
        <v>715</v>
      </c>
      <c r="J17" s="2315">
        <f ca="1">ROUND(IF(AND(项目基本情况!B11="自然人",项目基本情况!B10="北京市"),J6*M17/(1+'数据-取费表'!C42),J18+J19+J20),2)</f>
        <v>1.1599999999999999</v>
      </c>
      <c r="K17" s="1345" t="s">
        <v>716</v>
      </c>
      <c r="L17" s="1344" t="s">
        <v>717</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29</v>
      </c>
      <c r="D18" s="302" t="s">
        <v>707</v>
      </c>
      <c r="E18" s="302" t="s">
        <v>708</v>
      </c>
      <c r="F18" s="322">
        <f>'数据-取费表'!B36</f>
        <v>1.4999999999999999E-2</v>
      </c>
      <c r="G18" s="1396"/>
      <c r="H18" s="982" t="s">
        <v>397</v>
      </c>
      <c r="I18" s="302" t="s">
        <v>719</v>
      </c>
      <c r="J18" s="21">
        <f ca="1">ROUND(J6*M18/(1+'数据-取费表'!C42),2)</f>
        <v>0</v>
      </c>
      <c r="K18" s="1344" t="s">
        <v>720</v>
      </c>
      <c r="L18" s="302" t="s">
        <v>708</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721</v>
      </c>
      <c r="C19" s="21">
        <f ca="1">SUM(C14:C18)</f>
        <v>2283</v>
      </c>
      <c r="D19" s="131" t="s">
        <v>722</v>
      </c>
      <c r="E19" s="1360"/>
      <c r="F19" s="23"/>
      <c r="G19" s="1384"/>
      <c r="H19" s="982" t="s">
        <v>399</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402</v>
      </c>
      <c r="B20" s="302" t="s">
        <v>724</v>
      </c>
      <c r="C20" s="21">
        <f ca="1">ROUND(C19*F20,0)</f>
        <v>46</v>
      </c>
      <c r="D20" s="323" t="s">
        <v>725</v>
      </c>
      <c r="E20" s="302" t="s">
        <v>708</v>
      </c>
      <c r="F20" s="322">
        <f>'数据-取费表'!B37</f>
        <v>0.02</v>
      </c>
      <c r="G20" s="1396"/>
      <c r="H20" s="982" t="s">
        <v>676</v>
      </c>
      <c r="I20" s="155" t="s">
        <v>726</v>
      </c>
      <c r="J20" s="22">
        <f ca="1">ROUND(M20*M21/10000,2)</f>
        <v>1.1599999999999999</v>
      </c>
      <c r="K20" s="324" t="s">
        <v>727</v>
      </c>
      <c r="L20" s="302" t="s">
        <v>728</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729</v>
      </c>
      <c r="C21" s="21" t="s">
        <v>15</v>
      </c>
      <c r="D21" s="323" t="s">
        <v>730</v>
      </c>
      <c r="E21" s="302" t="s">
        <v>731</v>
      </c>
      <c r="F21" s="322">
        <f>'数据-取费表'!B38</f>
        <v>0.02</v>
      </c>
      <c r="G21" s="1396"/>
      <c r="H21" s="326"/>
      <c r="I21" s="311"/>
      <c r="J21" s="26"/>
      <c r="K21" s="327"/>
      <c r="L21" s="302" t="s">
        <v>732</v>
      </c>
      <c r="M21" s="303">
        <f ca="1">INDIRECT("'数据-取费表'!r"&amp;$G$1)</f>
        <v>7720.87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单利计息。建造成本、管理费用、销售费用产生的利息。</v>
      </c>
      <c r="E22" s="1360"/>
      <c r="F22" s="23"/>
      <c r="G22" s="1384"/>
      <c r="H22" s="982" t="s">
        <v>402</v>
      </c>
      <c r="I22" s="302" t="s">
        <v>734</v>
      </c>
      <c r="J22" s="21">
        <f ca="1">ROUND(J14*M22,2)</f>
        <v>42.18</v>
      </c>
      <c r="K22" s="1344" t="s">
        <v>735</v>
      </c>
      <c r="L22" s="302" t="s">
        <v>708</v>
      </c>
      <c r="M22" s="328">
        <f ca="1">INDIRECT("'数据-取费表'!Ak"&amp;$G$1)</f>
        <v>1.4999999999999999E-2</v>
      </c>
    </row>
    <row r="23" spans="1:37" s="1397" customFormat="1" ht="18" customHeight="1">
      <c r="A23" s="982" t="s">
        <v>397</v>
      </c>
      <c r="B23" s="302" t="s">
        <v>736</v>
      </c>
      <c r="C23" s="21">
        <f ca="1">IF('数据-取费表'!B22&lt;=1,ROUND(C19*F24*F23/2,0)+ROUND(C20*F24*F23/2,0),ROUND(C19*(POWER((1+F24),F23/2)-1),0)+ROUND(C20*(POWER((1+F24),F23/2)-1),0))</f>
        <v>40</v>
      </c>
      <c r="D23" s="329" t="str">
        <f>IF(F23&lt;=1,"(建造成本+管理费用)×利率×(建设周期÷2)","(建造成本+管理费用)×((1+利率)^(建设周期÷2)-1)")</f>
        <v>(建造成本+管理费用)×利率×(建设周期÷2)</v>
      </c>
      <c r="E23" s="302" t="s">
        <v>737</v>
      </c>
      <c r="F23" s="325">
        <f>'数据-取费表'!B20</f>
        <v>1</v>
      </c>
      <c r="G23" s="1396"/>
      <c r="H23" s="982" t="s">
        <v>437</v>
      </c>
      <c r="I23" s="302" t="s">
        <v>738</v>
      </c>
      <c r="J23" s="21">
        <f ca="1">ROUND(J13*M23,2)</f>
        <v>0</v>
      </c>
      <c r="K23" s="1344" t="s">
        <v>739</v>
      </c>
      <c r="L23" s="302" t="s">
        <v>740</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2.9999999999999997E-4</v>
      </c>
      <c r="D24" s="329" t="str">
        <f>IF(F23&lt;=1,"销售费用×利率×(建设周期÷2)","销售费用×((1+利率)^(建设周期÷2)-1)")</f>
        <v>销售费用×利率×(建设周期÷2)</v>
      </c>
      <c r="E24" s="302" t="s">
        <v>743</v>
      </c>
      <c r="F24" s="331">
        <f ca="1">'数据-取费表'!B40</f>
        <v>3.4500000000000003E-2</v>
      </c>
      <c r="G24" s="1396"/>
      <c r="H24" s="1089" t="s">
        <v>680</v>
      </c>
      <c r="I24" s="1090" t="s">
        <v>724</v>
      </c>
      <c r="J24" s="1091">
        <f ca="1">ROUND(J5*M24,2)</f>
        <v>0</v>
      </c>
      <c r="K24" s="1092" t="s">
        <v>744</v>
      </c>
      <c r="L24" s="1090" t="s">
        <v>740</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394</v>
      </c>
      <c r="I25" s="1094" t="s">
        <v>748</v>
      </c>
      <c r="J25" s="310">
        <f ca="1">J5-J16</f>
        <v>-43</v>
      </c>
      <c r="K25" s="1095" t="s">
        <v>749</v>
      </c>
      <c r="L25" s="1096"/>
      <c r="M25" s="1097"/>
    </row>
    <row r="26" spans="1:37">
      <c r="A26" s="982" t="s">
        <v>397</v>
      </c>
      <c r="B26" s="302" t="s">
        <v>750</v>
      </c>
      <c r="C26" s="21">
        <f ca="1">ROUND((C19+C20)*F26,0)</f>
        <v>233</v>
      </c>
      <c r="D26" s="323" t="s">
        <v>751</v>
      </c>
      <c r="E26" s="313" t="s">
        <v>752</v>
      </c>
      <c r="F26" s="312">
        <f ca="1">INDIRECT("'数据-取费表'!q"&amp;$G$1)</f>
        <v>0.1</v>
      </c>
      <c r="G26" s="1384"/>
      <c r="H26" s="299" t="s">
        <v>395</v>
      </c>
      <c r="I26" s="300" t="s">
        <v>753</v>
      </c>
      <c r="J26" s="301">
        <f ca="1">IF(J5&lt;&gt;0,ROUND(J25*(1-((1+M28)/(1+M26))^M27)/(M26-M28),0),0)</f>
        <v>0</v>
      </c>
      <c r="K26" s="324" t="s">
        <v>754</v>
      </c>
      <c r="L26" s="302" t="s">
        <v>755</v>
      </c>
      <c r="M26" s="312">
        <f ca="1">INDIRECT("'数据-取费表'!I"&amp;$G$1)</f>
        <v>5.5E-2</v>
      </c>
    </row>
    <row r="27" spans="1:37" ht="18" customHeight="1">
      <c r="A27" s="982" t="s">
        <v>399</v>
      </c>
      <c r="B27" s="302" t="s">
        <v>756</v>
      </c>
      <c r="C27" s="21">
        <f ca="1">ROUND(F21*F26,4)</f>
        <v>2E-3</v>
      </c>
      <c r="D27" s="323" t="s">
        <v>757</v>
      </c>
      <c r="E27" s="320"/>
      <c r="F27" s="321"/>
      <c r="G27" s="1384"/>
      <c r="H27" s="304"/>
      <c r="I27" s="305"/>
      <c r="J27" s="306"/>
      <c r="K27" s="332" t="s">
        <v>758</v>
      </c>
      <c r="L27" s="302" t="s">
        <v>759</v>
      </c>
      <c r="M27" s="333">
        <f ca="1">INDIRECT("'数据-取费表'!ag"&amp;$G$1)</f>
        <v>0</v>
      </c>
    </row>
    <row r="28" spans="1:37" s="1397" customFormat="1" ht="18" customHeight="1">
      <c r="A28" s="982" t="s">
        <v>400</v>
      </c>
      <c r="B28" s="302" t="s">
        <v>760</v>
      </c>
      <c r="C28" s="21">
        <f>ROUND(F28/(1+'数据-取费表'!C42),4)</f>
        <v>5.2400000000000002E-2</v>
      </c>
      <c r="D28" s="323" t="s">
        <v>761</v>
      </c>
      <c r="E28" s="302" t="s">
        <v>708</v>
      </c>
      <c r="F28" s="322">
        <f>'数据-取费表'!B41</f>
        <v>5.5000000000000007E-2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763</v>
      </c>
      <c r="C29" s="1091">
        <f ca="1">ROUND((C19+C20+C23+C26)/(1-F21-C24-C27-C28),0)</f>
        <v>2812</v>
      </c>
      <c r="D29" s="1092"/>
      <c r="E29" s="1090"/>
      <c r="F29" s="1093"/>
      <c r="G29" s="1396"/>
      <c r="H29" s="334" t="s">
        <v>396</v>
      </c>
      <c r="I29" s="335" t="s">
        <v>764</v>
      </c>
      <c r="J29" s="336">
        <f ca="1">ROUND(J26/(1+F40)^F41,0)</f>
        <v>0</v>
      </c>
      <c r="K29" s="337" t="s">
        <v>765</v>
      </c>
      <c r="L29" s="338"/>
      <c r="M29" s="339">
        <f ca="1">INDIRECT("'数据-取费表'!k"&amp;$G$1)</f>
        <v>7666.58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710</v>
      </c>
      <c r="C30" s="310">
        <f ca="1">ROUND(C31+C36+C37+C38,0)</f>
        <v>128</v>
      </c>
      <c r="D30" s="1087" t="s">
        <v>711</v>
      </c>
      <c r="E30" s="1088"/>
      <c r="F30" s="1072"/>
      <c r="G30" s="1384"/>
      <c r="H30" s="2695"/>
      <c r="I30" s="1398"/>
      <c r="J30" s="1399"/>
      <c r="K30" s="2473"/>
      <c r="L30" s="2696"/>
      <c r="M30" s="2697"/>
    </row>
    <row r="31" spans="1:37" ht="18" customHeight="1">
      <c r="A31" s="982" t="s">
        <v>398</v>
      </c>
      <c r="B31" s="302" t="s">
        <v>715</v>
      </c>
      <c r="C31" s="2315">
        <f ca="1">ROUND(IF(AND(项目基本情况!B11="自然人",项目基本情况!B10="北京市"),C6*F31/(1+'数据-取费表'!C42),C32+C33+C34),2)</f>
        <v>76.66</v>
      </c>
      <c r="D31" s="1345" t="s">
        <v>716</v>
      </c>
      <c r="E31" s="1344" t="s">
        <v>766</v>
      </c>
      <c r="F31" s="2314" t="str">
        <f>IF(项目基本情况!B11="企业","——",IF(M47="住宅",IF(F6*F7*F8/12/(1+'数据-取费表'!F30)&gt;100000,4%,2.5%),IF(F6*F7*F8/12/(1+'数据-取费表'!F30)&gt;100000,12%,7%)))</f>
        <v>——</v>
      </c>
      <c r="G31" s="1384"/>
      <c r="H31" s="2806" t="s">
        <v>2305</v>
      </c>
      <c r="I31" s="1398"/>
      <c r="J31" s="1399"/>
      <c r="K31" s="2473"/>
      <c r="L31" s="2696"/>
      <c r="M31" s="2697"/>
    </row>
    <row r="32" spans="1:37" ht="18" customHeight="1">
      <c r="A32" s="982" t="s">
        <v>397</v>
      </c>
      <c r="B32" s="302" t="s">
        <v>719</v>
      </c>
      <c r="C32" s="21">
        <f ca="1">IF(项目基本情况!B11="自然人","——",ROUND(C6*F32/(1+'数据-取费表'!C42),2))</f>
        <v>23.73</v>
      </c>
      <c r="D32" s="1344" t="s">
        <v>720</v>
      </c>
      <c r="E32" s="302" t="s">
        <v>708</v>
      </c>
      <c r="F32" s="331">
        <f>'数据-取费表'!B41</f>
        <v>5.5000000000000007E-2</v>
      </c>
      <c r="G32" s="1384"/>
      <c r="H32" s="2695"/>
      <c r="I32" s="1398"/>
      <c r="J32" s="1399"/>
      <c r="K32" s="2473"/>
      <c r="L32" s="2696"/>
      <c r="M32" s="2697"/>
    </row>
    <row r="33" spans="1:18" ht="18" customHeight="1">
      <c r="A33" s="982" t="s">
        <v>399</v>
      </c>
      <c r="B33" s="302" t="s">
        <v>723</v>
      </c>
      <c r="C33" s="21">
        <f ca="1">IF(项目基本情况!B11="自然人","——",IF(D33="按租金收入计税",ROUND(C6*F33/(1+'数据-取费表'!C42),2),IF(D33="按房产原值计税",ROUND(C29*F33*0.7,2),INDIRECT("'数据-取费表'!Aj"&amp;$G$1))))</f>
        <v>51.77</v>
      </c>
      <c r="D33" s="1370" t="s">
        <v>3336</v>
      </c>
      <c r="E33" s="302" t="s">
        <v>708</v>
      </c>
      <c r="F33" s="322">
        <f>IF(D33="按票据","——",IF(D33="按租金收入计税",'数据-取费表'!B51,'数据-取费表'!B50))</f>
        <v>0.12</v>
      </c>
      <c r="G33" s="1384"/>
      <c r="H33" s="2698"/>
      <c r="I33" s="1398"/>
      <c r="J33" s="1399"/>
      <c r="K33" s="2699"/>
      <c r="L33" s="2698"/>
      <c r="M33" s="2698"/>
    </row>
    <row r="34" spans="1:18" ht="18" customHeight="1">
      <c r="A34" s="1069" t="s">
        <v>676</v>
      </c>
      <c r="B34" s="155" t="s">
        <v>726</v>
      </c>
      <c r="C34" s="22">
        <f ca="1">IF(项目基本情况!B11="自然人","——",ROUND(F34*F35/10000,2))</f>
        <v>1.1599999999999999</v>
      </c>
      <c r="D34" s="324" t="s">
        <v>727</v>
      </c>
      <c r="E34" s="302" t="s">
        <v>728</v>
      </c>
      <c r="F34" s="325">
        <f>'数据-取费表'!B52</f>
        <v>1.5</v>
      </c>
      <c r="G34" s="1384"/>
      <c r="H34" s="2695"/>
      <c r="I34" s="1398"/>
      <c r="J34" s="1399"/>
      <c r="K34" s="2700"/>
      <c r="L34" s="2701"/>
      <c r="M34" s="2701"/>
    </row>
    <row r="35" spans="1:18" ht="18" customHeight="1">
      <c r="A35" s="1103"/>
      <c r="B35" s="1101"/>
      <c r="C35" s="26"/>
      <c r="D35" s="327"/>
      <c r="E35" s="302" t="s">
        <v>732</v>
      </c>
      <c r="F35" s="303">
        <f ca="1">INDIRECT("'数据-取费表'!r"&amp;$G$1)</f>
        <v>7720.87</v>
      </c>
      <c r="G35" s="1384"/>
      <c r="H35" s="2695"/>
      <c r="I35" s="1398"/>
      <c r="J35" s="1399"/>
      <c r="K35" s="2699"/>
      <c r="L35" s="2698"/>
      <c r="M35" s="2698"/>
    </row>
    <row r="36" spans="1:18" ht="18" customHeight="1">
      <c r="A36" s="1102" t="s">
        <v>402</v>
      </c>
      <c r="B36" s="302" t="s">
        <v>734</v>
      </c>
      <c r="C36" s="21">
        <f ca="1">ROUND(C29*F36,2)</f>
        <v>42.18</v>
      </c>
      <c r="D36" s="1344" t="s">
        <v>767</v>
      </c>
      <c r="E36" s="302" t="s">
        <v>708</v>
      </c>
      <c r="F36" s="328">
        <f ca="1">INDIRECT("'数据-取费表'!Ak"&amp;$G$1)</f>
        <v>1.4999999999999999E-2</v>
      </c>
      <c r="G36" s="1384"/>
      <c r="H36" s="2698"/>
      <c r="I36" s="1398"/>
      <c r="J36" s="1399"/>
      <c r="K36" s="2542"/>
      <c r="L36" s="2698"/>
      <c r="M36" s="2698"/>
    </row>
    <row r="37" spans="1:18" ht="18" customHeight="1">
      <c r="A37" s="982" t="s">
        <v>437</v>
      </c>
      <c r="B37" s="302" t="s">
        <v>738</v>
      </c>
      <c r="C37" s="21">
        <f ca="1">ROUND(C13*F37,2)</f>
        <v>4.22</v>
      </c>
      <c r="D37" s="1344" t="s">
        <v>739</v>
      </c>
      <c r="E37" s="302" t="s">
        <v>740</v>
      </c>
      <c r="F37" s="330">
        <f ca="1">INDIRECT("'数据-取费表'!Al"&amp;$G$1)</f>
        <v>1.5E-3</v>
      </c>
      <c r="G37" s="1384"/>
      <c r="H37" s="2698"/>
      <c r="I37" s="1398"/>
      <c r="J37" s="1399"/>
      <c r="K37" s="2542"/>
      <c r="L37" s="2698"/>
      <c r="M37" s="2698"/>
    </row>
    <row r="38" spans="1:18" ht="18" customHeight="1" thickBot="1">
      <c r="A38" s="1089" t="s">
        <v>680</v>
      </c>
      <c r="B38" s="1090" t="s">
        <v>724</v>
      </c>
      <c r="C38" s="1091">
        <f ca="1">ROUND(C5*F38,2)</f>
        <v>4.54</v>
      </c>
      <c r="D38" s="1092" t="s">
        <v>744</v>
      </c>
      <c r="E38" s="1090" t="s">
        <v>740</v>
      </c>
      <c r="F38" s="1086">
        <f ca="1">INDIRECT("'数据-取费表'!Am"&amp;$G$1)</f>
        <v>0.01</v>
      </c>
      <c r="G38" s="1384"/>
      <c r="H38" s="2698"/>
      <c r="I38" s="1398"/>
      <c r="J38" s="1399"/>
      <c r="K38" s="2702"/>
      <c r="L38" s="2698"/>
      <c r="M38" s="2698"/>
    </row>
    <row r="39" spans="1:18" ht="24.6" customHeight="1" thickTop="1">
      <c r="A39" s="1079" t="s">
        <v>394</v>
      </c>
      <c r="B39" s="1094" t="s">
        <v>768</v>
      </c>
      <c r="C39" s="310">
        <f ca="1">C5-C30</f>
        <v>326</v>
      </c>
      <c r="D39" s="1095" t="s">
        <v>769</v>
      </c>
      <c r="E39" s="1096"/>
      <c r="F39" s="1097"/>
      <c r="G39" s="1384"/>
      <c r="H39" s="2698"/>
      <c r="I39" s="1398"/>
      <c r="J39" s="1399"/>
      <c r="K39" s="2702"/>
      <c r="L39" s="2698"/>
      <c r="M39" s="2698"/>
    </row>
    <row r="40" spans="1:18" ht="18" customHeight="1">
      <c r="A40" s="299" t="s">
        <v>395</v>
      </c>
      <c r="B40" s="300" t="s">
        <v>770</v>
      </c>
      <c r="C40" s="301">
        <f ca="1">ROUND(C39*(1-((1+F42)/(1+F40))^F41)/(F40-F42),0)</f>
        <v>4994</v>
      </c>
      <c r="D40" s="324" t="s">
        <v>754</v>
      </c>
      <c r="E40" s="302" t="s">
        <v>755</v>
      </c>
      <c r="F40" s="312">
        <f ca="1">INDIRECT("'数据-取费表'!I"&amp;$G$1)</f>
        <v>5.5E-2</v>
      </c>
      <c r="G40" s="1384"/>
      <c r="H40" s="1461"/>
      <c r="I40" s="1398"/>
      <c r="J40" s="1399"/>
      <c r="K40" s="2702"/>
      <c r="L40" s="1461"/>
      <c r="M40" s="1461"/>
    </row>
    <row r="41" spans="1:18" ht="18" customHeight="1">
      <c r="A41" s="304"/>
      <c r="B41" s="305"/>
      <c r="C41" s="306"/>
      <c r="D41" s="332" t="s">
        <v>771</v>
      </c>
      <c r="E41" s="302" t="s">
        <v>759</v>
      </c>
      <c r="F41" s="333">
        <f ca="1">IF(INDIRECT("'数据-取费表'!af"&amp;$G$1)=0,INDIRECT("'数据-取费表'!ae"&amp;$G$1),INDIRECT("'数据-取费表'!af"&amp;$G$1))</f>
        <v>34.520000000000003</v>
      </c>
      <c r="G41" s="1384"/>
      <c r="H41" s="1191"/>
      <c r="I41" s="1398"/>
      <c r="J41" s="1399"/>
      <c r="K41" s="2542"/>
      <c r="L41" s="1191"/>
      <c r="M41" s="1191"/>
    </row>
    <row r="42" spans="1:18" ht="18" customHeight="1">
      <c r="A42" s="308"/>
      <c r="B42" s="309"/>
      <c r="C42" s="310"/>
      <c r="D42" s="327"/>
      <c r="E42" s="302" t="s">
        <v>762</v>
      </c>
      <c r="F42" s="312">
        <f ca="1">INDIRECT("'数据-取费表'!v"&amp;$G$1)</f>
        <v>0</v>
      </c>
      <c r="G42" s="1384"/>
      <c r="H42" s="1191"/>
      <c r="I42" s="1398"/>
      <c r="J42" s="1399"/>
      <c r="K42" s="2542"/>
      <c r="L42" s="1191"/>
      <c r="M42" s="1191"/>
    </row>
    <row r="43" spans="1:18" ht="18" customHeight="1" thickBot="1">
      <c r="A43" s="334" t="s">
        <v>396</v>
      </c>
      <c r="B43" s="335" t="s">
        <v>772</v>
      </c>
      <c r="C43" s="336">
        <f ca="1">ROUND(C40*10000/F43,0)</f>
        <v>6514</v>
      </c>
      <c r="D43" s="337" t="s">
        <v>773</v>
      </c>
      <c r="E43" s="338" t="s">
        <v>774</v>
      </c>
      <c r="F43" s="339">
        <f ca="1">INDIRECT("'数据-取费表'!k"&amp;$G$1)</f>
        <v>7666.58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804</v>
      </c>
      <c r="P45" s="1461"/>
      <c r="Q45" s="1461"/>
      <c r="R45" s="1461"/>
    </row>
    <row r="46" spans="1:18" s="1384" customFormat="1" ht="13.5" thickBot="1">
      <c r="A46" s="1404" t="s">
        <v>805</v>
      </c>
      <c r="C46" s="1405">
        <f ca="1">C68-C40</f>
        <v>-5714</v>
      </c>
      <c r="D46" s="1406" t="str">
        <f>C2</f>
        <v>万元</v>
      </c>
      <c r="E46" s="1400"/>
      <c r="F46" s="1400"/>
      <c r="I46" s="1407" t="s">
        <v>806</v>
      </c>
      <c r="J46" s="1408"/>
      <c r="K46" s="1409"/>
      <c r="L46" s="1410" t="str">
        <f ca="1">IF(M47="住宅",0,IF(L48&gt;J51,L60,J60))</f>
        <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t="s">
        <v>3420</v>
      </c>
      <c r="K47" s="1416" t="s">
        <v>812</v>
      </c>
      <c r="L47" s="1417">
        <f ca="1">INDIRECT("'数据-取费表'!d"&amp;$G$1)</f>
        <v>40</v>
      </c>
      <c r="M47" s="1380" t="str">
        <f>IF(ISNUMBER(FIND("住宅",C1)),"住宅","非住宅")</f>
        <v>非住宅</v>
      </c>
      <c r="O47" s="1418" t="s">
        <v>403</v>
      </c>
      <c r="P47" s="1419" t="s">
        <v>813</v>
      </c>
      <c r="Q47" s="1420">
        <f ca="1">C40+J29</f>
        <v>4994</v>
      </c>
      <c r="R47" s="1420" t="s">
        <v>814</v>
      </c>
    </row>
    <row r="48" spans="1:18" s="1384" customFormat="1" ht="28.5" thickBot="1">
      <c r="A48" s="1110" t="s">
        <v>438</v>
      </c>
      <c r="B48" s="300" t="s">
        <v>688</v>
      </c>
      <c r="C48" s="1359">
        <f ca="1">C49+C53+C55</f>
        <v>0</v>
      </c>
      <c r="D48" s="1112"/>
      <c r="E48" s="1113"/>
      <c r="F48" s="962"/>
      <c r="G48" s="722"/>
      <c r="H48" s="723"/>
      <c r="I48" s="1421" t="s">
        <v>815</v>
      </c>
      <c r="J48" s="1422" t="s">
        <v>3421</v>
      </c>
      <c r="K48" s="1423" t="s">
        <v>816</v>
      </c>
      <c r="L48" s="1424">
        <f ca="1">INDIRECT("'数据-取费表'!f"&amp;$G$1)</f>
        <v>35.520000000000003</v>
      </c>
      <c r="O48" s="1418" t="s">
        <v>404</v>
      </c>
      <c r="P48" s="1419" t="s">
        <v>817</v>
      </c>
      <c r="Q48" s="1420" t="str">
        <f ca="1">J60</f>
        <v>0</v>
      </c>
      <c r="R48" s="1420" t="s">
        <v>818</v>
      </c>
    </row>
    <row r="49" spans="1:18" s="1384" customFormat="1" ht="13.5" thickBot="1">
      <c r="A49" s="975" t="s">
        <v>439</v>
      </c>
      <c r="B49" s="1371" t="s">
        <v>775</v>
      </c>
      <c r="C49" s="1114">
        <f ca="1">ROUND(F49*F51*F50*(1-F52)/10000,0)</f>
        <v>0</v>
      </c>
      <c r="D49" s="1055" t="s">
        <v>2105</v>
      </c>
      <c r="E49" s="1372" t="s">
        <v>776</v>
      </c>
      <c r="F49" s="1060"/>
      <c r="G49" s="1425"/>
      <c r="H49" s="723"/>
      <c r="I49" s="1421" t="s">
        <v>819</v>
      </c>
      <c r="J49" s="1426">
        <v>2026</v>
      </c>
      <c r="K49" s="1423" t="s">
        <v>820</v>
      </c>
      <c r="L49" s="1427"/>
      <c r="O49" s="1428" t="s">
        <v>405</v>
      </c>
      <c r="P49" s="1419" t="s">
        <v>821</v>
      </c>
      <c r="Q49" s="1420">
        <f ca="1">C29</f>
        <v>2812</v>
      </c>
      <c r="R49" s="1420" t="s">
        <v>814</v>
      </c>
    </row>
    <row r="50" spans="1:18" s="1384" customFormat="1" ht="13.5" thickBot="1">
      <c r="A50" s="976"/>
      <c r="B50" s="979"/>
      <c r="C50" s="1118"/>
      <c r="D50" s="953"/>
      <c r="E50" s="1056" t="s">
        <v>693</v>
      </c>
      <c r="F50" s="1057">
        <f ca="1">F7</f>
        <v>7666.58</v>
      </c>
      <c r="H50" s="723"/>
      <c r="I50" s="1421" t="s">
        <v>822</v>
      </c>
      <c r="J50" s="1429">
        <f>SUMPRODUCT((I63:I65=J47)*(J62:L62=J48)*(J63:L65))</f>
        <v>60</v>
      </c>
      <c r="K50" s="1423" t="s">
        <v>823</v>
      </c>
      <c r="L50" s="1427"/>
      <c r="M50" s="1430"/>
      <c r="O50" s="1428" t="s">
        <v>406</v>
      </c>
      <c r="P50" s="1419" t="s">
        <v>824</v>
      </c>
      <c r="Q50" s="1431" t="e">
        <f ca="1">J58</f>
        <v>#VALUE!</v>
      </c>
      <c r="R50" s="1420"/>
    </row>
    <row r="51" spans="1:18" s="1384" customFormat="1" ht="13.5" thickBot="1">
      <c r="A51" s="977"/>
      <c r="B51" s="979"/>
      <c r="C51" s="980"/>
      <c r="D51" s="953"/>
      <c r="E51" s="981" t="s">
        <v>694</v>
      </c>
      <c r="F51" s="303">
        <f ca="1">F8</f>
        <v>365</v>
      </c>
      <c r="I51" s="1432" t="s">
        <v>825</v>
      </c>
      <c r="J51" s="1433">
        <f>IF(J49="",J50,J49+J50-YEAR('数据-取费表'!B2))</f>
        <v>63</v>
      </c>
      <c r="K51" s="1434" t="s">
        <v>826</v>
      </c>
      <c r="L51" s="1435">
        <f ca="1">ROUND(-PV(INDIRECT("'数据-取费表'!h"&amp;$G$1),J51,(C39-C13*C76),0),0)</f>
        <v>2464</v>
      </c>
      <c r="M51" s="1436"/>
      <c r="O51" s="1428" t="s">
        <v>407</v>
      </c>
      <c r="P51" s="1419" t="s">
        <v>827</v>
      </c>
      <c r="Q51" s="1431">
        <f>J52</f>
        <v>7.4999999999999997E-2</v>
      </c>
      <c r="R51" s="1420"/>
    </row>
    <row r="52" spans="1:18" s="1384" customFormat="1" ht="13.5" thickBot="1">
      <c r="A52" s="977"/>
      <c r="B52" s="979"/>
      <c r="C52" s="980"/>
      <c r="D52" s="953"/>
      <c r="E52" s="981" t="s">
        <v>695</v>
      </c>
      <c r="F52" s="1054"/>
      <c r="I52" s="1437" t="s">
        <v>828</v>
      </c>
      <c r="J52" s="1438">
        <v>7.4999999999999997E-2</v>
      </c>
      <c r="K52" s="1437" t="s">
        <v>829</v>
      </c>
      <c r="L52" s="1438"/>
      <c r="O52" s="1428" t="s">
        <v>408</v>
      </c>
      <c r="P52" s="1419" t="s">
        <v>830</v>
      </c>
      <c r="Q52" s="1420">
        <f ca="1">J53</f>
        <v>34.520000000000003</v>
      </c>
      <c r="R52" s="1420" t="s">
        <v>831</v>
      </c>
    </row>
    <row r="53" spans="1:18" s="1384" customFormat="1" ht="24.75" thickBot="1">
      <c r="A53" s="1152" t="s">
        <v>440</v>
      </c>
      <c r="B53" s="1373" t="s">
        <v>696</v>
      </c>
      <c r="C53" s="316">
        <f ca="1">ROUND(IF(F53="押一",C49/12*F11,IF(F53="押二",C49/12*2*F11,IF(F53="押三",C49/12*3*F11,C54*F11))),0)</f>
        <v>0</v>
      </c>
      <c r="D53" s="1366" t="s">
        <v>2111</v>
      </c>
      <c r="E53" s="313" t="s">
        <v>697</v>
      </c>
      <c r="F53" s="1116"/>
      <c r="I53" s="1439" t="s">
        <v>832</v>
      </c>
      <c r="J53" s="2167">
        <f ca="1">IF(M47="住宅",IF(D1="——",MAX(J51,L48),MAX(J51,L48-'数据-取费表'!B24)),IF(D1="——",MIN(J51,L48),MIN(J51,L48-'数据-取费表'!B24)))</f>
        <v>34.520000000000003</v>
      </c>
      <c r="K53" s="3654" t="s">
        <v>833</v>
      </c>
      <c r="L53" s="3655"/>
      <c r="O53" s="1418" t="s">
        <v>409</v>
      </c>
      <c r="P53" s="1419" t="s">
        <v>834</v>
      </c>
      <c r="Q53" s="1420">
        <f ca="1">Q47+Q48</f>
        <v>4994</v>
      </c>
      <c r="R53" s="1420" t="s">
        <v>410</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835</v>
      </c>
      <c r="P54" s="1381"/>
      <c r="Q54" s="1381"/>
      <c r="R54" s="1381"/>
    </row>
    <row r="55" spans="1:18" s="1384" customFormat="1" ht="13.5" thickBot="1">
      <c r="A55" s="1083" t="s">
        <v>437</v>
      </c>
      <c r="B55" s="1369" t="s">
        <v>699</v>
      </c>
      <c r="C55" s="1084"/>
      <c r="D55" s="1366"/>
      <c r="E55" s="1374"/>
      <c r="F55" s="1440"/>
      <c r="I55" s="1443" t="s">
        <v>836</v>
      </c>
      <c r="J55" s="1444" t="e">
        <f ca="1">ROUND(IF(J47="钢混",J57/J50,1-(1-2%)*(J50-J57)/J50),3)</f>
        <v>#VALUE!</v>
      </c>
      <c r="K55" s="1445" t="s">
        <v>837</v>
      </c>
      <c r="L55" s="1446"/>
      <c r="O55" s="1411" t="s">
        <v>807</v>
      </c>
      <c r="P55" s="1412" t="s">
        <v>808</v>
      </c>
      <c r="Q55" s="1413" t="s">
        <v>809</v>
      </c>
      <c r="R55" s="1413" t="s">
        <v>810</v>
      </c>
    </row>
    <row r="56" spans="1:18" s="1384" customFormat="1" ht="25.5" thickTop="1" thickBot="1">
      <c r="A56" s="957">
        <v>2</v>
      </c>
      <c r="B56" s="958" t="s">
        <v>700</v>
      </c>
      <c r="C56" s="232">
        <f ca="1">C13</f>
        <v>2812</v>
      </c>
      <c r="D56" s="1447"/>
      <c r="E56" s="1448"/>
      <c r="F56" s="1440"/>
      <c r="I56" s="1449" t="s">
        <v>838</v>
      </c>
      <c r="J56" s="1450" t="s">
        <v>3396</v>
      </c>
      <c r="K56" s="1421" t="s">
        <v>839</v>
      </c>
      <c r="L56" s="1424" t="str">
        <f ca="1">IF(L48&lt;J51,"——",L48-J53)</f>
        <v>——</v>
      </c>
      <c r="O56" s="1418" t="s">
        <v>403</v>
      </c>
      <c r="P56" s="1419" t="s">
        <v>813</v>
      </c>
      <c r="Q56" s="1420">
        <f ca="1">C40+J29</f>
        <v>4994</v>
      </c>
      <c r="R56" s="1420" t="s">
        <v>814</v>
      </c>
    </row>
    <row r="57" spans="1:18" s="1384" customFormat="1" ht="24.75" thickBot="1">
      <c r="A57" s="1451"/>
      <c r="B57" s="950" t="s">
        <v>763</v>
      </c>
      <c r="C57" s="238">
        <f ca="1">C29</f>
        <v>2812</v>
      </c>
      <c r="D57" s="1452"/>
      <c r="E57" s="1453"/>
      <c r="F57" s="1454"/>
      <c r="I57" s="1455" t="s">
        <v>840</v>
      </c>
      <c r="J57" s="1456" t="str">
        <f ca="1">IF(OR(M47="住宅",J51&lt;L48,J56="是"),"——",J51-L48)</f>
        <v>——</v>
      </c>
      <c r="K57" s="1421" t="s">
        <v>841</v>
      </c>
      <c r="L57" s="1424" t="str">
        <f ca="1">IF(L48&lt;J51,"——",IF(L55="比较法",L49,IF(L55="基准地价",L50,L51)))</f>
        <v>——</v>
      </c>
      <c r="O57" s="1418" t="s">
        <v>404</v>
      </c>
      <c r="P57" s="1419" t="s">
        <v>842</v>
      </c>
      <c r="Q57" s="1420">
        <f ca="1">L60</f>
        <v>0</v>
      </c>
      <c r="R57" s="1420" t="s">
        <v>843</v>
      </c>
    </row>
    <row r="58" spans="1:18" s="1384" customFormat="1" ht="24.75" thickBot="1">
      <c r="A58" s="315" t="s">
        <v>393</v>
      </c>
      <c r="B58" s="958" t="s">
        <v>710</v>
      </c>
      <c r="C58" s="316">
        <f ca="1">ROUND(C59+C64+C65+C66,0)</f>
        <v>47</v>
      </c>
      <c r="D58" s="960" t="s">
        <v>711</v>
      </c>
      <c r="E58" s="961"/>
      <c r="F58" s="962"/>
      <c r="I58" s="1455" t="s">
        <v>844</v>
      </c>
      <c r="J58" s="1457" t="e">
        <f ca="1">IF(J55&lt;0.4,0.4,J55)</f>
        <v>#VALUE!</v>
      </c>
      <c r="K58" s="1434" t="s">
        <v>845</v>
      </c>
      <c r="L58" s="1424" t="e">
        <f ca="1">ROUND(POWER(1+L52,L47-L48)*(POWER(1+L52,L48)-1)/(POWER(1+L52,L47)-1),4)</f>
        <v>#DIV/0!</v>
      </c>
      <c r="O58" s="1428" t="s">
        <v>405</v>
      </c>
      <c r="P58" s="1419" t="s">
        <v>846</v>
      </c>
      <c r="Q58" s="1420">
        <f>IF(L55="比较法",L49,IF(L55="基准地价",L50,0))</f>
        <v>0</v>
      </c>
      <c r="R58" s="1420" t="s">
        <v>814</v>
      </c>
    </row>
    <row r="59" spans="1:18" s="1384" customFormat="1" ht="24.75" thickBot="1">
      <c r="A59" s="982" t="s">
        <v>398</v>
      </c>
      <c r="B59" s="950" t="s">
        <v>715</v>
      </c>
      <c r="C59" s="2315">
        <f ca="1">ROUND(IF(AND(项目基本情况!B11="自然人",项目基本情况!B10="北京市"),C49*F59/(1+'数据-取费表'!C42),C60+C61+C62),0)</f>
        <v>1</v>
      </c>
      <c r="D59" s="963" t="s">
        <v>716</v>
      </c>
      <c r="E59" s="964" t="s">
        <v>717</v>
      </c>
      <c r="F59" s="2314" t="str">
        <f>IF(项目基本情况!B11="企业","——",IF('数据-取费表'!B10="住宅",IF(F49*F50*F51/12/(1+'数据-取费表'!F30)&gt;100000,4%,2.5%),IF(F49*F50*F51/12/(1+'数据-取费表'!F30)&gt;100000,12%,7%)))</f>
        <v>——</v>
      </c>
      <c r="I59" s="1455" t="s">
        <v>847</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848</v>
      </c>
      <c r="Q59" s="1431">
        <f>L52</f>
        <v>0</v>
      </c>
      <c r="R59" s="1420"/>
    </row>
    <row r="60" spans="1:18" s="1384" customFormat="1" ht="16.5" thickBot="1">
      <c r="A60" s="982" t="s">
        <v>397</v>
      </c>
      <c r="B60" s="950" t="s">
        <v>719</v>
      </c>
      <c r="C60" s="21">
        <f ca="1">IF(项目基本情况!B11="自然人","——",ROUND(C48*F60/(1+'数据-取费表'!C42),2))</f>
        <v>0</v>
      </c>
      <c r="D60" s="964" t="s">
        <v>720</v>
      </c>
      <c r="E60" s="950" t="s">
        <v>708</v>
      </c>
      <c r="F60" s="331">
        <f t="shared" ref="F60:F66" si="0">F32</f>
        <v>5.5000000000000007E-2</v>
      </c>
      <c r="I60" s="1458" t="s">
        <v>849</v>
      </c>
      <c r="J60" s="1459" t="str">
        <f ca="1">IF(OR(M47="住宅",J51&lt;L48,J56="是"),"0",ROUND(J59/(1+J52)^J53,0))</f>
        <v>0</v>
      </c>
      <c r="K60" s="1460" t="s">
        <v>850</v>
      </c>
      <c r="L60" s="1459">
        <f ca="1">IF(OR(M47="住宅",L48&lt;J51),0,ROUND(L57*(L58/L59-1),0))</f>
        <v>0</v>
      </c>
      <c r="O60" s="1428" t="s">
        <v>407</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IF(项目基本情况!B11="自然人","——",IF(D61="按租金收入计税",ROUND(C49*F61/(1+'数据-取费表'!C42),2),IF(D61="按房产原值计税",ROUND(C57*F61*0.7,2),INDIRECT("'数据-取费表'!Aj"&amp;$G$1))))</f>
        <v>0</v>
      </c>
      <c r="D61" s="1370" t="s">
        <v>3336</v>
      </c>
      <c r="E61" s="950" t="s">
        <v>779</v>
      </c>
      <c r="F61" s="322">
        <f t="shared" si="0"/>
        <v>0.12</v>
      </c>
      <c r="I61" s="1461"/>
      <c r="J61" s="1461"/>
      <c r="K61" s="1461"/>
      <c r="L61" s="1461"/>
      <c r="O61" s="1428" t="s">
        <v>408</v>
      </c>
      <c r="P61" s="1419" t="str">
        <f>K59</f>
        <v>建设期及建筑物耐用年限下的土地年期修正系数Kn</v>
      </c>
      <c r="Q61" s="1420" t="e">
        <f ca="1">L59</f>
        <v>#DIV/0!</v>
      </c>
      <c r="R61" s="1420" t="s">
        <v>853</v>
      </c>
    </row>
    <row r="62" spans="1:18" s="1384" customFormat="1" ht="13.5" thickBot="1">
      <c r="A62" s="982" t="s">
        <v>780</v>
      </c>
      <c r="B62" s="949" t="s">
        <v>781</v>
      </c>
      <c r="C62" s="22">
        <f ca="1">IF(项目基本情况!B11="自然人","——",ROUND(F62*F63/10000,2))</f>
        <v>1.1599999999999999</v>
      </c>
      <c r="D62" s="965" t="s">
        <v>782</v>
      </c>
      <c r="E62" s="950" t="s">
        <v>783</v>
      </c>
      <c r="F62" s="325">
        <f t="shared" si="0"/>
        <v>1.5</v>
      </c>
      <c r="I62" s="1462" t="s">
        <v>854</v>
      </c>
      <c r="J62" s="1463" t="s">
        <v>855</v>
      </c>
      <c r="K62" s="1463" t="s">
        <v>856</v>
      </c>
      <c r="L62" s="1463" t="s">
        <v>857</v>
      </c>
      <c r="M62" s="1464" t="s">
        <v>858</v>
      </c>
      <c r="O62" s="1418" t="s">
        <v>409</v>
      </c>
      <c r="P62" s="1419" t="s">
        <v>859</v>
      </c>
      <c r="Q62" s="1420">
        <f ca="1">Q56+Q57</f>
        <v>4994</v>
      </c>
      <c r="R62" s="1420" t="s">
        <v>410</v>
      </c>
    </row>
    <row r="63" spans="1:18" s="1384" customFormat="1" ht="13.5" thickBot="1">
      <c r="A63" s="326"/>
      <c r="B63" s="956"/>
      <c r="C63" s="26"/>
      <c r="D63" s="966"/>
      <c r="E63" s="950" t="s">
        <v>784</v>
      </c>
      <c r="F63" s="303">
        <f t="shared" ca="1" si="0"/>
        <v>7720.87</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42.18</v>
      </c>
      <c r="D64" s="964" t="s">
        <v>787</v>
      </c>
      <c r="E64" s="950" t="s">
        <v>779</v>
      </c>
      <c r="F64" s="328">
        <f t="shared" ca="1" si="0"/>
        <v>1.4999999999999999E-2</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4.22</v>
      </c>
      <c r="D65" s="964" t="s">
        <v>739</v>
      </c>
      <c r="E65" s="950" t="s">
        <v>740</v>
      </c>
      <c r="F65" s="330">
        <f t="shared" ca="1" si="0"/>
        <v>1.5E-3</v>
      </c>
      <c r="I65" s="1462" t="s">
        <v>863</v>
      </c>
      <c r="J65" s="1463">
        <v>40</v>
      </c>
      <c r="K65" s="1463">
        <v>30</v>
      </c>
      <c r="L65" s="1463">
        <v>50</v>
      </c>
      <c r="M65" s="1465">
        <v>0.02</v>
      </c>
      <c r="O65" s="1418" t="s">
        <v>403</v>
      </c>
      <c r="P65" s="1419" t="s">
        <v>864</v>
      </c>
      <c r="Q65" s="1420">
        <f ca="1">C40+J29</f>
        <v>4994</v>
      </c>
      <c r="R65" s="1420" t="s">
        <v>814</v>
      </c>
    </row>
    <row r="66" spans="1:18" s="1384" customFormat="1" ht="16.5" thickBot="1">
      <c r="A66" s="982" t="s">
        <v>789</v>
      </c>
      <c r="B66" s="950" t="s">
        <v>724</v>
      </c>
      <c r="C66" s="21">
        <f ca="1">ROUND(C48*F66,2)</f>
        <v>0</v>
      </c>
      <c r="D66" s="964" t="s">
        <v>790</v>
      </c>
      <c r="E66" s="950" t="s">
        <v>708</v>
      </c>
      <c r="F66" s="312">
        <f t="shared" ca="1" si="0"/>
        <v>0.01</v>
      </c>
      <c r="O66" s="1418" t="s">
        <v>404</v>
      </c>
      <c r="P66" s="1419" t="s">
        <v>842</v>
      </c>
      <c r="Q66" s="1420">
        <f ca="1">L60</f>
        <v>0</v>
      </c>
      <c r="R66" s="1420" t="s">
        <v>865</v>
      </c>
    </row>
    <row r="67" spans="1:18" s="1384" customFormat="1" ht="16.5" thickBot="1">
      <c r="A67" s="957" t="s">
        <v>394</v>
      </c>
      <c r="B67" s="967" t="s">
        <v>748</v>
      </c>
      <c r="C67" s="316">
        <f ca="1">C48-C58</f>
        <v>-47</v>
      </c>
      <c r="D67" s="963" t="s">
        <v>749</v>
      </c>
      <c r="E67" s="968"/>
      <c r="F67" s="969"/>
      <c r="O67" s="1428" t="s">
        <v>405</v>
      </c>
      <c r="P67" s="1419" t="s">
        <v>846</v>
      </c>
      <c r="Q67" s="1466">
        <f ca="1">L51</f>
        <v>2464</v>
      </c>
      <c r="R67" s="1420" t="s">
        <v>866</v>
      </c>
    </row>
    <row r="68" spans="1:18" s="1384" customFormat="1" ht="16.5" thickBot="1">
      <c r="A68" s="947" t="s">
        <v>395</v>
      </c>
      <c r="B68" s="948" t="s">
        <v>770</v>
      </c>
      <c r="C68" s="301">
        <f ca="1">ROUND(C67*(1-((1+F70)/(1+F68))^F69)/(F68-F70),0)</f>
        <v>-720</v>
      </c>
      <c r="D68" s="965" t="s">
        <v>754</v>
      </c>
      <c r="E68" s="950" t="s">
        <v>755</v>
      </c>
      <c r="F68" s="312">
        <f ca="1">F40</f>
        <v>5.5E-2</v>
      </c>
      <c r="O68" s="1428" t="s">
        <v>406</v>
      </c>
      <c r="P68" s="1467" t="s">
        <v>867</v>
      </c>
      <c r="Q68" s="1420">
        <f ca="1">ROUND(Q69-Q70*Q71,0)</f>
        <v>129</v>
      </c>
      <c r="R68" s="1420" t="s">
        <v>414</v>
      </c>
    </row>
    <row r="69" spans="1:18" s="1384" customFormat="1" ht="13.5" thickBot="1">
      <c r="A69" s="951"/>
      <c r="B69" s="952"/>
      <c r="C69" s="306"/>
      <c r="D69" s="970" t="s">
        <v>758</v>
      </c>
      <c r="E69" s="950" t="s">
        <v>759</v>
      </c>
      <c r="F69" s="333">
        <f ca="1">F41</f>
        <v>34.520000000000003</v>
      </c>
      <c r="O69" s="1428" t="s">
        <v>411</v>
      </c>
      <c r="P69" s="1467" t="s">
        <v>868</v>
      </c>
      <c r="Q69" s="1420">
        <f ca="1">C39</f>
        <v>326</v>
      </c>
      <c r="R69" s="1420" t="s">
        <v>814</v>
      </c>
    </row>
    <row r="70" spans="1:18" s="1384" customFormat="1" ht="13.5" thickBot="1">
      <c r="A70" s="954"/>
      <c r="B70" s="955"/>
      <c r="C70" s="310"/>
      <c r="D70" s="966"/>
      <c r="E70" s="950" t="s">
        <v>762</v>
      </c>
      <c r="F70" s="1054"/>
      <c r="O70" s="1428" t="s">
        <v>412</v>
      </c>
      <c r="P70" s="1467" t="s">
        <v>869</v>
      </c>
      <c r="Q70" s="1420">
        <f ca="1">C13</f>
        <v>2812</v>
      </c>
      <c r="R70" s="1420" t="s">
        <v>814</v>
      </c>
    </row>
    <row r="71" spans="1:18" s="1384" customFormat="1" ht="13.5" thickBot="1">
      <c r="A71" s="971" t="s">
        <v>396</v>
      </c>
      <c r="B71" s="972" t="s">
        <v>772</v>
      </c>
      <c r="C71" s="336">
        <f ca="1">ROUND(C68*10000/F71,0)</f>
        <v>-939</v>
      </c>
      <c r="D71" s="973" t="s">
        <v>773</v>
      </c>
      <c r="E71" s="974" t="s">
        <v>774</v>
      </c>
      <c r="F71" s="339">
        <f ca="1">F43</f>
        <v>7666.58</v>
      </c>
      <c r="O71" s="1428" t="s">
        <v>413</v>
      </c>
      <c r="P71" s="1467" t="s">
        <v>870</v>
      </c>
      <c r="Q71" s="1431">
        <f ca="1">C76</f>
        <v>7.0000000000000007E-2</v>
      </c>
      <c r="R71" s="1420"/>
    </row>
    <row r="72" spans="1:18" s="1384" customFormat="1" ht="13.5" thickBot="1">
      <c r="B72" s="726"/>
      <c r="C72" s="726"/>
      <c r="O72" s="1428" t="s">
        <v>407</v>
      </c>
      <c r="P72" s="1419" t="s">
        <v>848</v>
      </c>
      <c r="Q72" s="1431">
        <f>L52</f>
        <v>0</v>
      </c>
      <c r="R72" s="1420"/>
    </row>
    <row r="73" spans="1:18" ht="16.5" thickBot="1">
      <c r="A73" s="1384"/>
      <c r="B73" s="726"/>
      <c r="C73" s="726"/>
      <c r="D73" s="1384"/>
      <c r="E73" s="1384"/>
      <c r="F73" s="1384"/>
      <c r="O73" s="1428" t="s">
        <v>408</v>
      </c>
      <c r="P73" s="1419" t="s">
        <v>851</v>
      </c>
      <c r="Q73" s="1420" t="e">
        <f ca="1">L58</f>
        <v>#DIV/0!</v>
      </c>
      <c r="R73" s="1420" t="s">
        <v>852</v>
      </c>
    </row>
    <row r="74" spans="1:18" ht="13.5" thickBot="1">
      <c r="A74" s="1384"/>
      <c r="B74" s="273" t="s">
        <v>871</v>
      </c>
      <c r="C74" s="1469"/>
      <c r="D74" s="1384"/>
      <c r="E74" s="1384"/>
      <c r="F74" s="1384"/>
      <c r="O74" s="1428" t="s">
        <v>415</v>
      </c>
      <c r="P74" s="1419" t="str">
        <f>K59</f>
        <v>建设期及建筑物耐用年限下的土地年期修正系数Kn</v>
      </c>
      <c r="Q74" s="1420" t="e">
        <f ca="1">L59</f>
        <v>#DIV/0!</v>
      </c>
      <c r="R74" s="1420" t="s">
        <v>853</v>
      </c>
    </row>
    <row r="75" spans="1:18" ht="13.5" thickBot="1">
      <c r="A75" s="1384"/>
      <c r="B75" s="340" t="s">
        <v>791</v>
      </c>
      <c r="C75" s="341">
        <f ca="1">ROUND(C13*C76,0)</f>
        <v>197</v>
      </c>
      <c r="D75" s="1384"/>
      <c r="E75" s="1384"/>
      <c r="F75" s="1384"/>
      <c r="K75" s="1402"/>
      <c r="L75" s="1384"/>
      <c r="O75" s="1418" t="s">
        <v>409</v>
      </c>
      <c r="P75" s="1419" t="s">
        <v>834</v>
      </c>
      <c r="Q75" s="1420">
        <f ca="1">Q65+Q66</f>
        <v>4994</v>
      </c>
      <c r="R75" s="1420" t="s">
        <v>410</v>
      </c>
    </row>
    <row r="76" spans="1:18">
      <c r="B76" s="342" t="s">
        <v>792</v>
      </c>
      <c r="C76" s="343">
        <f ca="1">INDIRECT("'数据-取费表'!j"&amp;$G$1)</f>
        <v>7.0000000000000007E-2</v>
      </c>
      <c r="I76" s="1384"/>
      <c r="J76" s="1384"/>
      <c r="K76" s="1402"/>
      <c r="L76" s="1384"/>
    </row>
    <row r="77" spans="1:18">
      <c r="B77" s="344" t="s">
        <v>793</v>
      </c>
      <c r="C77" s="345"/>
      <c r="I77" s="1384"/>
      <c r="J77" s="1384"/>
      <c r="K77" s="1402"/>
      <c r="L77" s="1384"/>
    </row>
    <row r="78" spans="1:18">
      <c r="B78" s="270" t="s">
        <v>794</v>
      </c>
      <c r="C78" s="346"/>
    </row>
    <row r="79" spans="1:18">
      <c r="B79" s="340" t="s">
        <v>795</v>
      </c>
      <c r="C79" s="274">
        <f ca="1">1-C80</f>
        <v>0.39600000000000002</v>
      </c>
    </row>
    <row r="80" spans="1:18">
      <c r="B80" s="340" t="s">
        <v>796</v>
      </c>
      <c r="C80" s="274">
        <f ca="1">ROUND(C75/C39,3)</f>
        <v>0.60399999999999998</v>
      </c>
    </row>
    <row r="81" spans="2:3">
      <c r="B81" s="270" t="s">
        <v>797</v>
      </c>
      <c r="C81" s="238"/>
    </row>
    <row r="82" spans="2:3">
      <c r="B82" s="273" t="s">
        <v>798</v>
      </c>
      <c r="C82" s="275">
        <f ca="1">1-C83</f>
        <v>0.43700000000000006</v>
      </c>
    </row>
    <row r="83" spans="2:3">
      <c r="B83" s="273" t="s">
        <v>799</v>
      </c>
      <c r="C83" s="274">
        <f ca="1">ROUND(C13/C40,3)</f>
        <v>0.56299999999999994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43</v>
      </c>
      <c r="E1" s="1363" t="s">
        <v>674</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1" t="e">
        <f ca="1">ROUND(D2/10000,4)</f>
        <v>#DIV/0!</v>
      </c>
      <c r="C2" s="1387" t="s">
        <v>875</v>
      </c>
      <c r="D2" s="1471" t="e">
        <f ca="1">C40+J29+L46</f>
        <v>#DIV/0!</v>
      </c>
      <c r="E2" s="1388" t="s">
        <v>876</v>
      </c>
      <c r="F2" s="1389"/>
      <c r="G2" s="2704"/>
      <c r="H2" s="2693"/>
      <c r="I2" s="2693"/>
      <c r="J2" s="2693"/>
      <c r="K2" s="2694"/>
      <c r="L2" s="2693"/>
      <c r="M2" s="2693"/>
    </row>
    <row r="3" spans="1:37" ht="18" customHeight="1" thickBot="1">
      <c r="A3" s="1390" t="s">
        <v>877</v>
      </c>
      <c r="B3" s="1391">
        <f ca="1">IF(ISERROR(D2/F43),0,ROUND(D2/F43,0))</f>
        <v>0</v>
      </c>
      <c r="C3" s="1387" t="s">
        <v>878</v>
      </c>
      <c r="D3" s="1387"/>
      <c r="E3" s="1388"/>
      <c r="F3" s="1389"/>
      <c r="G3" s="2704"/>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398</v>
      </c>
      <c r="B6" s="3656" t="s">
        <v>690</v>
      </c>
      <c r="C6" s="1074">
        <f ca="1">ROUND(F6*F8*F7*(1-F9),0)</f>
        <v>0</v>
      </c>
      <c r="D6" s="155" t="s">
        <v>2101</v>
      </c>
      <c r="E6" s="302" t="s">
        <v>692</v>
      </c>
      <c r="F6" s="303">
        <f ca="1">INDIRECT("'数据-取费表'!u"&amp;$G$1)</f>
        <v>0</v>
      </c>
      <c r="G6" s="1384"/>
      <c r="H6" s="1069" t="s">
        <v>398</v>
      </c>
      <c r="I6" s="3656" t="s">
        <v>690</v>
      </c>
      <c r="J6" s="301">
        <f ca="1">ROUND(M6*M8*M7*(1-M9),0)</f>
        <v>0</v>
      </c>
      <c r="K6" s="1376" t="s">
        <v>2102</v>
      </c>
      <c r="L6" s="302" t="s">
        <v>692</v>
      </c>
      <c r="M6" s="303">
        <f ca="1">INDIRECT("'数据-取费表'!z"&amp;$G$1)</f>
        <v>0</v>
      </c>
    </row>
    <row r="7" spans="1:37" ht="18" customHeight="1">
      <c r="A7" s="1073"/>
      <c r="B7" s="3657"/>
      <c r="C7" s="1075"/>
      <c r="D7" s="307"/>
      <c r="E7" s="1076" t="s">
        <v>693</v>
      </c>
      <c r="F7" s="303">
        <f ca="1">IF(INDIRECT("'数据-取费表'!ah"&amp;$G$1)="",INDIRECT("'数据-取费表'!k"&amp;$G$1),INDIRECT("'数据-取费表'!ah"&amp;$G$1))</f>
        <v>0</v>
      </c>
      <c r="G7" s="1384"/>
      <c r="H7" s="304"/>
      <c r="I7" s="3657"/>
      <c r="J7" s="306"/>
      <c r="K7" s="307"/>
      <c r="L7" s="302" t="s">
        <v>693</v>
      </c>
      <c r="M7" s="303">
        <f ca="1">F7</f>
        <v>0</v>
      </c>
    </row>
    <row r="8" spans="1:37" ht="18" customHeight="1">
      <c r="A8" s="304"/>
      <c r="B8" s="3657"/>
      <c r="C8" s="306"/>
      <c r="D8" s="307"/>
      <c r="E8" s="302" t="s">
        <v>694</v>
      </c>
      <c r="F8" s="303">
        <f ca="1">INDIRECT("'数据-取费表'!ai"&amp;$G$1)</f>
        <v>0</v>
      </c>
      <c r="G8" s="1384"/>
      <c r="H8" s="304"/>
      <c r="I8" s="3657"/>
      <c r="J8" s="306"/>
      <c r="K8" s="307"/>
      <c r="L8" s="302" t="s">
        <v>694</v>
      </c>
      <c r="M8" s="303">
        <f ca="1">INDIRECT("'数据-取费表'!ai"&amp;$G$1)</f>
        <v>0</v>
      </c>
    </row>
    <row r="9" spans="1:37" ht="18" customHeight="1">
      <c r="A9" s="304"/>
      <c r="B9" s="3658"/>
      <c r="C9" s="306"/>
      <c r="D9" s="307"/>
      <c r="E9" s="302" t="s">
        <v>695</v>
      </c>
      <c r="F9" s="312">
        <f ca="1">INDIRECT("'数据-取费表'!w"&amp;$G$1)</f>
        <v>0</v>
      </c>
      <c r="G9" s="1384"/>
      <c r="H9" s="304"/>
      <c r="I9" s="3658"/>
      <c r="J9" s="306"/>
      <c r="K9" s="307"/>
      <c r="L9" s="313" t="s">
        <v>695</v>
      </c>
      <c r="M9" s="314">
        <f ca="1">INDIRECT("'数据-取费表'!ab"&amp;$G$1)</f>
        <v>0</v>
      </c>
    </row>
    <row r="10" spans="1:37" ht="18" customHeight="1">
      <c r="A10" s="1069" t="s">
        <v>402</v>
      </c>
      <c r="B10" s="1365" t="s">
        <v>696</v>
      </c>
      <c r="C10" s="316">
        <f ca="1">ROUND(IF(F10="押一",C6/12*F11,IF(F10="押二",C6/12*2*F11,IF(F10="押三",C6/12*3*F11,C11*F11))),0)</f>
        <v>0</v>
      </c>
      <c r="D10" s="1366" t="s">
        <v>2111</v>
      </c>
      <c r="E10" s="313" t="s">
        <v>697</v>
      </c>
      <c r="F10" s="1116"/>
      <c r="G10" s="1384"/>
      <c r="H10" s="1069" t="s">
        <v>402</v>
      </c>
      <c r="I10" s="1365" t="s">
        <v>696</v>
      </c>
      <c r="J10" s="301">
        <f ca="1">ROUND(IF(M10="押一",J6/12*M11,IF(M10="押二",J6/12*2*M11,IF(M10="押三",J6/12*3*M11,J11*M11))),0)</f>
        <v>0</v>
      </c>
      <c r="K10" s="1377" t="s">
        <v>2113</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437</v>
      </c>
      <c r="B12" s="1369" t="s">
        <v>699</v>
      </c>
      <c r="C12" s="1084"/>
      <c r="D12" s="1085"/>
      <c r="E12" s="1090"/>
      <c r="F12" s="1086"/>
      <c r="G12" s="1384"/>
      <c r="H12" s="1083" t="s">
        <v>437</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397</v>
      </c>
      <c r="B14" s="302" t="s">
        <v>703</v>
      </c>
      <c r="C14" s="318">
        <f ca="1">ROUND(INDIRECT("'数据-取费表'!l"&amp;$G$1)*F43+'数据-取费表'!L14*INDIRECT("'数据-取费表'!S"&amp;$G$1),0)</f>
        <v>0</v>
      </c>
      <c r="D14" s="1345" t="s">
        <v>704</v>
      </c>
      <c r="E14" s="1342"/>
      <c r="F14" s="319"/>
      <c r="G14" s="1384"/>
      <c r="H14" s="982" t="s">
        <v>398</v>
      </c>
      <c r="I14" s="302" t="s">
        <v>705</v>
      </c>
      <c r="J14" s="21">
        <f ca="1">C29</f>
        <v>0</v>
      </c>
      <c r="K14" s="12"/>
      <c r="L14" s="807"/>
      <c r="M14" s="808"/>
    </row>
    <row r="15" spans="1:37" s="1397" customFormat="1" ht="18" customHeight="1" thickBot="1">
      <c r="A15" s="982" t="s">
        <v>399</v>
      </c>
      <c r="B15" s="302" t="s">
        <v>706</v>
      </c>
      <c r="C15" s="21">
        <f ca="1">ROUND(C14*F15,0)</f>
        <v>0</v>
      </c>
      <c r="D15" s="320" t="s">
        <v>707</v>
      </c>
      <c r="E15" s="320" t="s">
        <v>708</v>
      </c>
      <c r="F15" s="321">
        <f>'数据-取费表'!B33</f>
        <v>0.05</v>
      </c>
      <c r="G15" s="1396"/>
      <c r="H15" s="1089" t="s">
        <v>402</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393</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398</v>
      </c>
      <c r="I17" s="302" t="s">
        <v>715</v>
      </c>
      <c r="J17" s="2315">
        <f ca="1">ROUND(IF(AND(项目基本情况!B11="自然人",项目基本情况!B10="北京市"),J6*M17/(1+'数据-取费表'!C42),J18+J19+J20),0)</f>
        <v>0</v>
      </c>
      <c r="K17" s="1345" t="s">
        <v>716</v>
      </c>
      <c r="L17" s="1344" t="s">
        <v>717</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397</v>
      </c>
      <c r="I18" s="302" t="s">
        <v>719</v>
      </c>
      <c r="J18" s="21">
        <f ca="1">ROUND(J6*M18/(1+'数据-取费表'!C42),0)</f>
        <v>0</v>
      </c>
      <c r="K18" s="1344" t="s">
        <v>720</v>
      </c>
      <c r="L18" s="302" t="s">
        <v>708</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721</v>
      </c>
      <c r="C19" s="21">
        <f ca="1">SUM(C14:C18)</f>
        <v>0</v>
      </c>
      <c r="D19" s="131" t="s">
        <v>722</v>
      </c>
      <c r="E19" s="1360"/>
      <c r="F19" s="23"/>
      <c r="G19" s="1384"/>
      <c r="H19" s="982" t="s">
        <v>399</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402</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单利计息。建造成本、管理费用、销售费用产生的利息。</v>
      </c>
      <c r="E22" s="1360"/>
      <c r="F22" s="23"/>
      <c r="G22" s="1384"/>
      <c r="H22" s="982" t="s">
        <v>402</v>
      </c>
      <c r="I22" s="302" t="s">
        <v>734</v>
      </c>
      <c r="J22" s="21">
        <f ca="1">ROUND(J14*M22,0)</f>
        <v>0</v>
      </c>
      <c r="K22" s="1344" t="s">
        <v>735</v>
      </c>
      <c r="L22" s="302" t="s">
        <v>708</v>
      </c>
      <c r="M22" s="328">
        <f ca="1">INDIRECT("'数据-取费表'!Ak"&amp;$G$1)</f>
        <v>0</v>
      </c>
    </row>
    <row r="23" spans="1:37" s="1397" customFormat="1" ht="18" customHeight="1">
      <c r="A23" s="982" t="s">
        <v>397</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737</v>
      </c>
      <c r="F23" s="325">
        <f>'数据-取费表'!B20</f>
        <v>1</v>
      </c>
      <c r="G23" s="1396"/>
      <c r="H23" s="982" t="s">
        <v>437</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2.9999999999999997E-4</v>
      </c>
      <c r="D24" s="329" t="str">
        <f>IF(F23&lt;=1,"销售费用×利率×(建设周期÷2)","销售费用×((1+利率)^(建设周期÷2)-1)")</f>
        <v>销售费用×利率×(建设周期÷2)</v>
      </c>
      <c r="E24" s="302" t="s">
        <v>743</v>
      </c>
      <c r="F24" s="331">
        <f ca="1">'数据-取费表'!B40</f>
        <v>3.4500000000000003E-2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394</v>
      </c>
      <c r="I25" s="1094" t="s">
        <v>748</v>
      </c>
      <c r="J25" s="310">
        <f ca="1">J5-J16</f>
        <v>0</v>
      </c>
      <c r="K25" s="1095" t="s">
        <v>749</v>
      </c>
      <c r="L25" s="1096"/>
      <c r="M25" s="1097"/>
    </row>
    <row r="26" spans="1:37" ht="18" customHeight="1">
      <c r="A26" s="982" t="s">
        <v>397</v>
      </c>
      <c r="B26" s="302" t="s">
        <v>750</v>
      </c>
      <c r="C26" s="21">
        <f ca="1">ROUND((C19+C20)*F26,0)</f>
        <v>0</v>
      </c>
      <c r="D26" s="323" t="s">
        <v>751</v>
      </c>
      <c r="E26" s="313" t="s">
        <v>752</v>
      </c>
      <c r="F26" s="312">
        <f ca="1">INDIRECT("'数据-取费表'!q"&amp;$G$1)</f>
        <v>0</v>
      </c>
      <c r="G26" s="1384"/>
      <c r="H26" s="299" t="s">
        <v>395</v>
      </c>
      <c r="I26" s="300" t="s">
        <v>753</v>
      </c>
      <c r="J26" s="301">
        <f ca="1">IF(J5&lt;&gt;0,ROUND(J25*(1-((1+M28)/(1+M26))^M27)/(M26-M28),0),0)</f>
        <v>0</v>
      </c>
      <c r="K26" s="324" t="s">
        <v>754</v>
      </c>
      <c r="L26" s="302" t="s">
        <v>755</v>
      </c>
      <c r="M26" s="312">
        <f ca="1">INDIRECT("'数据-取费表'!I"&amp;$G$1)</f>
        <v>0</v>
      </c>
    </row>
    <row r="27" spans="1:37" ht="18" customHeight="1">
      <c r="A27" s="982" t="s">
        <v>399</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400</v>
      </c>
      <c r="B28" s="302" t="s">
        <v>760</v>
      </c>
      <c r="C28" s="21">
        <f>ROUND(F28/(1+'数据-取费表'!C42),4)</f>
        <v>5.2400000000000002E-2</v>
      </c>
      <c r="D28" s="323" t="s">
        <v>761</v>
      </c>
      <c r="E28" s="302" t="s">
        <v>708</v>
      </c>
      <c r="F28" s="322">
        <f>'数据-取费表'!B41</f>
        <v>5.5000000000000007E-2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763</v>
      </c>
      <c r="C29" s="1091">
        <f ca="1">ROUND((C19+C20+C23+C26)/(1-F21-C24-C27-C28),0)</f>
        <v>0</v>
      </c>
      <c r="D29" s="1092"/>
      <c r="E29" s="1090"/>
      <c r="F29" s="1093"/>
      <c r="G29" s="1396"/>
      <c r="H29" s="334" t="s">
        <v>396</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710</v>
      </c>
      <c r="C30" s="310">
        <f ca="1">ROUND(C31+C36+C37+C38,0)</f>
        <v>0</v>
      </c>
      <c r="D30" s="1087" t="s">
        <v>711</v>
      </c>
      <c r="E30" s="1088"/>
      <c r="F30" s="1072"/>
      <c r="G30" s="1384"/>
      <c r="H30" s="2695"/>
      <c r="I30" s="1398"/>
      <c r="J30" s="1399"/>
      <c r="K30" s="2473"/>
      <c r="L30" s="2696"/>
      <c r="M30" s="2697"/>
    </row>
    <row r="31" spans="1:37" ht="18" customHeight="1">
      <c r="A31" s="982" t="s">
        <v>398</v>
      </c>
      <c r="B31" s="302" t="s">
        <v>715</v>
      </c>
      <c r="C31" s="2315">
        <f ca="1">ROUND(IF(AND(项目基本情况!B11="自然人",项目基本情况!B10="北京市"),C6*F31/(1+'数据-取费表'!C42),C32+C33+C34),0)</f>
        <v>0</v>
      </c>
      <c r="D31" s="1345" t="s">
        <v>716</v>
      </c>
      <c r="E31" s="1344" t="s">
        <v>766</v>
      </c>
      <c r="F31" s="2314" t="str">
        <f>IF(项目基本情况!B11="企业","——",IF(M47="住宅",IF(F6*F7*F8/12/(1+'数据-取费表'!F30)&gt;100000,4%,2.5%),IF(F6*F7*F8/12/(1+'数据-取费表'!F30)&gt;100000,12%,7%)))</f>
        <v>——</v>
      </c>
      <c r="G31" s="1384"/>
      <c r="H31" s="2806" t="s">
        <v>2305</v>
      </c>
      <c r="I31" s="1398"/>
      <c r="J31" s="1399"/>
      <c r="K31" s="2473"/>
      <c r="L31" s="2696"/>
      <c r="M31" s="2697"/>
    </row>
    <row r="32" spans="1:37" ht="18" customHeight="1">
      <c r="A32" s="982" t="s">
        <v>397</v>
      </c>
      <c r="B32" s="302" t="s">
        <v>719</v>
      </c>
      <c r="C32" s="21">
        <f ca="1">IF(项目基本情况!B11="自然人","——",ROUND(C6*F32/(1+'数据-取费表'!C42),0))</f>
        <v>0</v>
      </c>
      <c r="D32" s="1344" t="s">
        <v>720</v>
      </c>
      <c r="E32" s="302" t="s">
        <v>708</v>
      </c>
      <c r="F32" s="331">
        <f>'数据-取费表'!B41</f>
        <v>5.5000000000000007E-2</v>
      </c>
      <c r="G32" s="1384"/>
      <c r="H32" s="2695"/>
      <c r="I32" s="1398"/>
      <c r="J32" s="1399"/>
      <c r="K32" s="2473"/>
      <c r="L32" s="2696"/>
      <c r="M32" s="2697"/>
    </row>
    <row r="33" spans="1:18" ht="18" customHeight="1">
      <c r="A33" s="982" t="s">
        <v>399</v>
      </c>
      <c r="B33" s="302" t="s">
        <v>723</v>
      </c>
      <c r="C33" s="21">
        <f ca="1">IF(项目基本情况!B11="自然人","——",IF(D33="按租金收入计税",ROUND(C6*F33/(1+'数据-取费表'!C42),0),IF(D33="按房产原值计税",ROUND(C29*F33*0.7,0),INDIRECT("'数据-取费表'!Aj"&amp;$G$1))))</f>
        <v>0</v>
      </c>
      <c r="D33" s="1370" t="s">
        <v>3336</v>
      </c>
      <c r="E33" s="302" t="s">
        <v>708</v>
      </c>
      <c r="F33" s="322">
        <f>IF(D33="按票据","——",IF(D33="按租金收入计税",'数据-取费表'!B51,'数据-取费表'!B50))</f>
        <v>0.12</v>
      </c>
      <c r="G33" s="1384"/>
      <c r="H33" s="2698"/>
      <c r="I33" s="1398"/>
      <c r="J33" s="1399"/>
      <c r="K33" s="2699"/>
      <c r="L33" s="2698"/>
      <c r="M33" s="2698"/>
    </row>
    <row r="34" spans="1:18" ht="18" customHeight="1">
      <c r="A34" s="1069" t="s">
        <v>676</v>
      </c>
      <c r="B34" s="155" t="s">
        <v>726</v>
      </c>
      <c r="C34" s="22">
        <f ca="1">IF(项目基本情况!B11="自然人","——",ROUND(F34*F35,0))</f>
        <v>0</v>
      </c>
      <c r="D34" s="324" t="s">
        <v>727</v>
      </c>
      <c r="E34" s="302" t="s">
        <v>728</v>
      </c>
      <c r="F34" s="325">
        <f>'数据-取费表'!B52</f>
        <v>1.5</v>
      </c>
      <c r="G34" s="1384"/>
      <c r="H34" s="2695"/>
      <c r="I34" s="1398"/>
      <c r="J34" s="1399"/>
      <c r="K34" s="2700"/>
      <c r="L34" s="2701"/>
      <c r="M34" s="2701"/>
    </row>
    <row r="35" spans="1:18" ht="18" customHeight="1">
      <c r="A35" s="1103"/>
      <c r="B35" s="1101"/>
      <c r="C35" s="26"/>
      <c r="D35" s="327"/>
      <c r="E35" s="302" t="s">
        <v>732</v>
      </c>
      <c r="F35" s="303">
        <f ca="1">INDIRECT("'数据-取费表'!r"&amp;$G$1)</f>
        <v>0</v>
      </c>
      <c r="G35" s="1384"/>
      <c r="H35" s="2695"/>
      <c r="I35" s="1398"/>
      <c r="J35" s="1399"/>
      <c r="K35" s="2699"/>
      <c r="L35" s="2698"/>
      <c r="M35" s="2698"/>
    </row>
    <row r="36" spans="1:18" ht="18" customHeight="1">
      <c r="A36" s="1102" t="s">
        <v>402</v>
      </c>
      <c r="B36" s="302" t="s">
        <v>734</v>
      </c>
      <c r="C36" s="21">
        <f ca="1">ROUND(C29*F36,0)</f>
        <v>0</v>
      </c>
      <c r="D36" s="1344" t="s">
        <v>767</v>
      </c>
      <c r="E36" s="302" t="s">
        <v>708</v>
      </c>
      <c r="F36" s="328">
        <f ca="1">INDIRECT("'数据-取费表'!Ak"&amp;$G$1)</f>
        <v>0</v>
      </c>
      <c r="G36" s="1384"/>
      <c r="H36" s="2698"/>
      <c r="I36" s="1398"/>
      <c r="J36" s="1399"/>
      <c r="K36" s="2542"/>
      <c r="L36" s="2698"/>
      <c r="M36" s="2698"/>
    </row>
    <row r="37" spans="1:18" ht="18" customHeight="1">
      <c r="A37" s="982" t="s">
        <v>437</v>
      </c>
      <c r="B37" s="302" t="s">
        <v>738</v>
      </c>
      <c r="C37" s="21">
        <f ca="1">ROUND(C13*F37,0)</f>
        <v>0</v>
      </c>
      <c r="D37" s="1344" t="s">
        <v>739</v>
      </c>
      <c r="E37" s="302" t="s">
        <v>740</v>
      </c>
      <c r="F37" s="330">
        <f ca="1">INDIRECT("'数据-取费表'!Al"&amp;$G$1)</f>
        <v>0</v>
      </c>
      <c r="G37" s="1384"/>
      <c r="H37" s="2698"/>
      <c r="I37" s="1398"/>
      <c r="J37" s="1399"/>
      <c r="K37" s="2542"/>
      <c r="L37" s="2698"/>
      <c r="M37" s="2698"/>
    </row>
    <row r="38" spans="1:18" ht="18" customHeight="1" thickBot="1">
      <c r="A38" s="1089" t="s">
        <v>680</v>
      </c>
      <c r="B38" s="1090" t="s">
        <v>724</v>
      </c>
      <c r="C38" s="1091">
        <f ca="1">ROUND(C5*F38,0)</f>
        <v>0</v>
      </c>
      <c r="D38" s="1092" t="s">
        <v>744</v>
      </c>
      <c r="E38" s="1090" t="s">
        <v>740</v>
      </c>
      <c r="F38" s="1086">
        <f ca="1">INDIRECT("'数据-取费表'!Am"&amp;$G$1)</f>
        <v>0</v>
      </c>
      <c r="G38" s="1384"/>
      <c r="H38" s="2698"/>
      <c r="I38" s="1398"/>
      <c r="J38" s="1399"/>
      <c r="K38" s="2702"/>
      <c r="L38" s="2698"/>
      <c r="M38" s="2698"/>
    </row>
    <row r="39" spans="1:18" ht="24.6" customHeight="1" thickTop="1">
      <c r="A39" s="1079" t="s">
        <v>394</v>
      </c>
      <c r="B39" s="1094" t="s">
        <v>768</v>
      </c>
      <c r="C39" s="310">
        <f ca="1">C5-C30</f>
        <v>0</v>
      </c>
      <c r="D39" s="1095" t="s">
        <v>769</v>
      </c>
      <c r="E39" s="1096"/>
      <c r="F39" s="1097"/>
      <c r="G39" s="1384"/>
      <c r="H39" s="2698"/>
      <c r="I39" s="1398"/>
      <c r="J39" s="1399"/>
      <c r="K39" s="2702"/>
      <c r="L39" s="2698"/>
      <c r="M39" s="2698"/>
    </row>
    <row r="40" spans="1:18" ht="18" customHeight="1">
      <c r="A40" s="299" t="s">
        <v>395</v>
      </c>
      <c r="B40" s="300" t="s">
        <v>770</v>
      </c>
      <c r="C40" s="301" t="e">
        <f ca="1">ROUND(C39*(1-((1+F42)/(1+F40))^F41)/(F40-F42),0)</f>
        <v>#DIV/0!</v>
      </c>
      <c r="D40" s="324" t="s">
        <v>754</v>
      </c>
      <c r="E40" s="302" t="s">
        <v>755</v>
      </c>
      <c r="F40" s="312">
        <f ca="1">INDIRECT("'数据-取费表'!I"&amp;$G$1)</f>
        <v>0</v>
      </c>
      <c r="G40" s="1384"/>
      <c r="H40" s="1461"/>
      <c r="I40" s="1398"/>
      <c r="J40" s="1399"/>
      <c r="K40" s="2702"/>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762</v>
      </c>
      <c r="F42" s="312">
        <f ca="1">INDIRECT("'数据-取费表'!v"&amp;$G$1)</f>
        <v>0</v>
      </c>
      <c r="G42" s="1384"/>
      <c r="H42" s="1191"/>
      <c r="I42" s="1398"/>
      <c r="J42" s="1399"/>
      <c r="K42" s="2542"/>
      <c r="L42" s="1191"/>
      <c r="M42" s="1191"/>
    </row>
    <row r="43" spans="1:18" ht="18" customHeight="1" thickBot="1">
      <c r="A43" s="334" t="s">
        <v>396</v>
      </c>
      <c r="B43" s="335" t="s">
        <v>772</v>
      </c>
      <c r="C43" s="336" t="e">
        <f ca="1">ROUND(C40/F43,0)</f>
        <v>#DIV/0!</v>
      </c>
      <c r="D43" s="337" t="s">
        <v>773</v>
      </c>
      <c r="E43" s="338" t="s">
        <v>774</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7" t="s">
        <v>3352</v>
      </c>
      <c r="B45" s="1400"/>
      <c r="C45" s="1472" t="e">
        <f ca="1">ROUND((C68-C40)/10000,4)</f>
        <v>#DIV/0!</v>
      </c>
      <c r="D45" s="3428"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403</v>
      </c>
      <c r="P47" s="1419" t="s">
        <v>813</v>
      </c>
      <c r="Q47" s="1420" t="e">
        <f ca="1">C40+J29</f>
        <v>#DIV/0!</v>
      </c>
      <c r="R47" s="1420" t="s">
        <v>814</v>
      </c>
    </row>
    <row r="48" spans="1:18" s="1384" customFormat="1" ht="28.5" thickBot="1">
      <c r="A48" s="1110" t="s">
        <v>438</v>
      </c>
      <c r="B48" s="300" t="s">
        <v>688</v>
      </c>
      <c r="C48" s="1359">
        <f ca="1">C49+C53+C55</f>
        <v>0</v>
      </c>
      <c r="D48" s="1112"/>
      <c r="E48" s="1113"/>
      <c r="F48" s="962"/>
      <c r="G48" s="722"/>
      <c r="H48" s="723"/>
      <c r="I48" s="1421" t="s">
        <v>815</v>
      </c>
      <c r="J48" s="1422"/>
      <c r="K48" s="1423" t="s">
        <v>816</v>
      </c>
      <c r="L48" s="1424">
        <f ca="1">INDIRECT("'数据-取费表'!f"&amp;$G$1)</f>
        <v>0</v>
      </c>
      <c r="O48" s="1418" t="s">
        <v>404</v>
      </c>
      <c r="P48" s="1419" t="s">
        <v>817</v>
      </c>
      <c r="Q48" s="1420" t="e">
        <f ca="1">J60</f>
        <v>#DIV/0!</v>
      </c>
      <c r="R48" s="1420" t="s">
        <v>818</v>
      </c>
    </row>
    <row r="49" spans="1:18" s="1384" customFormat="1" ht="13.5" thickBot="1">
      <c r="A49" s="975" t="s">
        <v>439</v>
      </c>
      <c r="B49" s="1371" t="s">
        <v>775</v>
      </c>
      <c r="C49" s="1114">
        <f ca="1">ROUND(F49*F51*F50*(1-F52),0)</f>
        <v>0</v>
      </c>
      <c r="D49" s="1055" t="s">
        <v>691</v>
      </c>
      <c r="E49" s="1372" t="s">
        <v>776</v>
      </c>
      <c r="F49" s="1060"/>
      <c r="G49" s="1425"/>
      <c r="H49" s="723"/>
      <c r="I49" s="1421" t="s">
        <v>819</v>
      </c>
      <c r="J49" s="1426"/>
      <c r="K49" s="1423" t="s">
        <v>820</v>
      </c>
      <c r="L49" s="1427"/>
      <c r="O49" s="1428" t="s">
        <v>405</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406</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407</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408</v>
      </c>
      <c r="P52" s="1419" t="s">
        <v>830</v>
      </c>
      <c r="Q52" s="1420">
        <f ca="1">J53</f>
        <v>0</v>
      </c>
      <c r="R52" s="1420" t="s">
        <v>831</v>
      </c>
    </row>
    <row r="53" spans="1:18" s="1384" customFormat="1" ht="30.75" customHeight="1" thickBot="1">
      <c r="A53" s="1111" t="s">
        <v>440</v>
      </c>
      <c r="B53" s="323" t="s">
        <v>696</v>
      </c>
      <c r="C53" s="316">
        <f ca="1">ROUND(IF(F53="押一",C49/12*F11,IF(F53="押二",C49/12*2*F11,IF(F53="押三",C49/12*3*F11,C54*F11))),0)</f>
        <v>0</v>
      </c>
      <c r="D53" s="1366" t="s">
        <v>2114</v>
      </c>
      <c r="E53" s="313" t="s">
        <v>697</v>
      </c>
      <c r="F53" s="1116"/>
      <c r="I53" s="1439" t="s">
        <v>832</v>
      </c>
      <c r="J53" s="2167">
        <f ca="1">IF(M47="住宅",IF(D1="——",MAX(J51,L48),MAX(J51,L48-'数据-取费表'!B24)),IF(D1="——",MIN(J51,L48),MIN(J51,L48-'数据-取费表'!B24)))</f>
        <v>0</v>
      </c>
      <c r="K53" s="3654" t="s">
        <v>833</v>
      </c>
      <c r="L53" s="3655"/>
      <c r="O53" s="1418" t="s">
        <v>409</v>
      </c>
      <c r="P53" s="1419" t="s">
        <v>834</v>
      </c>
      <c r="Q53" s="1420" t="e">
        <f ca="1">Q47+Q48</f>
        <v>#DIV/0!</v>
      </c>
      <c r="R53" s="1420" t="s">
        <v>410</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437</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403</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404</v>
      </c>
      <c r="P57" s="1419" t="s">
        <v>889</v>
      </c>
      <c r="Q57" s="1420" t="e">
        <f ca="1">L60</f>
        <v>#DIV/0!</v>
      </c>
      <c r="R57" s="1420" t="s">
        <v>890</v>
      </c>
    </row>
    <row r="58" spans="1:18" s="1384" customFormat="1" ht="24.75" thickBot="1">
      <c r="A58" s="315" t="s">
        <v>393</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405</v>
      </c>
      <c r="P58" s="1419" t="s">
        <v>846</v>
      </c>
      <c r="Q58" s="1420">
        <f>IF(L55="比较法",L49,IF(L55="基准地价",L50,0))</f>
        <v>0</v>
      </c>
      <c r="R58" s="1420" t="s">
        <v>814</v>
      </c>
    </row>
    <row r="59" spans="1:18" s="1384" customFormat="1" ht="24.75" thickBot="1">
      <c r="A59" s="982" t="s">
        <v>398</v>
      </c>
      <c r="B59" s="950" t="s">
        <v>715</v>
      </c>
      <c r="C59" s="2315">
        <f ca="1">ROUND(IF(AND(项目基本情况!B11="自然人",项目基本情况!B10="北京市"),C49*F59/(1+'数据-取费表'!C42),C60+C61+C62),0)</f>
        <v>0</v>
      </c>
      <c r="D59" s="963" t="s">
        <v>716</v>
      </c>
      <c r="E59" s="964" t="s">
        <v>717</v>
      </c>
      <c r="F59" s="2314" t="str">
        <f>IF(项目基本情况!B11="企业","——",IF('数据-取费表'!B10="住宅",IF(F49*F50*F51/12/(1+'数据-取费表'!F30)&gt;100000,4%,2.5%),IF(F49*F50*F51/12/(1+'数据-取费表'!F30)&gt;100000,12%,7%)))</f>
        <v>——</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848</v>
      </c>
      <c r="Q59" s="1431">
        <f>L52</f>
        <v>0</v>
      </c>
      <c r="R59" s="1420"/>
    </row>
    <row r="60" spans="1:18" s="1384" customFormat="1" ht="16.5" thickBot="1">
      <c r="A60" s="982" t="s">
        <v>397</v>
      </c>
      <c r="B60" s="950" t="s">
        <v>719</v>
      </c>
      <c r="C60" s="21">
        <f ca="1">IF(项目基本情况!B11="自然人","——",ROUND(C48*F60/(1+'数据-取费表'!C42),0))</f>
        <v>0</v>
      </c>
      <c r="D60" s="964" t="s">
        <v>720</v>
      </c>
      <c r="E60" s="950" t="s">
        <v>708</v>
      </c>
      <c r="F60" s="331">
        <f t="shared" ref="F60:F66" si="0">F32</f>
        <v>5.5000000000000007E-2</v>
      </c>
      <c r="I60" s="1458" t="s">
        <v>849</v>
      </c>
      <c r="J60" s="1459" t="e">
        <f ca="1">IF(OR(M47="住宅",J51&lt;L48,J56="是"),"0",ROUND(J59/(1+J52)^J53,0))</f>
        <v>#DIV/0!</v>
      </c>
      <c r="K60" s="1460" t="s">
        <v>850</v>
      </c>
      <c r="L60" s="1459" t="e">
        <f ca="1">IF(OR(M47="住宅",L48&lt;J51),0,ROUND(L57*(L58/L59-1),0))</f>
        <v>#DIV/0!</v>
      </c>
      <c r="O60" s="1428" t="s">
        <v>407</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IF(项目基本情况!B11="自然人","——",IF(D61="按租金收入计税",ROUND(C49*F61/(1+'数据-取费表'!C42),0),IF(D61="按房产原值计税",ROUND(C57*F61*0.7,0),INDIRECT("'数据-取费表'!Aj"&amp;$G$1))))</f>
        <v>0</v>
      </c>
      <c r="D61" s="1370" t="s">
        <v>3336</v>
      </c>
      <c r="E61" s="950" t="s">
        <v>779</v>
      </c>
      <c r="F61" s="322">
        <f t="shared" si="0"/>
        <v>0.12</v>
      </c>
      <c r="I61" s="1461"/>
      <c r="J61" s="1461"/>
      <c r="K61" s="1461"/>
      <c r="L61" s="1461"/>
      <c r="O61" s="1428" t="s">
        <v>408</v>
      </c>
      <c r="P61" s="1419" t="str">
        <f>K59</f>
        <v>建筑物剩余耐用年限下的土地年期修正系数Kn</v>
      </c>
      <c r="Q61" s="1420" t="e">
        <f ca="1">L59</f>
        <v>#DIV/0!</v>
      </c>
      <c r="R61" s="1420" t="s">
        <v>853</v>
      </c>
    </row>
    <row r="62" spans="1:18" s="1384" customFormat="1" ht="13.5" thickBot="1">
      <c r="A62" s="982" t="s">
        <v>780</v>
      </c>
      <c r="B62" s="949" t="s">
        <v>781</v>
      </c>
      <c r="C62" s="22">
        <f ca="1">IF(项目基本情况!B11="自然人","——",ROUND(F62*F63,0))</f>
        <v>0</v>
      </c>
      <c r="D62" s="965" t="s">
        <v>782</v>
      </c>
      <c r="E62" s="950" t="s">
        <v>783</v>
      </c>
      <c r="F62" s="325">
        <f t="shared" si="0"/>
        <v>1.5</v>
      </c>
      <c r="I62" s="1462" t="s">
        <v>854</v>
      </c>
      <c r="J62" s="1463" t="s">
        <v>855</v>
      </c>
      <c r="K62" s="1463" t="s">
        <v>856</v>
      </c>
      <c r="L62" s="1463" t="s">
        <v>857</v>
      </c>
      <c r="M62" s="1464" t="s">
        <v>858</v>
      </c>
      <c r="O62" s="1418" t="s">
        <v>409</v>
      </c>
      <c r="P62" s="1419" t="s">
        <v>859</v>
      </c>
      <c r="Q62" s="1420" t="e">
        <f ca="1">Q56+Q57</f>
        <v>#DIV/0!</v>
      </c>
      <c r="R62" s="1420" t="s">
        <v>410</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403</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404</v>
      </c>
      <c r="P66" s="1419" t="s">
        <v>842</v>
      </c>
      <c r="Q66" s="1420" t="e">
        <f ca="1">L60</f>
        <v>#DIV/0!</v>
      </c>
      <c r="R66" s="1420" t="s">
        <v>865</v>
      </c>
    </row>
    <row r="67" spans="1:18" s="1384" customFormat="1" ht="16.5" thickBot="1">
      <c r="A67" s="957" t="s">
        <v>394</v>
      </c>
      <c r="B67" s="967" t="s">
        <v>748</v>
      </c>
      <c r="C67" s="316">
        <f ca="1">C48-C58</f>
        <v>0</v>
      </c>
      <c r="D67" s="963" t="s">
        <v>749</v>
      </c>
      <c r="E67" s="968"/>
      <c r="F67" s="969"/>
      <c r="O67" s="1428" t="s">
        <v>405</v>
      </c>
      <c r="P67" s="1419" t="s">
        <v>846</v>
      </c>
      <c r="Q67" s="1466">
        <f ca="1">L51</f>
        <v>0</v>
      </c>
      <c r="R67" s="1420" t="s">
        <v>866</v>
      </c>
    </row>
    <row r="68" spans="1:18" s="1384" customFormat="1" ht="16.5" thickBot="1">
      <c r="A68" s="947" t="s">
        <v>395</v>
      </c>
      <c r="B68" s="948" t="s">
        <v>770</v>
      </c>
      <c r="C68" s="301" t="e">
        <f ca="1">ROUND(C67*(1-((1+F70)/(1+F68))^F69)/(F68-F70),0)</f>
        <v>#DIV/0!</v>
      </c>
      <c r="D68" s="965" t="s">
        <v>754</v>
      </c>
      <c r="E68" s="950" t="s">
        <v>755</v>
      </c>
      <c r="F68" s="312">
        <f ca="1">F40</f>
        <v>0</v>
      </c>
      <c r="O68" s="1428" t="s">
        <v>406</v>
      </c>
      <c r="P68" s="1467" t="s">
        <v>867</v>
      </c>
      <c r="Q68" s="1420">
        <f ca="1">ROUND(Q69-Q70*Q71,0)</f>
        <v>0</v>
      </c>
      <c r="R68" s="1420" t="s">
        <v>414</v>
      </c>
    </row>
    <row r="69" spans="1:18" s="1384" customFormat="1" ht="13.5" thickBot="1">
      <c r="A69" s="951"/>
      <c r="B69" s="952"/>
      <c r="C69" s="306"/>
      <c r="D69" s="970" t="s">
        <v>758</v>
      </c>
      <c r="E69" s="950" t="s">
        <v>759</v>
      </c>
      <c r="F69" s="333">
        <f ca="1">F41</f>
        <v>0</v>
      </c>
      <c r="O69" s="1428" t="s">
        <v>411</v>
      </c>
      <c r="P69" s="1467" t="s">
        <v>868</v>
      </c>
      <c r="Q69" s="1420">
        <f ca="1">C39</f>
        <v>0</v>
      </c>
      <c r="R69" s="1420" t="s">
        <v>814</v>
      </c>
    </row>
    <row r="70" spans="1:18" s="1384" customFormat="1" ht="13.5" thickBot="1">
      <c r="A70" s="954"/>
      <c r="B70" s="955"/>
      <c r="C70" s="310"/>
      <c r="D70" s="966"/>
      <c r="E70" s="950" t="s">
        <v>762</v>
      </c>
      <c r="F70" s="1054"/>
      <c r="O70" s="1428" t="s">
        <v>412</v>
      </c>
      <c r="P70" s="1467" t="s">
        <v>869</v>
      </c>
      <c r="Q70" s="1420">
        <f ca="1">C13</f>
        <v>0</v>
      </c>
      <c r="R70" s="1420" t="s">
        <v>814</v>
      </c>
    </row>
    <row r="71" spans="1:18" s="1384" customFormat="1" ht="13.5" thickBot="1">
      <c r="A71" s="971" t="s">
        <v>396</v>
      </c>
      <c r="B71" s="972" t="s">
        <v>772</v>
      </c>
      <c r="C71" s="336" t="e">
        <f ca="1">ROUND(C68/F71,0)</f>
        <v>#DIV/0!</v>
      </c>
      <c r="D71" s="973" t="s">
        <v>773</v>
      </c>
      <c r="E71" s="974" t="s">
        <v>774</v>
      </c>
      <c r="F71" s="339">
        <f ca="1">F43</f>
        <v>0</v>
      </c>
      <c r="O71" s="1428" t="s">
        <v>413</v>
      </c>
      <c r="P71" s="1467" t="s">
        <v>870</v>
      </c>
      <c r="Q71" s="1431">
        <f ca="1">C76</f>
        <v>0</v>
      </c>
      <c r="R71" s="1420"/>
    </row>
    <row r="72" spans="1:18" s="1384" customFormat="1" ht="13.5" thickBot="1">
      <c r="B72" s="726"/>
      <c r="C72" s="726"/>
      <c r="O72" s="1428" t="s">
        <v>407</v>
      </c>
      <c r="P72" s="1419" t="s">
        <v>848</v>
      </c>
      <c r="Q72" s="1431">
        <f>L52</f>
        <v>0</v>
      </c>
      <c r="R72" s="1420"/>
    </row>
    <row r="73" spans="1:18" ht="16.5" thickBot="1">
      <c r="A73" s="1384"/>
      <c r="B73" s="726"/>
      <c r="C73" s="726"/>
      <c r="D73" s="1384"/>
      <c r="E73" s="1384"/>
      <c r="F73" s="1384"/>
      <c r="O73" s="1428" t="s">
        <v>408</v>
      </c>
      <c r="P73" s="1419" t="s">
        <v>851</v>
      </c>
      <c r="Q73" s="1420" t="e">
        <f ca="1">L58</f>
        <v>#DIV/0!</v>
      </c>
      <c r="R73" s="1420" t="s">
        <v>852</v>
      </c>
    </row>
    <row r="74" spans="1:18" ht="13.5" thickBot="1">
      <c r="A74" s="1384"/>
      <c r="B74" s="273" t="s">
        <v>871</v>
      </c>
      <c r="C74" s="1469"/>
      <c r="D74" s="1384"/>
      <c r="E74" s="1384"/>
      <c r="F74" s="1384"/>
      <c r="O74" s="1428" t="s">
        <v>415</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409</v>
      </c>
      <c r="P75" s="1419" t="s">
        <v>834</v>
      </c>
      <c r="Q75" s="1420" t="e">
        <f ca="1">Q65+Q66</f>
        <v>#DIV/0!</v>
      </c>
      <c r="R75" s="1420" t="s">
        <v>410</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W44"/>
  <sheetViews>
    <sheetView zoomScale="80" zoomScaleNormal="80" workbookViewId="0">
      <selection activeCell="E1" sqref="E1"/>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5" t="s">
        <v>2314</v>
      </c>
      <c r="B2" s="2841" t="e">
        <f>IF(D2="——",C40,C40+E2)</f>
        <v>#DIV/0!</v>
      </c>
      <c r="C2" s="2842" t="s">
        <v>2315</v>
      </c>
      <c r="D2" s="3439" t="s">
        <v>3359</v>
      </c>
      <c r="E2" s="3440"/>
      <c r="F2" s="2844"/>
      <c r="G2" s="2845"/>
      <c r="H2" s="2846"/>
      <c r="I2" s="2847"/>
      <c r="J2" s="3659" t="s">
        <v>2316</v>
      </c>
      <c r="K2" s="3660"/>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661" t="s">
        <v>2326</v>
      </c>
      <c r="K3" s="3662"/>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661" t="s">
        <v>2328</v>
      </c>
      <c r="K4" s="3662"/>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663" t="s">
        <v>2332</v>
      </c>
      <c r="B6" s="3664"/>
      <c r="C6" s="3665"/>
      <c r="D6" s="2868"/>
      <c r="E6" s="2869"/>
      <c r="F6" s="2870"/>
      <c r="G6" s="2871"/>
      <c r="H6" s="2846"/>
      <c r="I6" s="2847"/>
      <c r="J6" s="3666">
        <v>1</v>
      </c>
      <c r="K6" s="3667"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666"/>
      <c r="K7" s="3668"/>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670" t="s">
        <v>2346</v>
      </c>
      <c r="C8" s="3671"/>
      <c r="D8" s="2887" t="s">
        <v>2347</v>
      </c>
      <c r="E8" s="2888" t="s">
        <v>2348</v>
      </c>
      <c r="F8" s="2889" t="s">
        <v>2349</v>
      </c>
      <c r="G8" s="2890"/>
      <c r="H8" s="2846"/>
      <c r="I8" s="2847"/>
      <c r="J8" s="3666"/>
      <c r="K8" s="3668"/>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670" t="s">
        <v>2352</v>
      </c>
      <c r="C9" s="3671"/>
      <c r="D9" s="2887">
        <f>ROUND(D6*E9,0)</f>
        <v>0</v>
      </c>
      <c r="E9" s="2891"/>
      <c r="F9" s="2892" t="s">
        <v>2353</v>
      </c>
      <c r="G9" s="2871"/>
      <c r="H9" s="2846"/>
      <c r="I9" s="2847"/>
      <c r="J9" s="3666"/>
      <c r="K9" s="3668"/>
      <c r="L9" s="2881" t="s">
        <v>2354</v>
      </c>
      <c r="M9" s="2882"/>
      <c r="N9" s="2858"/>
      <c r="O9" s="2883"/>
      <c r="P9" s="2883"/>
      <c r="Q9" s="2884">
        <v>365</v>
      </c>
      <c r="R9" s="2885">
        <f t="shared" si="0"/>
        <v>0</v>
      </c>
      <c r="S9" s="2839"/>
      <c r="T9" s="2839"/>
      <c r="U9" s="2839"/>
      <c r="V9" s="2847"/>
    </row>
    <row r="10" spans="1:22" s="2851" customFormat="1" ht="13.15" customHeight="1">
      <c r="A10" s="2886">
        <v>2</v>
      </c>
      <c r="B10" s="3670" t="s">
        <v>2355</v>
      </c>
      <c r="C10" s="3671"/>
      <c r="D10" s="2887">
        <f>ROUND(D6*E10,0)</f>
        <v>0</v>
      </c>
      <c r="E10" s="2891"/>
      <c r="F10" s="2892" t="s">
        <v>2356</v>
      </c>
      <c r="G10" s="2871"/>
      <c r="H10" s="2846"/>
      <c r="I10" s="2847"/>
      <c r="J10" s="3666"/>
      <c r="K10" s="3668"/>
      <c r="L10" s="2881" t="s">
        <v>2357</v>
      </c>
      <c r="M10" s="2882"/>
      <c r="N10" s="2858"/>
      <c r="O10" s="2883"/>
      <c r="P10" s="2883"/>
      <c r="Q10" s="2884">
        <v>365</v>
      </c>
      <c r="R10" s="2885">
        <f t="shared" si="0"/>
        <v>0</v>
      </c>
      <c r="S10" s="2839"/>
      <c r="T10" s="2839"/>
      <c r="U10" s="2839"/>
      <c r="V10" s="2847"/>
    </row>
    <row r="11" spans="1:22" s="2851" customFormat="1" ht="13.15" customHeight="1">
      <c r="A11" s="2886">
        <v>3</v>
      </c>
      <c r="B11" s="3670" t="s">
        <v>2358</v>
      </c>
      <c r="C11" s="3671"/>
      <c r="D11" s="2887">
        <f>D12+D14+D15+D16</f>
        <v>0</v>
      </c>
      <c r="E11" s="2893" t="e">
        <f>D11/D6</f>
        <v>#DIV/0!</v>
      </c>
      <c r="F11" s="2889"/>
      <c r="G11" s="2890"/>
      <c r="H11" s="2846"/>
      <c r="I11" s="2847"/>
      <c r="J11" s="3666"/>
      <c r="K11" s="3668"/>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672" t="s">
        <v>2361</v>
      </c>
      <c r="C12" s="3673"/>
      <c r="D12" s="2895">
        <f>ROUND(D13*1.2%*(1-30%),0)</f>
        <v>0</v>
      </c>
      <c r="E12" s="2896">
        <v>1.2E-2</v>
      </c>
      <c r="F12" s="2889" t="s">
        <v>2362</v>
      </c>
      <c r="G12" s="2890"/>
      <c r="H12" s="2846"/>
      <c r="I12" s="2847"/>
      <c r="J12" s="3666"/>
      <c r="K12" s="3668"/>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666"/>
      <c r="K13" s="3668"/>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672" t="s">
        <v>2367</v>
      </c>
      <c r="C14" s="3673"/>
      <c r="D14" s="2895">
        <f>ROUND(E14*B5/10000,0)</f>
        <v>0</v>
      </c>
      <c r="E14" s="2884"/>
      <c r="F14" s="2889" t="s">
        <v>2368</v>
      </c>
      <c r="G14" s="2890"/>
      <c r="H14" s="2846"/>
      <c r="I14" s="2847"/>
      <c r="J14" s="3666"/>
      <c r="K14" s="3669"/>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672" t="s">
        <v>2371</v>
      </c>
      <c r="C15" s="3673"/>
      <c r="D15" s="2895">
        <f>ROUND(D6*E15,0)</f>
        <v>0</v>
      </c>
      <c r="E15" s="2896">
        <v>5.5E-2</v>
      </c>
      <c r="F15" s="2889" t="s">
        <v>2372</v>
      </c>
      <c r="G15" s="2871"/>
      <c r="H15" s="2846"/>
      <c r="I15" s="2847"/>
      <c r="J15" s="3666">
        <v>2</v>
      </c>
      <c r="K15" s="3667"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672" t="s">
        <v>2380</v>
      </c>
      <c r="C16" s="3673"/>
      <c r="D16" s="2906">
        <f>D6*E16</f>
        <v>0</v>
      </c>
      <c r="E16" s="2907"/>
      <c r="F16" s="2892" t="s">
        <v>2381</v>
      </c>
      <c r="G16" s="2871"/>
      <c r="H16" s="2846"/>
      <c r="I16" s="2847"/>
      <c r="J16" s="3666"/>
      <c r="K16" s="3668"/>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674" t="s">
        <v>2383</v>
      </c>
      <c r="C17" s="3675"/>
      <c r="D17" s="2909">
        <f>ROUND(D6*E17,0)</f>
        <v>0</v>
      </c>
      <c r="E17" s="2910"/>
      <c r="F17" s="2911" t="s">
        <v>2384</v>
      </c>
      <c r="G17" s="2871"/>
      <c r="H17" s="2846"/>
      <c r="I17" s="2847"/>
      <c r="J17" s="3666"/>
      <c r="K17" s="3668"/>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666"/>
      <c r="K18" s="3668"/>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666"/>
      <c r="K19" s="3669"/>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6">
        <v>3</v>
      </c>
      <c r="K20" s="3667"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666"/>
      <c r="K21" s="3668"/>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666"/>
      <c r="K22" s="3668"/>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666"/>
      <c r="K23" s="3668"/>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666"/>
      <c r="K24" s="3669"/>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676">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67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659" t="s">
        <v>2316</v>
      </c>
      <c r="K32" s="3660"/>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661" t="s">
        <v>2326</v>
      </c>
      <c r="K33" s="3662"/>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661" t="s">
        <v>2328</v>
      </c>
      <c r="K34" s="366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666">
        <v>1</v>
      </c>
      <c r="K36" s="3667"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666"/>
      <c r="K37" s="3668"/>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6"/>
      <c r="K38" s="3668"/>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666"/>
      <c r="K39" s="3668"/>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666"/>
      <c r="K40" s="3669"/>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6">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67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1" sqref="E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1653</v>
      </c>
      <c r="B1" s="1867"/>
      <c r="C1" s="1867"/>
      <c r="D1" s="1867"/>
      <c r="E1" s="1868"/>
      <c r="F1" s="2705"/>
      <c r="G1" s="1489"/>
      <c r="H1" s="1489"/>
      <c r="I1" s="1489"/>
      <c r="J1" s="1489"/>
      <c r="K1" s="1489"/>
      <c r="L1" s="1489"/>
      <c r="M1" s="1489"/>
      <c r="N1" s="1489"/>
      <c r="O1" s="1489"/>
      <c r="P1" s="1489"/>
      <c r="Q1" s="1489"/>
      <c r="R1" s="1489"/>
      <c r="S1" s="1489"/>
    </row>
    <row r="2" spans="1:22" ht="15.75">
      <c r="A2" s="1869" t="s">
        <v>1457</v>
      </c>
      <c r="B2" s="1870">
        <f ca="1">SUMIF(B6:B13,"&lt;&gt;#ref!",B6:B13)</f>
        <v>4994</v>
      </c>
      <c r="C2" s="1871" t="s">
        <v>1646</v>
      </c>
      <c r="D2" s="1872" t="s">
        <v>1647</v>
      </c>
      <c r="E2" s="2605">
        <f>SUM(E6:E13)</f>
        <v>9801.27</v>
      </c>
      <c r="F2" s="2705"/>
      <c r="G2" s="1489"/>
      <c r="H2" s="1489"/>
      <c r="I2" s="1489"/>
      <c r="J2" s="1489"/>
      <c r="K2" s="1489"/>
      <c r="L2" s="1489"/>
      <c r="M2" s="1489"/>
      <c r="N2" s="1489"/>
      <c r="O2" s="1489"/>
      <c r="P2" s="1489"/>
      <c r="Q2" s="1489"/>
      <c r="R2" s="1489"/>
      <c r="S2" s="1489"/>
    </row>
    <row r="3" spans="1:22" ht="15.75">
      <c r="A3" s="1869" t="s">
        <v>682</v>
      </c>
      <c r="B3" s="2599">
        <f ca="1">ROUND(B2*10000/E2,0)</f>
        <v>5095</v>
      </c>
      <c r="C3" s="1871" t="s">
        <v>1654</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1648</v>
      </c>
      <c r="B5" s="3678" t="s">
        <v>1649</v>
      </c>
      <c r="C5" s="3679"/>
      <c r="D5" s="2706"/>
      <c r="E5" s="1873" t="s">
        <v>1650</v>
      </c>
      <c r="F5" s="1874" t="s">
        <v>1651</v>
      </c>
      <c r="G5" s="1489"/>
      <c r="H5" s="1489"/>
      <c r="I5" s="1489"/>
      <c r="J5" s="1489"/>
      <c r="K5" s="1489"/>
      <c r="L5" s="1489"/>
      <c r="M5" s="1489"/>
      <c r="N5" s="1489"/>
      <c r="O5" s="1489"/>
      <c r="P5" s="1489"/>
      <c r="Q5" s="1489"/>
      <c r="R5" s="1489"/>
      <c r="S5" s="1489"/>
    </row>
    <row r="6" spans="1:22">
      <c r="A6" s="2602" t="str">
        <f>'数据-取费表'!AN6</f>
        <v>收益法</v>
      </c>
      <c r="B6" s="2600">
        <f ca="1">IF(F6="是",'数据-取费表'!AO6,0)</f>
        <v>4994</v>
      </c>
      <c r="C6" s="1871" t="s">
        <v>1646</v>
      </c>
      <c r="D6" s="2707"/>
      <c r="E6" s="2604">
        <f>IF(OR(A6=0,F6="否"),0,'数据-取费表'!K6+'数据-取费表'!S6)</f>
        <v>9801.27</v>
      </c>
      <c r="F6" s="1875" t="s">
        <v>1652</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1" t="s">
        <v>1646</v>
      </c>
      <c r="D7" s="2707"/>
      <c r="E7" s="2604">
        <f>IF(OR(A7=0,F7="否"),0,'数据-取费表'!K7+'数据-取费表'!S7)</f>
        <v>0</v>
      </c>
      <c r="F7" s="1875" t="s">
        <v>1652</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1" t="s">
        <v>1646</v>
      </c>
      <c r="D8" s="2707"/>
      <c r="E8" s="2604">
        <f>IF(OR(A8=0,F8="否"),0,'数据-取费表'!K8+'数据-取费表'!S8)</f>
        <v>0</v>
      </c>
      <c r="F8" s="1875" t="s">
        <v>1652</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1" t="s">
        <v>1646</v>
      </c>
      <c r="D9" s="2707"/>
      <c r="E9" s="2604">
        <f>IF(OR(A9=0,F9="否"),0,'数据-取费表'!K9+'数据-取费表'!S9)</f>
        <v>0</v>
      </c>
      <c r="F9" s="1875" t="s">
        <v>1652</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1" t="s">
        <v>1646</v>
      </c>
      <c r="D10" s="2707"/>
      <c r="E10" s="2604">
        <f>IF(OR(A10=0,F10="否"),0,'数据-取费表'!K10+'数据-取费表'!S10)</f>
        <v>0</v>
      </c>
      <c r="F10" s="1875" t="s">
        <v>1652</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1" t="s">
        <v>1646</v>
      </c>
      <c r="D11" s="2707"/>
      <c r="E11" s="2604">
        <f>IF(OR(A11=0,F11="否"),0,'数据-取费表'!K11+'数据-取费表'!S11)</f>
        <v>0</v>
      </c>
      <c r="F11" s="1875" t="s">
        <v>1652</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1" t="s">
        <v>1646</v>
      </c>
      <c r="D12" s="2707"/>
      <c r="E12" s="2604">
        <f>IF(OR(A12=0,F12="否"),0,'数据-取费表'!K12+'数据-取费表'!S12)</f>
        <v>0</v>
      </c>
      <c r="F12" s="1875" t="s">
        <v>1652</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6" t="s">
        <v>1646</v>
      </c>
      <c r="D13" s="2708"/>
      <c r="E13" s="2604">
        <f>IF(OR(A13=0,F13="否"),0,'数据-取费表'!K13+'数据-取费表'!S13)</f>
        <v>0</v>
      </c>
      <c r="F13" s="1875" t="s">
        <v>1652</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877" t="s">
        <v>1656</v>
      </c>
      <c r="C1" s="1238" t="s">
        <v>1657</v>
      </c>
      <c r="D1" s="1225"/>
      <c r="E1" s="3422"/>
      <c r="F1" s="1878"/>
      <c r="G1" s="1235" t="s">
        <v>1658</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681</v>
      </c>
      <c r="B2" s="3423"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1659</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682</v>
      </c>
      <c r="B3" s="353">
        <f>IF(C2="——",C49,ROUND(B2*10000/D3,0))</f>
        <v>0</v>
      </c>
      <c r="C3" s="354" t="s">
        <v>1660</v>
      </c>
      <c r="D3" s="353">
        <f>IF(D1="",'数据-汇总表'!E3,SUMIF('数据-汇总表'!$C19:$C33,D1,'数据-汇总表'!$E19:$E33))</f>
        <v>9801.27</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5">
      <c r="A4" s="355" t="s">
        <v>1661</v>
      </c>
      <c r="B4" s="356"/>
      <c r="C4" s="3698" t="s">
        <v>1662</v>
      </c>
      <c r="D4" s="3699"/>
      <c r="E4" s="3700" t="s">
        <v>1663</v>
      </c>
      <c r="F4" s="3701"/>
      <c r="G4" s="3698" t="s">
        <v>1664</v>
      </c>
      <c r="H4" s="3699"/>
      <c r="I4" s="3698" t="s">
        <v>1665</v>
      </c>
      <c r="J4" s="3699"/>
      <c r="K4" s="1888" t="s">
        <v>1666</v>
      </c>
      <c r="L4" s="2713"/>
      <c r="M4" s="2714"/>
      <c r="N4" s="2714"/>
      <c r="O4" s="2714"/>
      <c r="P4" s="3702" t="s">
        <v>1667</v>
      </c>
      <c r="Q4" s="3703"/>
      <c r="R4" s="3685" t="s">
        <v>1663</v>
      </c>
      <c r="S4" s="3686"/>
      <c r="T4" s="3685" t="s">
        <v>1664</v>
      </c>
      <c r="U4" s="3686"/>
      <c r="V4" s="3710" t="s">
        <v>1665</v>
      </c>
      <c r="W4" s="3710"/>
      <c r="X4" s="1355"/>
      <c r="Y4" s="3685" t="s">
        <v>1667</v>
      </c>
      <c r="Z4" s="3686"/>
      <c r="AA4" s="3680" t="s">
        <v>1663</v>
      </c>
      <c r="AB4" s="3680" t="s">
        <v>1664</v>
      </c>
      <c r="AC4" s="3680" t="s">
        <v>1665</v>
      </c>
    </row>
    <row r="5" spans="1:29" ht="15">
      <c r="A5" s="358"/>
      <c r="B5" s="359"/>
      <c r="C5" s="3691" t="s">
        <v>1668</v>
      </c>
      <c r="D5" s="3692"/>
      <c r="E5" s="3689" t="s">
        <v>1669</v>
      </c>
      <c r="F5" s="3690"/>
      <c r="G5" s="3691" t="s">
        <v>1670</v>
      </c>
      <c r="H5" s="3692"/>
      <c r="I5" s="3691" t="s">
        <v>1671</v>
      </c>
      <c r="J5" s="3692"/>
      <c r="K5" s="1889"/>
      <c r="L5" s="2713"/>
      <c r="M5" s="2714"/>
      <c r="N5" s="2714"/>
      <c r="O5" s="2714"/>
      <c r="P5" s="3704"/>
      <c r="Q5" s="3705"/>
      <c r="R5" s="3687"/>
      <c r="S5" s="3688"/>
      <c r="T5" s="3687"/>
      <c r="U5" s="3688"/>
      <c r="V5" s="3710"/>
      <c r="W5" s="3710"/>
      <c r="X5" s="1355"/>
      <c r="Y5" s="3687"/>
      <c r="Z5" s="3688"/>
      <c r="AA5" s="3681"/>
      <c r="AB5" s="3681"/>
      <c r="AC5" s="3681"/>
    </row>
    <row r="6" spans="1:29" ht="15.75" thickBot="1">
      <c r="A6" s="360"/>
      <c r="B6" s="361"/>
      <c r="C6" s="3693" t="s">
        <v>1672</v>
      </c>
      <c r="D6" s="3694"/>
      <c r="E6" s="3695" t="s">
        <v>1672</v>
      </c>
      <c r="F6" s="3696"/>
      <c r="G6" s="3693" t="s">
        <v>1672</v>
      </c>
      <c r="H6" s="3694"/>
      <c r="I6" s="3693" t="s">
        <v>1672</v>
      </c>
      <c r="J6" s="3694"/>
      <c r="K6" s="1889" t="s">
        <v>1673</v>
      </c>
      <c r="L6" s="2713"/>
      <c r="M6" s="2714"/>
      <c r="N6" s="2714"/>
      <c r="O6" s="2714"/>
      <c r="P6" s="3706"/>
      <c r="Q6" s="3707"/>
      <c r="R6" s="3687"/>
      <c r="S6" s="3688"/>
      <c r="T6" s="3708"/>
      <c r="U6" s="3709"/>
      <c r="V6" s="3710"/>
      <c r="W6" s="3710"/>
      <c r="X6" s="1355"/>
      <c r="Y6" s="3708"/>
      <c r="Z6" s="3709"/>
      <c r="AA6" s="3682"/>
      <c r="AB6" s="3682"/>
      <c r="AC6" s="3682"/>
    </row>
    <row r="7" spans="1:29" s="108" customFormat="1" ht="15.75" thickBot="1">
      <c r="A7" s="362" t="s">
        <v>1674</v>
      </c>
      <c r="B7" s="363"/>
      <c r="C7" s="364">
        <f>'数据-取费表'!B2</f>
        <v>45217</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83" t="s">
        <v>1675</v>
      </c>
      <c r="Q7" s="3711"/>
      <c r="R7" s="701" t="s">
        <v>20</v>
      </c>
      <c r="S7" s="702">
        <f t="shared" ref="S7:S15" si="0">F7</f>
        <v>0</v>
      </c>
      <c r="T7" s="701" t="s">
        <v>20</v>
      </c>
      <c r="U7" s="702">
        <f t="shared" ref="U7:U15" si="1">H7</f>
        <v>0</v>
      </c>
      <c r="V7" s="701" t="s">
        <v>20</v>
      </c>
      <c r="W7" s="702">
        <f t="shared" ref="W7:W15" si="2">J7</f>
        <v>0</v>
      </c>
      <c r="X7" s="703"/>
      <c r="Y7" s="3683" t="s">
        <v>1675</v>
      </c>
      <c r="Z7" s="3684"/>
      <c r="AA7" s="704" t="e">
        <f>D7/F7</f>
        <v>#DIV/0!</v>
      </c>
      <c r="AB7" s="704" t="e">
        <f>D7/H7</f>
        <v>#DIV/0!</v>
      </c>
      <c r="AC7" s="704" t="e">
        <f>D7/J7</f>
        <v>#DIV/0!</v>
      </c>
    </row>
    <row r="8" spans="1:29" s="108" customFormat="1" ht="15.75" thickBot="1">
      <c r="A8" s="362" t="s">
        <v>1676</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83" t="s">
        <v>1678</v>
      </c>
      <c r="Q8" s="3684"/>
      <c r="R8" s="701" t="s">
        <v>20</v>
      </c>
      <c r="S8" s="702">
        <f t="shared" si="0"/>
        <v>100</v>
      </c>
      <c r="T8" s="701" t="s">
        <v>20</v>
      </c>
      <c r="U8" s="702">
        <f t="shared" si="1"/>
        <v>100</v>
      </c>
      <c r="V8" s="701" t="s">
        <v>20</v>
      </c>
      <c r="W8" s="702">
        <f t="shared" si="2"/>
        <v>100</v>
      </c>
      <c r="X8" s="703"/>
      <c r="Y8" s="3683" t="s">
        <v>1678</v>
      </c>
      <c r="Z8" s="3684"/>
      <c r="AA8" s="704">
        <f t="shared" ref="AA8:AA19" si="3">D8/F8</f>
        <v>1</v>
      </c>
      <c r="AB8" s="704">
        <f t="shared" ref="AB8:AB19" si="4">D8/H8</f>
        <v>1</v>
      </c>
      <c r="AC8" s="704">
        <f t="shared" ref="AC8:AC19" si="5">D8/J8</f>
        <v>1</v>
      </c>
    </row>
    <row r="9" spans="1:29" s="108" customFormat="1">
      <c r="A9" s="369" t="s">
        <v>1679</v>
      </c>
      <c r="B9" s="63" t="s">
        <v>1680</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97" t="s">
        <v>1681</v>
      </c>
      <c r="Q9" s="1343" t="str">
        <f t="shared" ref="Q9:Q15" si="6">B9</f>
        <v>用途</v>
      </c>
      <c r="R9" s="701" t="s">
        <v>14</v>
      </c>
      <c r="S9" s="702">
        <f t="shared" si="0"/>
        <v>100</v>
      </c>
      <c r="T9" s="701" t="s">
        <v>14</v>
      </c>
      <c r="U9" s="702">
        <f t="shared" si="1"/>
        <v>100</v>
      </c>
      <c r="V9" s="701" t="s">
        <v>14</v>
      </c>
      <c r="W9" s="702">
        <f t="shared" si="2"/>
        <v>100</v>
      </c>
      <c r="X9" s="703"/>
      <c r="Y9" s="3627"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1"/>
      <c r="F10" s="376">
        <f>SUMIF(65:65,E10,66:66)-SUMIF(65:65,C10,66:66)+100</f>
        <v>100</v>
      </c>
      <c r="G10" s="3430"/>
      <c r="H10" s="127">
        <f>SUMIF(65:65,G10,66:66)-SUMIF(65:65,C10,66:66)+100</f>
        <v>100</v>
      </c>
      <c r="I10" s="3430"/>
      <c r="J10" s="127">
        <f>SUMIF(65:65,I10,66:66)-SUMIF(65:65,C10,66:66)+100</f>
        <v>100</v>
      </c>
      <c r="K10" s="1890"/>
      <c r="L10" s="2717"/>
      <c r="M10" s="2718"/>
      <c r="N10" s="2718"/>
      <c r="O10" s="2718"/>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7"/>
      <c r="Q11" s="1343" t="str">
        <f t="shared" si="6"/>
        <v>容积率</v>
      </c>
      <c r="R11" s="701" t="s">
        <v>18</v>
      </c>
      <c r="S11" s="702" t="e">
        <f t="shared" si="0"/>
        <v>#N/A</v>
      </c>
      <c r="T11" s="701" t="s">
        <v>18</v>
      </c>
      <c r="U11" s="702" t="e">
        <f t="shared" si="1"/>
        <v>#N/A</v>
      </c>
      <c r="V11" s="701" t="s">
        <v>18</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97"/>
      <c r="Q12" s="1343">
        <f t="shared" si="6"/>
        <v>111</v>
      </c>
      <c r="R12" s="701" t="s">
        <v>18</v>
      </c>
      <c r="S12" s="702">
        <f t="shared" si="0"/>
        <v>100</v>
      </c>
      <c r="T12" s="701" t="s">
        <v>18</v>
      </c>
      <c r="U12" s="702">
        <f t="shared" si="1"/>
        <v>100</v>
      </c>
      <c r="V12" s="701" t="s">
        <v>18</v>
      </c>
      <c r="W12" s="702">
        <f t="shared" si="2"/>
        <v>100</v>
      </c>
      <c r="X12" s="703"/>
      <c r="Y12" s="362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97"/>
      <c r="Q13" s="1343">
        <f t="shared" si="6"/>
        <v>111</v>
      </c>
      <c r="R13" s="701" t="s">
        <v>18</v>
      </c>
      <c r="S13" s="702">
        <f t="shared" si="0"/>
        <v>100</v>
      </c>
      <c r="T13" s="701" t="s">
        <v>18</v>
      </c>
      <c r="U13" s="702">
        <f t="shared" si="1"/>
        <v>100</v>
      </c>
      <c r="V13" s="701" t="s">
        <v>18</v>
      </c>
      <c r="W13" s="702">
        <f t="shared" si="2"/>
        <v>100</v>
      </c>
      <c r="X13" s="703"/>
      <c r="Y13" s="3627"/>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97"/>
      <c r="Q14" s="1343">
        <f t="shared" si="6"/>
        <v>111</v>
      </c>
      <c r="R14" s="701" t="s">
        <v>18</v>
      </c>
      <c r="S14" s="702">
        <f t="shared" si="0"/>
        <v>100</v>
      </c>
      <c r="T14" s="701" t="s">
        <v>18</v>
      </c>
      <c r="U14" s="702">
        <f t="shared" si="1"/>
        <v>100</v>
      </c>
      <c r="V14" s="701" t="s">
        <v>18</v>
      </c>
      <c r="W14" s="702">
        <f t="shared" si="2"/>
        <v>100</v>
      </c>
      <c r="X14" s="703"/>
      <c r="Y14" s="3627"/>
      <c r="Z14" s="52">
        <f t="shared" si="7"/>
        <v>111</v>
      </c>
      <c r="AA14" s="704">
        <f t="shared" si="3"/>
        <v>1</v>
      </c>
      <c r="AB14" s="704">
        <f t="shared" si="4"/>
        <v>1</v>
      </c>
      <c r="AC14" s="704">
        <f t="shared" si="5"/>
        <v>1</v>
      </c>
    </row>
    <row r="15" spans="1:29" ht="85.5">
      <c r="A15" s="391" t="s">
        <v>1685</v>
      </c>
      <c r="B15" s="61" t="s">
        <v>1252</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4" t="s">
        <v>1686</v>
      </c>
      <c r="Q15" s="1352" t="str">
        <f t="shared" si="6"/>
        <v>居住社区成熟度</v>
      </c>
      <c r="R15" s="705" t="s">
        <v>18</v>
      </c>
      <c r="S15" s="706">
        <f t="shared" si="0"/>
        <v>100</v>
      </c>
      <c r="T15" s="705" t="s">
        <v>18</v>
      </c>
      <c r="U15" s="706">
        <f t="shared" si="1"/>
        <v>100</v>
      </c>
      <c r="V15" s="705" t="s">
        <v>18</v>
      </c>
      <c r="W15" s="706">
        <f t="shared" si="2"/>
        <v>100</v>
      </c>
      <c r="X15" s="1355"/>
      <c r="Y15" s="3717" t="s">
        <v>1686</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0"/>
      <c r="M16" s="2714"/>
      <c r="N16" s="2714"/>
      <c r="O16" s="2714"/>
      <c r="P16" s="3725"/>
      <c r="Q16" s="1352"/>
      <c r="R16" s="705"/>
      <c r="S16" s="706"/>
      <c r="T16" s="705"/>
      <c r="U16" s="706"/>
      <c r="V16" s="705"/>
      <c r="W16" s="706"/>
      <c r="X16" s="1355"/>
      <c r="Y16" s="3718"/>
      <c r="Z16" s="1356"/>
      <c r="AA16" s="1353">
        <v>1</v>
      </c>
      <c r="AB16" s="1353">
        <v>1</v>
      </c>
      <c r="AC16" s="1353">
        <v>1</v>
      </c>
    </row>
    <row r="17" spans="1:29" ht="71.25">
      <c r="A17" s="379"/>
      <c r="B17" s="402" t="s">
        <v>1254</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5"/>
      <c r="Q17" s="1352" t="str">
        <f>B17</f>
        <v>交通便捷度</v>
      </c>
      <c r="R17" s="705" t="s">
        <v>18</v>
      </c>
      <c r="S17" s="706">
        <f>F17</f>
        <v>100</v>
      </c>
      <c r="T17" s="705" t="s">
        <v>18</v>
      </c>
      <c r="U17" s="706">
        <f>H17</f>
        <v>100</v>
      </c>
      <c r="V17" s="705" t="s">
        <v>18</v>
      </c>
      <c r="W17" s="706">
        <f>J17</f>
        <v>100</v>
      </c>
      <c r="X17" s="1355"/>
      <c r="Y17" s="3718"/>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0"/>
      <c r="M18" s="2714"/>
      <c r="N18" s="2714"/>
      <c r="O18" s="2714"/>
      <c r="P18" s="3725"/>
      <c r="Q18" s="1352"/>
      <c r="R18" s="705"/>
      <c r="S18" s="706"/>
      <c r="T18" s="705"/>
      <c r="U18" s="706"/>
      <c r="V18" s="705"/>
      <c r="W18" s="706"/>
      <c r="X18" s="1355"/>
      <c r="Y18" s="3718"/>
      <c r="Z18" s="1356"/>
      <c r="AA18" s="1353">
        <v>1</v>
      </c>
      <c r="AB18" s="1353">
        <v>1</v>
      </c>
      <c r="AC18" s="1353">
        <v>1</v>
      </c>
    </row>
    <row r="19" spans="1:29" ht="42.75">
      <c r="A19" s="379"/>
      <c r="B19" s="402" t="s">
        <v>1253</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5"/>
      <c r="Q19" s="1352" t="str">
        <f>B19</f>
        <v>公共配套设施</v>
      </c>
      <c r="R19" s="705" t="s">
        <v>18</v>
      </c>
      <c r="S19" s="706">
        <f>F19</f>
        <v>100</v>
      </c>
      <c r="T19" s="705" t="s">
        <v>18</v>
      </c>
      <c r="U19" s="706">
        <f>H19</f>
        <v>100</v>
      </c>
      <c r="V19" s="705" t="s">
        <v>18</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0"/>
      <c r="M20" s="2714"/>
      <c r="N20" s="2714"/>
      <c r="O20" s="2714"/>
      <c r="P20" s="3725"/>
      <c r="Q20" s="1352"/>
      <c r="R20" s="705"/>
      <c r="S20" s="706"/>
      <c r="T20" s="705"/>
      <c r="U20" s="706"/>
      <c r="V20" s="705"/>
      <c r="W20" s="706"/>
      <c r="X20" s="1355"/>
      <c r="Y20" s="3718"/>
      <c r="Z20" s="1356"/>
      <c r="AA20" s="1353">
        <v>1</v>
      </c>
      <c r="AB20" s="1353">
        <v>1</v>
      </c>
      <c r="AC20" s="1353">
        <v>1</v>
      </c>
    </row>
    <row r="21" spans="1:29" ht="28.5">
      <c r="A21" s="379"/>
      <c r="B21" s="1131" t="s">
        <v>1255</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0"/>
      <c r="M22" s="2714"/>
      <c r="N22" s="2714"/>
      <c r="O22" s="2714"/>
      <c r="P22" s="3725"/>
      <c r="Q22" s="1352"/>
      <c r="R22" s="705"/>
      <c r="S22" s="706"/>
      <c r="T22" s="705"/>
      <c r="U22" s="706"/>
      <c r="V22" s="705"/>
      <c r="W22" s="706"/>
      <c r="X22" s="1355"/>
      <c r="Y22" s="3718"/>
      <c r="Z22" s="1356"/>
      <c r="AA22" s="1353">
        <v>1</v>
      </c>
      <c r="AB22" s="1353">
        <v>1</v>
      </c>
      <c r="AC22" s="1353">
        <v>1</v>
      </c>
    </row>
    <row r="23" spans="1:29" ht="42.75">
      <c r="A23" s="379"/>
      <c r="B23" s="402" t="s">
        <v>1256</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5"/>
      <c r="Q23" s="1352" t="str">
        <f>B23</f>
        <v>自然及人文环境</v>
      </c>
      <c r="R23" s="705" t="s">
        <v>18</v>
      </c>
      <c r="S23" s="706">
        <f>F23</f>
        <v>100</v>
      </c>
      <c r="T23" s="705" t="s">
        <v>18</v>
      </c>
      <c r="U23" s="706">
        <f>H23</f>
        <v>100</v>
      </c>
      <c r="V23" s="705" t="s">
        <v>18</v>
      </c>
      <c r="W23" s="706">
        <f>J23</f>
        <v>100</v>
      </c>
      <c r="X23" s="1355"/>
      <c r="Y23" s="3718"/>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0"/>
      <c r="M24" s="2714"/>
      <c r="N24" s="2714"/>
      <c r="O24" s="2714"/>
      <c r="P24" s="3725"/>
      <c r="Q24" s="1352"/>
      <c r="R24" s="705"/>
      <c r="S24" s="706"/>
      <c r="T24" s="705"/>
      <c r="U24" s="706"/>
      <c r="V24" s="705"/>
      <c r="W24" s="706"/>
      <c r="X24" s="1355"/>
      <c r="Y24" s="3718"/>
      <c r="Z24" s="1356"/>
      <c r="AA24" s="1353">
        <v>1</v>
      </c>
      <c r="AB24" s="1353">
        <v>1</v>
      </c>
      <c r="AC24" s="1353">
        <v>1</v>
      </c>
    </row>
    <row r="25" spans="1:29" ht="15">
      <c r="A25" s="379"/>
      <c r="B25" s="375" t="s">
        <v>1687</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2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8"/>
      <c r="Z25" s="1356" t="str">
        <f>Q25</f>
        <v>楼层-1</v>
      </c>
      <c r="AA25" s="1353">
        <f t="shared" ref="AA25:AA46" si="15">D25/F25</f>
        <v>1</v>
      </c>
      <c r="AB25" s="1353">
        <f t="shared" ref="AB25:AB46" si="16">D25/H25</f>
        <v>1</v>
      </c>
      <c r="AC25" s="1353">
        <f t="shared" ref="AC25:AC46" si="17">D25/J25</f>
        <v>1</v>
      </c>
    </row>
    <row r="26" spans="1:29" ht="15">
      <c r="A26" s="379"/>
      <c r="B26" s="375" t="s">
        <v>1688</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25"/>
      <c r="Q26" s="1352" t="str">
        <f t="shared" si="11"/>
        <v>朝向</v>
      </c>
      <c r="R26" s="705" t="s">
        <v>18</v>
      </c>
      <c r="S26" s="706">
        <f t="shared" si="12"/>
        <v>100</v>
      </c>
      <c r="T26" s="705" t="s">
        <v>18</v>
      </c>
      <c r="U26" s="706">
        <f t="shared" si="13"/>
        <v>100</v>
      </c>
      <c r="V26" s="705" t="s">
        <v>18</v>
      </c>
      <c r="W26" s="706">
        <f t="shared" si="14"/>
        <v>100</v>
      </c>
      <c r="X26" s="1355"/>
      <c r="Y26" s="371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25"/>
      <c r="Q27" s="1343">
        <f t="shared" si="11"/>
        <v>111</v>
      </c>
      <c r="R27" s="701" t="s">
        <v>18</v>
      </c>
      <c r="S27" s="702">
        <f t="shared" si="12"/>
        <v>100</v>
      </c>
      <c r="T27" s="701" t="s">
        <v>18</v>
      </c>
      <c r="U27" s="702">
        <f t="shared" si="13"/>
        <v>100</v>
      </c>
      <c r="V27" s="701" t="s">
        <v>18</v>
      </c>
      <c r="W27" s="702">
        <f t="shared" si="14"/>
        <v>100</v>
      </c>
      <c r="X27" s="703"/>
      <c r="Y27" s="371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25"/>
      <c r="Q28" s="1352">
        <f t="shared" si="11"/>
        <v>111</v>
      </c>
      <c r="R28" s="705" t="s">
        <v>18</v>
      </c>
      <c r="S28" s="706">
        <f t="shared" si="12"/>
        <v>100</v>
      </c>
      <c r="T28" s="705" t="s">
        <v>18</v>
      </c>
      <c r="U28" s="706">
        <f t="shared" si="13"/>
        <v>100</v>
      </c>
      <c r="V28" s="705" t="s">
        <v>18</v>
      </c>
      <c r="W28" s="706">
        <f t="shared" si="14"/>
        <v>100</v>
      </c>
      <c r="X28" s="1355"/>
      <c r="Y28" s="371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25"/>
      <c r="Q29" s="1352">
        <f t="shared" si="11"/>
        <v>111</v>
      </c>
      <c r="R29" s="705" t="s">
        <v>18</v>
      </c>
      <c r="S29" s="706">
        <f t="shared" si="12"/>
        <v>100</v>
      </c>
      <c r="T29" s="705" t="s">
        <v>18</v>
      </c>
      <c r="U29" s="706">
        <f t="shared" si="13"/>
        <v>100</v>
      </c>
      <c r="V29" s="705" t="s">
        <v>18</v>
      </c>
      <c r="W29" s="706">
        <f t="shared" si="14"/>
        <v>100</v>
      </c>
      <c r="X29" s="1355"/>
      <c r="Y29" s="371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25"/>
      <c r="Q30" s="1352">
        <f t="shared" si="11"/>
        <v>111</v>
      </c>
      <c r="R30" s="705" t="s">
        <v>18</v>
      </c>
      <c r="S30" s="706">
        <f t="shared" si="12"/>
        <v>100</v>
      </c>
      <c r="T30" s="705" t="s">
        <v>18</v>
      </c>
      <c r="U30" s="706">
        <f t="shared" si="13"/>
        <v>100</v>
      </c>
      <c r="V30" s="705" t="s">
        <v>18</v>
      </c>
      <c r="W30" s="706">
        <f t="shared" si="14"/>
        <v>100</v>
      </c>
      <c r="X30" s="1355"/>
      <c r="Y30" s="371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25"/>
      <c r="Q31" s="1352">
        <f t="shared" si="11"/>
        <v>111</v>
      </c>
      <c r="R31" s="705" t="s">
        <v>18</v>
      </c>
      <c r="S31" s="706">
        <f t="shared" si="12"/>
        <v>100</v>
      </c>
      <c r="T31" s="705" t="s">
        <v>18</v>
      </c>
      <c r="U31" s="706">
        <f t="shared" si="13"/>
        <v>100</v>
      </c>
      <c r="V31" s="705" t="s">
        <v>18</v>
      </c>
      <c r="W31" s="706">
        <f t="shared" si="14"/>
        <v>100</v>
      </c>
      <c r="X31" s="1355"/>
      <c r="Y31" s="3718"/>
      <c r="Z31" s="1356">
        <f t="shared" si="18"/>
        <v>111</v>
      </c>
      <c r="AA31" s="1353">
        <f t="shared" si="15"/>
        <v>1</v>
      </c>
      <c r="AB31" s="1353">
        <f t="shared" si="16"/>
        <v>1</v>
      </c>
      <c r="AC31" s="1353">
        <f t="shared" si="17"/>
        <v>1</v>
      </c>
    </row>
    <row r="32" spans="1:29" ht="15">
      <c r="A32" s="391" t="s">
        <v>1689</v>
      </c>
      <c r="B32" s="63" t="s">
        <v>1690</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19" t="s">
        <v>1691</v>
      </c>
      <c r="Q32" s="1352" t="str">
        <f t="shared" si="11"/>
        <v>建筑类型</v>
      </c>
      <c r="R32" s="705" t="s">
        <v>18</v>
      </c>
      <c r="S32" s="706">
        <f t="shared" si="12"/>
        <v>100</v>
      </c>
      <c r="T32" s="705" t="s">
        <v>18</v>
      </c>
      <c r="U32" s="706">
        <f t="shared" si="13"/>
        <v>100</v>
      </c>
      <c r="V32" s="705" t="s">
        <v>18</v>
      </c>
      <c r="W32" s="706">
        <f t="shared" si="14"/>
        <v>100</v>
      </c>
      <c r="X32" s="1355"/>
      <c r="Y32" s="3722" t="s">
        <v>1691</v>
      </c>
      <c r="Z32" s="1356" t="str">
        <f t="shared" si="18"/>
        <v>建筑类型</v>
      </c>
      <c r="AA32" s="1353">
        <f t="shared" si="15"/>
        <v>1</v>
      </c>
      <c r="AB32" s="1353">
        <f t="shared" si="16"/>
        <v>1</v>
      </c>
      <c r="AC32" s="1353">
        <f t="shared" si="17"/>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20"/>
      <c r="Q33" s="707" t="str">
        <f t="shared" si="11"/>
        <v>项目建筑规模</v>
      </c>
      <c r="R33" s="708" t="s">
        <v>18</v>
      </c>
      <c r="S33" s="709" t="e">
        <f t="shared" si="12"/>
        <v>#N/A</v>
      </c>
      <c r="T33" s="708" t="s">
        <v>18</v>
      </c>
      <c r="U33" s="709" t="e">
        <f t="shared" si="13"/>
        <v>#N/A</v>
      </c>
      <c r="V33" s="708" t="s">
        <v>18</v>
      </c>
      <c r="W33" s="709" t="e">
        <f t="shared" si="14"/>
        <v>#N/A</v>
      </c>
      <c r="X33" s="710"/>
      <c r="Y33" s="3722"/>
      <c r="Z33" s="711" t="str">
        <f t="shared" si="18"/>
        <v>项目建筑规模</v>
      </c>
      <c r="AA33" s="1353" t="e">
        <f t="shared" si="15"/>
        <v>#N/A</v>
      </c>
      <c r="AB33" s="1353" t="e">
        <f t="shared" si="16"/>
        <v>#N/A</v>
      </c>
      <c r="AC33" s="1353" t="e">
        <f t="shared" si="17"/>
        <v>#N/A</v>
      </c>
    </row>
    <row r="34" spans="1:29" ht="15">
      <c r="A34" s="423"/>
      <c r="B34" s="375" t="s">
        <v>1693</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20"/>
      <c r="Q34" s="1352" t="str">
        <f t="shared" si="11"/>
        <v>建筑结构</v>
      </c>
      <c r="R34" s="705" t="s">
        <v>18</v>
      </c>
      <c r="S34" s="706">
        <f t="shared" si="12"/>
        <v>100</v>
      </c>
      <c r="T34" s="705" t="s">
        <v>18</v>
      </c>
      <c r="U34" s="706">
        <f t="shared" si="13"/>
        <v>100</v>
      </c>
      <c r="V34" s="705" t="s">
        <v>18</v>
      </c>
      <c r="W34" s="706">
        <f t="shared" si="14"/>
        <v>100</v>
      </c>
      <c r="X34" s="1355"/>
      <c r="Y34" s="3722"/>
      <c r="Z34" s="1356" t="str">
        <f t="shared" si="18"/>
        <v>建筑结构</v>
      </c>
      <c r="AA34" s="1353">
        <f t="shared" si="15"/>
        <v>1</v>
      </c>
      <c r="AB34" s="1353">
        <f t="shared" si="16"/>
        <v>1</v>
      </c>
      <c r="AC34" s="1353">
        <f t="shared" si="17"/>
        <v>1</v>
      </c>
    </row>
    <row r="35" spans="1:29" ht="15">
      <c r="A35" s="423"/>
      <c r="B35" s="375" t="s">
        <v>1694</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20"/>
      <c r="Q35" s="1352" t="str">
        <f t="shared" si="11"/>
        <v>建筑品质</v>
      </c>
      <c r="R35" s="705" t="s">
        <v>18</v>
      </c>
      <c r="S35" s="706">
        <f t="shared" si="12"/>
        <v>100</v>
      </c>
      <c r="T35" s="705" t="s">
        <v>18</v>
      </c>
      <c r="U35" s="706">
        <f t="shared" si="13"/>
        <v>100</v>
      </c>
      <c r="V35" s="705" t="s">
        <v>18</v>
      </c>
      <c r="W35" s="706">
        <f t="shared" si="14"/>
        <v>100</v>
      </c>
      <c r="X35" s="1355"/>
      <c r="Y35" s="3722"/>
      <c r="Z35" s="1356" t="str">
        <f t="shared" si="18"/>
        <v>建筑品质</v>
      </c>
      <c r="AA35" s="1353">
        <f t="shared" si="15"/>
        <v>1</v>
      </c>
      <c r="AB35" s="1353">
        <f t="shared" si="16"/>
        <v>1</v>
      </c>
      <c r="AC35" s="1353">
        <f t="shared" si="17"/>
        <v>1</v>
      </c>
    </row>
    <row r="36" spans="1:29" ht="15">
      <c r="A36" s="423"/>
      <c r="B36" s="375" t="s">
        <v>1695</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20"/>
      <c r="Q36" s="1352" t="str">
        <f t="shared" si="11"/>
        <v>公共部分装修</v>
      </c>
      <c r="R36" s="705" t="s">
        <v>18</v>
      </c>
      <c r="S36" s="706">
        <f t="shared" si="12"/>
        <v>100</v>
      </c>
      <c r="T36" s="705" t="s">
        <v>18</v>
      </c>
      <c r="U36" s="706">
        <f t="shared" si="13"/>
        <v>100</v>
      </c>
      <c r="V36" s="705" t="s">
        <v>18</v>
      </c>
      <c r="W36" s="706">
        <f t="shared" si="14"/>
        <v>100</v>
      </c>
      <c r="X36" s="1355"/>
      <c r="Y36" s="3722"/>
      <c r="Z36" s="1356" t="str">
        <f t="shared" si="18"/>
        <v>公共部分装修</v>
      </c>
      <c r="AA36" s="1353">
        <f t="shared" si="15"/>
        <v>1</v>
      </c>
      <c r="AB36" s="1353">
        <f t="shared" si="16"/>
        <v>1</v>
      </c>
      <c r="AC36" s="1353">
        <f t="shared" si="17"/>
        <v>1</v>
      </c>
    </row>
    <row r="37" spans="1:29" s="108" customFormat="1" ht="15">
      <c r="A37" s="424"/>
      <c r="B37" s="375" t="s">
        <v>1696</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0"/>
      <c r="Q37" s="1343" t="str">
        <f t="shared" si="11"/>
        <v>成新度</v>
      </c>
      <c r="R37" s="701" t="s">
        <v>18</v>
      </c>
      <c r="S37" s="702" t="e">
        <f t="shared" si="12"/>
        <v>#N/A</v>
      </c>
      <c r="T37" s="701" t="s">
        <v>18</v>
      </c>
      <c r="U37" s="702" t="e">
        <f t="shared" si="13"/>
        <v>#N/A</v>
      </c>
      <c r="V37" s="701" t="s">
        <v>18</v>
      </c>
      <c r="W37" s="702" t="e">
        <f t="shared" si="14"/>
        <v>#N/A</v>
      </c>
      <c r="X37" s="703"/>
      <c r="Y37" s="3722"/>
      <c r="Z37" s="52" t="str">
        <f t="shared" si="18"/>
        <v>成新度</v>
      </c>
      <c r="AA37" s="704" t="e">
        <f t="shared" si="15"/>
        <v>#N/A</v>
      </c>
      <c r="AB37" s="704" t="e">
        <f t="shared" si="16"/>
        <v>#N/A</v>
      </c>
      <c r="AC37" s="704" t="e">
        <f t="shared" si="17"/>
        <v>#N/A</v>
      </c>
    </row>
    <row r="38" spans="1:29" ht="15">
      <c r="A38" s="423"/>
      <c r="B38" s="375" t="s">
        <v>1697</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20" t="s">
        <v>1691</v>
      </c>
      <c r="Q38" s="1352" t="str">
        <f t="shared" si="11"/>
        <v>物业管理</v>
      </c>
      <c r="R38" s="705" t="s">
        <v>18</v>
      </c>
      <c r="S38" s="706">
        <f t="shared" si="12"/>
        <v>100</v>
      </c>
      <c r="T38" s="705" t="s">
        <v>18</v>
      </c>
      <c r="U38" s="706">
        <f t="shared" si="13"/>
        <v>100</v>
      </c>
      <c r="V38" s="705" t="s">
        <v>18</v>
      </c>
      <c r="W38" s="706">
        <f t="shared" si="14"/>
        <v>100</v>
      </c>
      <c r="X38" s="1355"/>
      <c r="Y38" s="3722" t="s">
        <v>1691</v>
      </c>
      <c r="Z38" s="1356" t="str">
        <f t="shared" si="18"/>
        <v>物业管理</v>
      </c>
      <c r="AA38" s="1353">
        <f t="shared" si="15"/>
        <v>1</v>
      </c>
      <c r="AB38" s="1353">
        <f t="shared" si="16"/>
        <v>1</v>
      </c>
      <c r="AC38" s="1353">
        <f t="shared" si="17"/>
        <v>1</v>
      </c>
    </row>
    <row r="39" spans="1:29" ht="15">
      <c r="A39" s="423"/>
      <c r="B39" s="375" t="s">
        <v>1698</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20"/>
      <c r="Q39" s="1352" t="str">
        <f t="shared" si="11"/>
        <v>市政基础设施</v>
      </c>
      <c r="R39" s="705" t="s">
        <v>18</v>
      </c>
      <c r="S39" s="706">
        <f t="shared" si="12"/>
        <v>100</v>
      </c>
      <c r="T39" s="705" t="s">
        <v>18</v>
      </c>
      <c r="U39" s="706">
        <f t="shared" si="13"/>
        <v>100</v>
      </c>
      <c r="V39" s="705" t="s">
        <v>18</v>
      </c>
      <c r="W39" s="706">
        <f t="shared" si="14"/>
        <v>100</v>
      </c>
      <c r="X39" s="1355"/>
      <c r="Y39" s="3722"/>
      <c r="Z39" s="1356" t="str">
        <f t="shared" si="18"/>
        <v>市政基础设施</v>
      </c>
      <c r="AA39" s="1353">
        <f t="shared" si="15"/>
        <v>1</v>
      </c>
      <c r="AB39" s="1353">
        <f t="shared" si="16"/>
        <v>1</v>
      </c>
      <c r="AC39" s="1353">
        <f t="shared" si="17"/>
        <v>1</v>
      </c>
    </row>
    <row r="40" spans="1:29" ht="15">
      <c r="A40" s="423"/>
      <c r="B40" s="375" t="s">
        <v>1699</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20"/>
      <c r="Q40" s="1352" t="str">
        <f t="shared" si="11"/>
        <v>房型</v>
      </c>
      <c r="R40" s="705" t="s">
        <v>18</v>
      </c>
      <c r="S40" s="706">
        <f t="shared" si="12"/>
        <v>100</v>
      </c>
      <c r="T40" s="705" t="s">
        <v>18</v>
      </c>
      <c r="U40" s="706">
        <f t="shared" si="13"/>
        <v>100</v>
      </c>
      <c r="V40" s="705" t="s">
        <v>18</v>
      </c>
      <c r="W40" s="706">
        <f t="shared" si="14"/>
        <v>100</v>
      </c>
      <c r="X40" s="1355"/>
      <c r="Y40" s="3722"/>
      <c r="Z40" s="1356" t="str">
        <f t="shared" si="18"/>
        <v>房型</v>
      </c>
      <c r="AA40" s="1353">
        <f t="shared" si="15"/>
        <v>1</v>
      </c>
      <c r="AB40" s="1353">
        <f t="shared" si="16"/>
        <v>1</v>
      </c>
      <c r="AC40" s="1353">
        <f t="shared" si="17"/>
        <v>1</v>
      </c>
    </row>
    <row r="41" spans="1:29" s="422" customFormat="1" ht="28.5">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20"/>
      <c r="Q41" s="707" t="str">
        <f t="shared" si="11"/>
        <v>单套/主力户型建筑面积</v>
      </c>
      <c r="R41" s="708" t="s">
        <v>18</v>
      </c>
      <c r="S41" s="709">
        <f t="shared" si="12"/>
        <v>100</v>
      </c>
      <c r="T41" s="708" t="s">
        <v>18</v>
      </c>
      <c r="U41" s="709">
        <f t="shared" si="13"/>
        <v>100</v>
      </c>
      <c r="V41" s="708" t="s">
        <v>18</v>
      </c>
      <c r="W41" s="709">
        <f t="shared" si="14"/>
        <v>100</v>
      </c>
      <c r="X41" s="710"/>
      <c r="Y41" s="3722"/>
      <c r="Z41" s="711" t="str">
        <f t="shared" si="18"/>
        <v>单套/主力户型建筑面积</v>
      </c>
      <c r="AA41" s="1353">
        <f t="shared" si="15"/>
        <v>1</v>
      </c>
      <c r="AB41" s="1353">
        <f t="shared" si="16"/>
        <v>1</v>
      </c>
      <c r="AC41" s="1353">
        <f t="shared" si="17"/>
        <v>1</v>
      </c>
    </row>
    <row r="42" spans="1:29" ht="15">
      <c r="A42" s="423"/>
      <c r="B42" s="375" t="s">
        <v>1701</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20"/>
      <c r="Q42" s="1352" t="str">
        <f t="shared" si="11"/>
        <v>内部装修</v>
      </c>
      <c r="R42" s="705" t="s">
        <v>18</v>
      </c>
      <c r="S42" s="706">
        <f t="shared" si="12"/>
        <v>100</v>
      </c>
      <c r="T42" s="705" t="s">
        <v>18</v>
      </c>
      <c r="U42" s="706">
        <f t="shared" si="13"/>
        <v>100</v>
      </c>
      <c r="V42" s="705" t="s">
        <v>18</v>
      </c>
      <c r="W42" s="706">
        <f t="shared" si="14"/>
        <v>100</v>
      </c>
      <c r="X42" s="1355"/>
      <c r="Y42" s="3722"/>
      <c r="Z42" s="1356" t="str">
        <f t="shared" si="18"/>
        <v>内部装修</v>
      </c>
      <c r="AA42" s="1353">
        <f t="shared" si="15"/>
        <v>1</v>
      </c>
      <c r="AB42" s="1353">
        <f t="shared" si="16"/>
        <v>1</v>
      </c>
      <c r="AC42" s="1353">
        <f t="shared" si="17"/>
        <v>1</v>
      </c>
    </row>
    <row r="43" spans="1:29" ht="15">
      <c r="A43" s="423"/>
      <c r="B43" s="375" t="s">
        <v>1702</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20"/>
      <c r="Q43" s="1352" t="str">
        <f t="shared" si="11"/>
        <v>内部装修维护情况</v>
      </c>
      <c r="R43" s="705" t="s">
        <v>18</v>
      </c>
      <c r="S43" s="706">
        <f t="shared" si="12"/>
        <v>100</v>
      </c>
      <c r="T43" s="705" t="s">
        <v>18</v>
      </c>
      <c r="U43" s="706">
        <f t="shared" si="13"/>
        <v>100</v>
      </c>
      <c r="V43" s="705" t="s">
        <v>18</v>
      </c>
      <c r="W43" s="706">
        <f t="shared" si="14"/>
        <v>100</v>
      </c>
      <c r="X43" s="1355"/>
      <c r="Y43" s="372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20"/>
      <c r="Q44" s="1343">
        <f t="shared" si="11"/>
        <v>111</v>
      </c>
      <c r="R44" s="701" t="s">
        <v>18</v>
      </c>
      <c r="S44" s="702">
        <f t="shared" si="12"/>
        <v>100</v>
      </c>
      <c r="T44" s="701" t="s">
        <v>18</v>
      </c>
      <c r="U44" s="702">
        <f t="shared" si="13"/>
        <v>100</v>
      </c>
      <c r="V44" s="701" t="s">
        <v>18</v>
      </c>
      <c r="W44" s="702">
        <f t="shared" si="14"/>
        <v>100</v>
      </c>
      <c r="X44" s="703"/>
      <c r="Y44" s="372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20"/>
      <c r="Q45" s="1352">
        <f t="shared" si="11"/>
        <v>111</v>
      </c>
      <c r="R45" s="705" t="s">
        <v>18</v>
      </c>
      <c r="S45" s="706">
        <f t="shared" si="12"/>
        <v>100</v>
      </c>
      <c r="T45" s="705" t="s">
        <v>18</v>
      </c>
      <c r="U45" s="706">
        <f t="shared" si="13"/>
        <v>100</v>
      </c>
      <c r="V45" s="705" t="s">
        <v>18</v>
      </c>
      <c r="W45" s="706">
        <f t="shared" si="14"/>
        <v>100</v>
      </c>
      <c r="X45" s="1355"/>
      <c r="Y45" s="3722"/>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21"/>
      <c r="Q46" s="1352">
        <f t="shared" si="11"/>
        <v>111</v>
      </c>
      <c r="R46" s="705" t="s">
        <v>17</v>
      </c>
      <c r="S46" s="706">
        <f t="shared" si="12"/>
        <v>100</v>
      </c>
      <c r="T46" s="705" t="s">
        <v>17</v>
      </c>
      <c r="U46" s="706">
        <f t="shared" si="13"/>
        <v>100</v>
      </c>
      <c r="V46" s="705" t="s">
        <v>17</v>
      </c>
      <c r="W46" s="706">
        <f t="shared" si="14"/>
        <v>100</v>
      </c>
      <c r="X46" s="1355"/>
      <c r="Y46" s="3723"/>
      <c r="Z46" s="1356">
        <f t="shared" si="18"/>
        <v>111</v>
      </c>
      <c r="AA46" s="1353">
        <f t="shared" si="15"/>
        <v>1</v>
      </c>
      <c r="AB46" s="1353">
        <f t="shared" si="16"/>
        <v>1</v>
      </c>
      <c r="AC46" s="1353">
        <f t="shared" si="17"/>
        <v>1</v>
      </c>
    </row>
    <row r="47" spans="1:29" ht="15">
      <c r="A47" s="430" t="s">
        <v>1703</v>
      </c>
      <c r="B47" s="431"/>
      <c r="C47" s="1154" t="s">
        <v>16</v>
      </c>
      <c r="D47" s="1155"/>
      <c r="E47" s="1156"/>
      <c r="F47" s="1157"/>
      <c r="G47" s="1158"/>
      <c r="H47" s="1159"/>
      <c r="I47" s="1156"/>
      <c r="J47" s="1159"/>
      <c r="K47" s="1913"/>
      <c r="L47" s="2722"/>
      <c r="M47" s="2723"/>
      <c r="N47" s="2714"/>
      <c r="O47" s="2723"/>
      <c r="P47" s="3715" t="str">
        <f>A47</f>
        <v>成交单价（元/平方米）</v>
      </c>
      <c r="Q47" s="3715"/>
      <c r="R47" s="3716">
        <f>E47</f>
        <v>0</v>
      </c>
      <c r="S47" s="3716"/>
      <c r="T47" s="3716">
        <f>G47</f>
        <v>0</v>
      </c>
      <c r="U47" s="3716"/>
      <c r="V47" s="3716">
        <f>I47</f>
        <v>0</v>
      </c>
      <c r="W47" s="3716"/>
      <c r="X47" s="690"/>
      <c r="Y47" s="712"/>
      <c r="Z47" s="690"/>
      <c r="AA47" s="690"/>
      <c r="AB47" s="690"/>
      <c r="AC47" s="690"/>
    </row>
    <row r="48" spans="1:29" ht="15.75" thickBot="1">
      <c r="A48" s="437" t="s">
        <v>1704</v>
      </c>
      <c r="B48" s="438"/>
      <c r="C48" s="1160" t="e">
        <f>R49</f>
        <v>#DIV/0!</v>
      </c>
      <c r="D48" s="2316" t="s">
        <v>2133</v>
      </c>
      <c r="E48" s="1161" t="e">
        <f>R48</f>
        <v>#DIV/0!</v>
      </c>
      <c r="F48" s="2317"/>
      <c r="G48" s="1160" t="e">
        <f>T48</f>
        <v>#DIV/0!</v>
      </c>
      <c r="H48" s="2317"/>
      <c r="I48" s="1161" t="e">
        <f>V48</f>
        <v>#DIV/0!</v>
      </c>
      <c r="J48" s="2317"/>
      <c r="K48" s="2318">
        <f>F48+H48+J48</f>
        <v>0</v>
      </c>
      <c r="L48" s="2722"/>
      <c r="M48" s="2723"/>
      <c r="N48" s="2723"/>
      <c r="O48" s="2723"/>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1705</v>
      </c>
      <c r="B49" s="442"/>
      <c r="C49" s="1162" t="e">
        <f>R49</f>
        <v>#DIV/0!</v>
      </c>
      <c r="D49" s="1163"/>
      <c r="E49" s="1163"/>
      <c r="F49" s="1163"/>
      <c r="G49" s="1163"/>
      <c r="H49" s="1163"/>
      <c r="I49" s="1163"/>
      <c r="J49" s="1163"/>
      <c r="K49" s="1914"/>
      <c r="L49" s="2722"/>
      <c r="M49" s="2723"/>
      <c r="N49" s="2723"/>
      <c r="O49" s="2723"/>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1709</v>
      </c>
      <c r="B57" s="690"/>
      <c r="C57" s="695"/>
      <c r="D57" s="695"/>
      <c r="E57" s="695"/>
      <c r="F57" s="696"/>
      <c r="G57" s="696"/>
      <c r="H57" s="695"/>
      <c r="I57" s="695"/>
      <c r="J57" s="695"/>
      <c r="K57" s="941"/>
      <c r="L57" s="942"/>
      <c r="M57" s="940"/>
      <c r="N57" s="940"/>
      <c r="O57" s="940"/>
      <c r="P57" s="1917"/>
      <c r="Q57" s="453"/>
    </row>
    <row r="58" spans="1:29" s="457" customFormat="1" ht="15">
      <c r="A58" s="454" t="s">
        <v>1710</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1711</v>
      </c>
      <c r="B60" s="465"/>
      <c r="C60" s="466"/>
      <c r="D60" s="467"/>
      <c r="E60" s="467"/>
      <c r="F60" s="467"/>
      <c r="G60" s="467"/>
      <c r="H60" s="467"/>
      <c r="I60" s="467"/>
      <c r="J60" s="467"/>
      <c r="K60" s="467"/>
      <c r="L60" s="467"/>
      <c r="M60" s="468"/>
      <c r="N60" s="467"/>
      <c r="O60" s="468"/>
      <c r="P60" s="1919"/>
      <c r="Q60" s="453"/>
    </row>
    <row r="61" spans="1:29" s="108" customFormat="1" ht="15">
      <c r="A61" s="470" t="s">
        <v>1712</v>
      </c>
      <c r="B61" s="459"/>
      <c r="C61" s="471" t="s">
        <v>1713</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1714</v>
      </c>
      <c r="B63" s="477" t="s">
        <v>1680</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1683</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1684</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1255</v>
      </c>
      <c r="C82" s="488" t="s">
        <v>1723</v>
      </c>
      <c r="D82" s="488" t="s">
        <v>1724</v>
      </c>
      <c r="E82" s="488" t="s">
        <v>1725</v>
      </c>
      <c r="F82" s="488" t="s">
        <v>1726</v>
      </c>
      <c r="G82" s="488" t="s">
        <v>1727</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1729</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1730</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1689</v>
      </c>
      <c r="B100" s="477" t="s">
        <v>1731</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1732</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1733</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1734</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1735</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1185</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1736</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1737</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1738</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1739</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1741</v>
      </c>
    </row>
    <row r="137" spans="1:17" ht="15">
      <c r="B137" s="1929" t="s">
        <v>1742</v>
      </c>
      <c r="C137" s="1930"/>
      <c r="D137" s="1930"/>
      <c r="E137" s="1930"/>
      <c r="F137" s="1930"/>
      <c r="G137" s="1931"/>
      <c r="H137" s="1932"/>
      <c r="I137" s="1933" t="s">
        <v>1743</v>
      </c>
      <c r="J137" s="1930"/>
      <c r="K137" s="1934"/>
    </row>
    <row r="138" spans="1:17" ht="15">
      <c r="B138" s="1935"/>
      <c r="C138" s="137" t="s">
        <v>1744</v>
      </c>
      <c r="D138" s="137" t="s">
        <v>1745</v>
      </c>
      <c r="E138" s="1936" t="s">
        <v>1746</v>
      </c>
      <c r="F138" s="1937" t="s">
        <v>1747</v>
      </c>
      <c r="G138" s="137" t="s">
        <v>1745</v>
      </c>
      <c r="H138" s="138" t="s">
        <v>1746</v>
      </c>
      <c r="I138" s="1938"/>
      <c r="J138" s="137" t="s">
        <v>1748</v>
      </c>
      <c r="K138" s="138" t="s">
        <v>1749</v>
      </c>
    </row>
    <row r="139" spans="1:17" ht="15">
      <c r="B139" s="867">
        <v>6</v>
      </c>
      <c r="C139" s="868">
        <v>96</v>
      </c>
      <c r="D139" s="1939" t="s">
        <v>1750</v>
      </c>
      <c r="E139" s="869">
        <v>100</v>
      </c>
      <c r="F139" s="870">
        <v>102.5</v>
      </c>
      <c r="G139" s="1939" t="s">
        <v>1750</v>
      </c>
      <c r="H139" s="871">
        <v>105</v>
      </c>
      <c r="I139" s="1940" t="s">
        <v>1751</v>
      </c>
      <c r="J139" s="868">
        <v>20</v>
      </c>
      <c r="K139" s="872">
        <f>C145/(J139-2)</f>
        <v>4.0555555555555553E-3</v>
      </c>
    </row>
    <row r="140" spans="1:17" ht="15">
      <c r="B140" s="873">
        <v>5</v>
      </c>
      <c r="C140" s="874">
        <v>100</v>
      </c>
      <c r="D140" s="874"/>
      <c r="E140" s="875"/>
      <c r="F140" s="876">
        <v>102</v>
      </c>
      <c r="G140" s="874"/>
      <c r="H140" s="877"/>
      <c r="I140" s="1941" t="s">
        <v>1752</v>
      </c>
      <c r="J140" s="271">
        <f>ROUNDUP((J139-1)/2,0)</f>
        <v>10</v>
      </c>
      <c r="K140" s="878">
        <v>100</v>
      </c>
    </row>
    <row r="141" spans="1:17" ht="15">
      <c r="B141" s="873">
        <v>4</v>
      </c>
      <c r="C141" s="874">
        <v>102</v>
      </c>
      <c r="D141" s="874"/>
      <c r="E141" s="875"/>
      <c r="F141" s="876">
        <v>101.5</v>
      </c>
      <c r="G141" s="874"/>
      <c r="H141" s="877"/>
      <c r="I141" s="1941" t="s">
        <v>1753</v>
      </c>
      <c r="J141" s="271">
        <v>1</v>
      </c>
      <c r="K141" s="879">
        <f>ROUND(100+(J141-J140)*K139*100,1)</f>
        <v>96.4</v>
      </c>
    </row>
    <row r="142" spans="1:17" ht="15">
      <c r="B142" s="873">
        <v>3</v>
      </c>
      <c r="C142" s="874">
        <v>103</v>
      </c>
      <c r="D142" s="874"/>
      <c r="E142" s="875"/>
      <c r="F142" s="876">
        <v>101</v>
      </c>
      <c r="G142" s="874"/>
      <c r="H142" s="877"/>
      <c r="I142" s="1941" t="s">
        <v>1754</v>
      </c>
      <c r="J142" s="271">
        <f>J139</f>
        <v>20</v>
      </c>
      <c r="K142" s="880">
        <v>95</v>
      </c>
    </row>
    <row r="143" spans="1:17" ht="15">
      <c r="B143" s="873">
        <v>2</v>
      </c>
      <c r="C143" s="874">
        <v>100</v>
      </c>
      <c r="D143" s="874"/>
      <c r="E143" s="875"/>
      <c r="F143" s="876">
        <v>100.5</v>
      </c>
      <c r="G143" s="874"/>
      <c r="H143" s="877"/>
      <c r="I143" s="1941" t="s">
        <v>1755</v>
      </c>
      <c r="J143" s="874">
        <v>15</v>
      </c>
      <c r="K143" s="879">
        <f>ROUND(100+(J143-J140)*K139*100,1)</f>
        <v>102</v>
      </c>
    </row>
    <row r="144" spans="1:17" ht="15">
      <c r="B144" s="873">
        <v>1</v>
      </c>
      <c r="C144" s="874">
        <v>98</v>
      </c>
      <c r="D144" s="1942" t="s">
        <v>1756</v>
      </c>
      <c r="E144" s="875">
        <v>102</v>
      </c>
      <c r="F144" s="881">
        <v>100</v>
      </c>
      <c r="G144" s="1942" t="s">
        <v>1756</v>
      </c>
      <c r="H144" s="877">
        <v>105</v>
      </c>
      <c r="I144" s="1941" t="s">
        <v>1755</v>
      </c>
      <c r="J144" s="874">
        <v>18</v>
      </c>
      <c r="K144" s="879">
        <f>ROUND(100+(J144-J140)*K139*100,1)</f>
        <v>103.2</v>
      </c>
    </row>
    <row r="145" spans="2:11" ht="15.75" thickBot="1">
      <c r="B145" s="1943" t="s">
        <v>1757</v>
      </c>
      <c r="C145" s="882">
        <f>ROUND(MAX(C139:C144)/MIN(C139:C144)-1,3)</f>
        <v>7.2999999999999995E-2</v>
      </c>
      <c r="D145" s="883"/>
      <c r="E145" s="883"/>
      <c r="F145" s="1944" t="s">
        <v>1758</v>
      </c>
      <c r="G145" s="1945"/>
      <c r="H145" s="1946"/>
      <c r="I145" s="1947" t="s">
        <v>1755</v>
      </c>
      <c r="J145" s="884">
        <v>8</v>
      </c>
      <c r="K145" s="885">
        <f>ROUND(100+(J145-J140)*K139*100,1)</f>
        <v>99.2</v>
      </c>
    </row>
    <row r="147" spans="2:11">
      <c r="B147" s="1928" t="s">
        <v>1759</v>
      </c>
    </row>
    <row r="148" spans="2:11">
      <c r="B148" s="1928"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877" t="s">
        <v>1761</v>
      </c>
      <c r="C1" s="1238" t="s">
        <v>1657</v>
      </c>
      <c r="D1" s="1225"/>
      <c r="E1" s="3422"/>
      <c r="F1" s="1878"/>
      <c r="G1" s="1235" t="s">
        <v>1762</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1457</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1458</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1459</v>
      </c>
      <c r="B3" s="558">
        <f>IF(C2="——",C49,ROUND(B2*10000/D3,0))</f>
        <v>0</v>
      </c>
      <c r="C3" s="354" t="s">
        <v>1763</v>
      </c>
      <c r="D3" s="353">
        <f>IF(D1="",'数据-汇总表'!E3,SUMIF('数据-汇总表'!$C19:$C33,D1,'数据-汇总表'!$E19:$E33))</f>
        <v>9801.27</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1764</v>
      </c>
      <c r="B4" s="356"/>
      <c r="C4" s="3698" t="s">
        <v>1765</v>
      </c>
      <c r="D4" s="3699"/>
      <c r="E4" s="3700" t="s">
        <v>1766</v>
      </c>
      <c r="F4" s="3701"/>
      <c r="G4" s="3698" t="s">
        <v>1767</v>
      </c>
      <c r="H4" s="3699"/>
      <c r="I4" s="3698" t="s">
        <v>1768</v>
      </c>
      <c r="J4" s="3699"/>
      <c r="K4" s="559" t="s">
        <v>1769</v>
      </c>
      <c r="L4" s="2713"/>
      <c r="M4" s="2714"/>
      <c r="N4" s="2714"/>
      <c r="O4" s="2714"/>
      <c r="P4" s="3702" t="s">
        <v>1770</v>
      </c>
      <c r="Q4" s="3703"/>
      <c r="R4" s="3685" t="s">
        <v>1766</v>
      </c>
      <c r="S4" s="3686"/>
      <c r="T4" s="3685" t="s">
        <v>1767</v>
      </c>
      <c r="U4" s="3686"/>
      <c r="V4" s="3710" t="s">
        <v>1768</v>
      </c>
      <c r="W4" s="3710"/>
      <c r="X4" s="1355"/>
      <c r="Y4" s="3685" t="s">
        <v>1770</v>
      </c>
      <c r="Z4" s="3686"/>
      <c r="AA4" s="3680" t="s">
        <v>1766</v>
      </c>
      <c r="AB4" s="3710" t="s">
        <v>1767</v>
      </c>
      <c r="AC4" s="3680" t="s">
        <v>1768</v>
      </c>
    </row>
    <row r="5" spans="1:29" ht="15">
      <c r="A5" s="358"/>
      <c r="B5" s="359"/>
      <c r="C5" s="3691" t="s">
        <v>1668</v>
      </c>
      <c r="D5" s="3692"/>
      <c r="E5" s="3689" t="s">
        <v>1669</v>
      </c>
      <c r="F5" s="3690"/>
      <c r="G5" s="3691" t="s">
        <v>1670</v>
      </c>
      <c r="H5" s="3692"/>
      <c r="I5" s="3691" t="s">
        <v>1671</v>
      </c>
      <c r="J5" s="3692"/>
      <c r="K5" s="559"/>
      <c r="L5" s="2713"/>
      <c r="M5" s="2714"/>
      <c r="N5" s="2714"/>
      <c r="O5" s="2714"/>
      <c r="P5" s="3704"/>
      <c r="Q5" s="3705"/>
      <c r="R5" s="3687"/>
      <c r="S5" s="3688"/>
      <c r="T5" s="3687"/>
      <c r="U5" s="3688"/>
      <c r="V5" s="3710"/>
      <c r="W5" s="3710"/>
      <c r="X5" s="1355"/>
      <c r="Y5" s="3687"/>
      <c r="Z5" s="3688"/>
      <c r="AA5" s="3681"/>
      <c r="AB5" s="3710"/>
      <c r="AC5" s="3681"/>
    </row>
    <row r="6" spans="1:29" ht="15.75" thickBot="1">
      <c r="A6" s="360"/>
      <c r="B6" s="361"/>
      <c r="C6" s="3693" t="s">
        <v>1672</v>
      </c>
      <c r="D6" s="3694"/>
      <c r="E6" s="3695" t="s">
        <v>1672</v>
      </c>
      <c r="F6" s="3696"/>
      <c r="G6" s="3693" t="s">
        <v>1672</v>
      </c>
      <c r="H6" s="3694"/>
      <c r="I6" s="3693" t="s">
        <v>1672</v>
      </c>
      <c r="J6" s="3694"/>
      <c r="K6" s="559" t="s">
        <v>1673</v>
      </c>
      <c r="L6" s="2713"/>
      <c r="M6" s="2714"/>
      <c r="N6" s="2714"/>
      <c r="O6" s="2714"/>
      <c r="P6" s="3706"/>
      <c r="Q6" s="3707"/>
      <c r="R6" s="3687"/>
      <c r="S6" s="3688"/>
      <c r="T6" s="3708"/>
      <c r="U6" s="3709"/>
      <c r="V6" s="3710"/>
      <c r="W6" s="3710"/>
      <c r="X6" s="1355"/>
      <c r="Y6" s="3708"/>
      <c r="Z6" s="3709"/>
      <c r="AA6" s="3682"/>
      <c r="AB6" s="3710"/>
      <c r="AC6" s="3682"/>
    </row>
    <row r="7" spans="1:29" s="108" customFormat="1" ht="15.75" thickBot="1">
      <c r="A7" s="362" t="s">
        <v>1674</v>
      </c>
      <c r="B7" s="363"/>
      <c r="C7" s="364">
        <f>'数据-取费表'!B2</f>
        <v>45217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3" t="s">
        <v>1675</v>
      </c>
      <c r="Q7" s="3711"/>
      <c r="R7" s="701" t="s">
        <v>14</v>
      </c>
      <c r="S7" s="702">
        <f t="shared" ref="S7:S15" si="0">F7</f>
        <v>0</v>
      </c>
      <c r="T7" s="701" t="s">
        <v>14</v>
      </c>
      <c r="U7" s="702">
        <f t="shared" ref="U7:U15" si="1">H7</f>
        <v>0</v>
      </c>
      <c r="V7" s="701" t="s">
        <v>14</v>
      </c>
      <c r="W7" s="702">
        <f t="shared" ref="W7:W15" si="2">J7</f>
        <v>0</v>
      </c>
      <c r="X7" s="703"/>
      <c r="Y7" s="3683" t="s">
        <v>1675</v>
      </c>
      <c r="Z7" s="3684"/>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3" t="s">
        <v>1678</v>
      </c>
      <c r="Q8" s="3684"/>
      <c r="R8" s="701" t="s">
        <v>14</v>
      </c>
      <c r="S8" s="702">
        <f t="shared" si="0"/>
        <v>100</v>
      </c>
      <c r="T8" s="701" t="s">
        <v>14</v>
      </c>
      <c r="U8" s="702">
        <f t="shared" si="1"/>
        <v>100</v>
      </c>
      <c r="V8" s="701" t="s">
        <v>14</v>
      </c>
      <c r="W8" s="702">
        <f t="shared" si="2"/>
        <v>100</v>
      </c>
      <c r="X8" s="703"/>
      <c r="Y8" s="3683" t="s">
        <v>1678</v>
      </c>
      <c r="Z8" s="3684"/>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7" t="s">
        <v>1681</v>
      </c>
      <c r="Q9" s="1343" t="str">
        <f t="shared" ref="Q9:Q15" si="6">B9</f>
        <v>用途</v>
      </c>
      <c r="R9" s="701" t="s">
        <v>14</v>
      </c>
      <c r="S9" s="702">
        <f t="shared" si="0"/>
        <v>100</v>
      </c>
      <c r="T9" s="701" t="s">
        <v>14</v>
      </c>
      <c r="U9" s="702">
        <f t="shared" si="1"/>
        <v>100</v>
      </c>
      <c r="V9" s="701" t="s">
        <v>14</v>
      </c>
      <c r="W9" s="702">
        <f t="shared" si="2"/>
        <v>100</v>
      </c>
      <c r="X9" s="703"/>
      <c r="Y9" s="3627"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1"/>
      <c r="F10" s="376">
        <f>SUMIF(65:65,E10,66:66)-SUMIF(65:65,C10,66:66)+100</f>
        <v>100</v>
      </c>
      <c r="G10" s="3430"/>
      <c r="H10" s="127">
        <f>SUMIF(65:65,G10,66:66)-SUMIF(65:65,C10,66:66)+100</f>
        <v>100</v>
      </c>
      <c r="I10" s="3430"/>
      <c r="J10" s="127">
        <f>SUMIF(65:65,I10,66:66)-SUMIF(65:65,C10,66:66)+100</f>
        <v>100</v>
      </c>
      <c r="K10" s="560"/>
      <c r="L10" s="2717"/>
      <c r="M10" s="2718"/>
      <c r="N10" s="2718"/>
      <c r="O10" s="2718"/>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7"/>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71.25">
      <c r="A15" s="391" t="s">
        <v>1685</v>
      </c>
      <c r="B15" s="61" t="s">
        <v>1772</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4" t="s">
        <v>1686</v>
      </c>
      <c r="Q15" s="1352" t="str">
        <f t="shared" si="6"/>
        <v>商业繁华度</v>
      </c>
      <c r="R15" s="705" t="s">
        <v>14</v>
      </c>
      <c r="S15" s="706">
        <f t="shared" si="0"/>
        <v>100</v>
      </c>
      <c r="T15" s="705" t="s">
        <v>14</v>
      </c>
      <c r="U15" s="706">
        <f t="shared" si="1"/>
        <v>100</v>
      </c>
      <c r="V15" s="705" t="s">
        <v>14</v>
      </c>
      <c r="W15" s="706">
        <f t="shared" si="2"/>
        <v>100</v>
      </c>
      <c r="X15" s="1355"/>
      <c r="Y15" s="3717"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25"/>
      <c r="Q16" s="1352"/>
      <c r="R16" s="705"/>
      <c r="S16" s="706"/>
      <c r="T16" s="705"/>
      <c r="U16" s="706"/>
      <c r="V16" s="705"/>
      <c r="W16" s="706"/>
      <c r="X16" s="1355"/>
      <c r="Y16" s="3718"/>
      <c r="Z16" s="1356"/>
      <c r="AA16" s="1353">
        <v>1</v>
      </c>
      <c r="AB16" s="1353">
        <v>1</v>
      </c>
      <c r="AC16" s="1353">
        <v>1</v>
      </c>
    </row>
    <row r="17" spans="1:29" ht="85.5">
      <c r="A17" s="379"/>
      <c r="B17" s="402" t="s">
        <v>1254</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20"/>
      <c r="M18" s="2714"/>
      <c r="N18" s="2714"/>
      <c r="O18" s="2714"/>
      <c r="P18" s="3725"/>
      <c r="Q18" s="1352"/>
      <c r="R18" s="705"/>
      <c r="S18" s="706"/>
      <c r="T18" s="705"/>
      <c r="U18" s="706"/>
      <c r="V18" s="705"/>
      <c r="W18" s="706"/>
      <c r="X18" s="1355"/>
      <c r="Y18" s="3718"/>
      <c r="Z18" s="1356"/>
      <c r="AA18" s="1353">
        <v>1</v>
      </c>
      <c r="AB18" s="1353">
        <v>1</v>
      </c>
      <c r="AC18" s="1353">
        <v>1</v>
      </c>
    </row>
    <row r="19" spans="1:29" ht="42.75">
      <c r="A19" s="379"/>
      <c r="B19" s="402" t="s">
        <v>1773</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20"/>
      <c r="M20" s="2714"/>
      <c r="N20" s="2714"/>
      <c r="O20" s="2714"/>
      <c r="P20" s="3725"/>
      <c r="Q20" s="1352"/>
      <c r="R20" s="705"/>
      <c r="S20" s="706"/>
      <c r="T20" s="705"/>
      <c r="U20" s="706"/>
      <c r="V20" s="705"/>
      <c r="W20" s="706"/>
      <c r="X20" s="1355"/>
      <c r="Y20" s="3718"/>
      <c r="Z20" s="1356"/>
      <c r="AA20" s="1353">
        <v>1</v>
      </c>
      <c r="AB20" s="1353">
        <v>1</v>
      </c>
      <c r="AC20" s="1353">
        <v>1</v>
      </c>
    </row>
    <row r="21" spans="1:29" ht="28.5">
      <c r="A21" s="379"/>
      <c r="B21" s="1131" t="s">
        <v>1774</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20"/>
      <c r="M22" s="2714"/>
      <c r="N22" s="2714"/>
      <c r="O22" s="2714"/>
      <c r="P22" s="3725"/>
      <c r="Q22" s="1352"/>
      <c r="R22" s="705"/>
      <c r="S22" s="706"/>
      <c r="T22" s="705"/>
      <c r="U22" s="706"/>
      <c r="V22" s="705"/>
      <c r="W22" s="706"/>
      <c r="X22" s="1355"/>
      <c r="Y22" s="3718"/>
      <c r="Z22" s="1356"/>
      <c r="AA22" s="1353">
        <v>1</v>
      </c>
      <c r="AB22" s="1353">
        <v>1</v>
      </c>
      <c r="AC22" s="1353">
        <v>1</v>
      </c>
    </row>
    <row r="23" spans="1:29" ht="57">
      <c r="A23" s="379"/>
      <c r="B23" s="402" t="s">
        <v>1256</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5"/>
      <c r="Q23" s="1352" t="str">
        <f>B23</f>
        <v>自然及人文环境</v>
      </c>
      <c r="R23" s="705" t="s">
        <v>14</v>
      </c>
      <c r="S23" s="706">
        <f>F23</f>
        <v>100</v>
      </c>
      <c r="T23" s="705" t="s">
        <v>14</v>
      </c>
      <c r="U23" s="706">
        <f>H23</f>
        <v>100</v>
      </c>
      <c r="V23" s="705" t="s">
        <v>14</v>
      </c>
      <c r="W23" s="706">
        <f>J23</f>
        <v>100</v>
      </c>
      <c r="X23" s="1355"/>
      <c r="Y23" s="3718"/>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20"/>
      <c r="M24" s="2714"/>
      <c r="N24" s="2714"/>
      <c r="O24" s="2714"/>
      <c r="P24" s="3725"/>
      <c r="Q24" s="1352"/>
      <c r="R24" s="705"/>
      <c r="S24" s="706"/>
      <c r="T24" s="705"/>
      <c r="U24" s="706"/>
      <c r="V24" s="705"/>
      <c r="W24" s="706"/>
      <c r="X24" s="1355"/>
      <c r="Y24" s="3718"/>
      <c r="Z24" s="1356"/>
      <c r="AA24" s="1353">
        <v>1</v>
      </c>
      <c r="AB24" s="1353">
        <v>1</v>
      </c>
      <c r="AC24" s="1353">
        <v>1</v>
      </c>
    </row>
    <row r="25" spans="1:29" ht="15">
      <c r="A25" s="379"/>
      <c r="B25" s="375" t="s">
        <v>1775</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5"/>
      <c r="Q25" s="1352" t="str">
        <f t="shared" ref="Q25:Q46" si="11">B25</f>
        <v>临街状况</v>
      </c>
      <c r="R25" s="705" t="s">
        <v>14</v>
      </c>
      <c r="S25" s="706">
        <f>F25</f>
        <v>100</v>
      </c>
      <c r="T25" s="705" t="s">
        <v>14</v>
      </c>
      <c r="U25" s="706">
        <f>H25</f>
        <v>100</v>
      </c>
      <c r="V25" s="705" t="s">
        <v>14</v>
      </c>
      <c r="W25" s="706">
        <f>J25</f>
        <v>100</v>
      </c>
      <c r="X25" s="1355"/>
      <c r="Y25" s="3718"/>
      <c r="Z25" s="1356" t="str">
        <f>Q25</f>
        <v>临街状况</v>
      </c>
      <c r="AA25" s="1353">
        <f t="shared" si="3"/>
        <v>1</v>
      </c>
      <c r="AB25" s="1353">
        <f t="shared" si="4"/>
        <v>1</v>
      </c>
      <c r="AC25" s="1353">
        <f t="shared" si="5"/>
        <v>1</v>
      </c>
    </row>
    <row r="26" spans="1:29" ht="15">
      <c r="A26" s="379"/>
      <c r="B26" s="1133" t="s">
        <v>1776</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5"/>
      <c r="Q26" s="1352" t="str">
        <f t="shared" si="11"/>
        <v>平面位置/可视性</v>
      </c>
      <c r="R26" s="705" t="s">
        <v>14</v>
      </c>
      <c r="S26" s="706">
        <f>F26</f>
        <v>100</v>
      </c>
      <c r="T26" s="705" t="s">
        <v>14</v>
      </c>
      <c r="U26" s="706">
        <f>H26</f>
        <v>100</v>
      </c>
      <c r="V26" s="705" t="s">
        <v>14</v>
      </c>
      <c r="W26" s="706">
        <f>J26</f>
        <v>100</v>
      </c>
      <c r="X26" s="1355"/>
      <c r="Y26" s="3718"/>
      <c r="Z26" s="1356" t="str">
        <f>Q26</f>
        <v>平面位置/可视性</v>
      </c>
      <c r="AA26" s="1353">
        <f t="shared" si="3"/>
        <v>1</v>
      </c>
      <c r="AB26" s="1353">
        <f t="shared" si="4"/>
        <v>1</v>
      </c>
      <c r="AC26" s="1353">
        <f t="shared" si="5"/>
        <v>1</v>
      </c>
    </row>
    <row r="27" spans="1:29" s="108" customFormat="1" ht="15">
      <c r="A27" s="382"/>
      <c r="B27" s="402" t="s">
        <v>1777</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25"/>
      <c r="Q27" s="1343" t="str">
        <f t="shared" si="11"/>
        <v>人流量</v>
      </c>
      <c r="R27" s="701" t="s">
        <v>14</v>
      </c>
      <c r="S27" s="702">
        <f>F27</f>
        <v>100</v>
      </c>
      <c r="T27" s="701" t="s">
        <v>14</v>
      </c>
      <c r="U27" s="702">
        <f>H27</f>
        <v>100</v>
      </c>
      <c r="V27" s="701" t="s">
        <v>14</v>
      </c>
      <c r="W27" s="702">
        <f>J27</f>
        <v>100</v>
      </c>
      <c r="X27" s="703"/>
      <c r="Y27" s="3718"/>
      <c r="Z27" s="52" t="str">
        <f>Q27</f>
        <v>人流量</v>
      </c>
      <c r="AA27" s="1353">
        <f>D27/F27</f>
        <v>1</v>
      </c>
      <c r="AB27" s="1353">
        <f>D27/H27</f>
        <v>1</v>
      </c>
      <c r="AC27" s="1353">
        <f>D27/J27</f>
        <v>1</v>
      </c>
    </row>
    <row r="28" spans="1:29" ht="15">
      <c r="A28" s="379"/>
      <c r="B28" s="375" t="s">
        <v>1778</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5"/>
      <c r="Q29" s="1352">
        <f t="shared" si="11"/>
        <v>111</v>
      </c>
      <c r="R29" s="705" t="s">
        <v>14</v>
      </c>
      <c r="S29" s="706">
        <f t="shared" si="12"/>
        <v>100</v>
      </c>
      <c r="T29" s="705" t="s">
        <v>14</v>
      </c>
      <c r="U29" s="706">
        <f t="shared" si="13"/>
        <v>100</v>
      </c>
      <c r="V29" s="705" t="s">
        <v>14</v>
      </c>
      <c r="W29" s="706">
        <f t="shared" si="14"/>
        <v>100</v>
      </c>
      <c r="X29" s="1355"/>
      <c r="Y29" s="371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353">
        <f t="shared" si="5"/>
        <v>1</v>
      </c>
    </row>
    <row r="32" spans="1:29" ht="15">
      <c r="A32" s="391" t="s">
        <v>1689</v>
      </c>
      <c r="B32" s="63" t="s">
        <v>1779</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19" t="s">
        <v>1691</v>
      </c>
      <c r="Q32" s="1352" t="str">
        <f t="shared" si="11"/>
        <v>商业类型</v>
      </c>
      <c r="R32" s="705" t="s">
        <v>14</v>
      </c>
      <c r="S32" s="706">
        <f t="shared" si="12"/>
        <v>100</v>
      </c>
      <c r="T32" s="705" t="s">
        <v>14</v>
      </c>
      <c r="U32" s="706">
        <f t="shared" si="13"/>
        <v>100</v>
      </c>
      <c r="V32" s="705" t="s">
        <v>14</v>
      </c>
      <c r="W32" s="706">
        <f t="shared" si="14"/>
        <v>100</v>
      </c>
      <c r="X32" s="1355"/>
      <c r="Y32" s="3722"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0"/>
      <c r="Q33" s="707" t="str">
        <f t="shared" si="11"/>
        <v>项目建筑规模</v>
      </c>
      <c r="R33" s="708" t="s">
        <v>14</v>
      </c>
      <c r="S33" s="709" t="e">
        <f t="shared" si="12"/>
        <v>#N/A</v>
      </c>
      <c r="T33" s="708" t="s">
        <v>14</v>
      </c>
      <c r="U33" s="709" t="e">
        <f t="shared" si="13"/>
        <v>#N/A</v>
      </c>
      <c r="V33" s="708" t="s">
        <v>14</v>
      </c>
      <c r="W33" s="709" t="e">
        <f t="shared" si="14"/>
        <v>#N/A</v>
      </c>
      <c r="X33" s="710"/>
      <c r="Y33" s="3722"/>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20"/>
      <c r="Q34" s="1352" t="str">
        <f t="shared" si="11"/>
        <v>建筑结构</v>
      </c>
      <c r="R34" s="705" t="s">
        <v>14</v>
      </c>
      <c r="S34" s="706">
        <f t="shared" si="12"/>
        <v>100</v>
      </c>
      <c r="T34" s="705" t="s">
        <v>14</v>
      </c>
      <c r="U34" s="706">
        <f t="shared" si="13"/>
        <v>100</v>
      </c>
      <c r="V34" s="705" t="s">
        <v>14</v>
      </c>
      <c r="W34" s="706">
        <f t="shared" si="14"/>
        <v>100</v>
      </c>
      <c r="X34" s="1355"/>
      <c r="Y34" s="3722"/>
      <c r="Z34" s="1356" t="str">
        <f t="shared" si="15"/>
        <v>建筑结构</v>
      </c>
      <c r="AA34" s="1353">
        <f t="shared" si="3"/>
        <v>1</v>
      </c>
      <c r="AB34" s="1353">
        <f t="shared" si="4"/>
        <v>1</v>
      </c>
      <c r="AC34" s="1353">
        <f t="shared" si="5"/>
        <v>1</v>
      </c>
    </row>
    <row r="35" spans="1:29" ht="15">
      <c r="A35" s="423"/>
      <c r="B35" s="375" t="s">
        <v>1780</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20"/>
      <c r="Q35" s="1352" t="str">
        <f t="shared" si="11"/>
        <v>公共部分装修</v>
      </c>
      <c r="R35" s="705" t="s">
        <v>14</v>
      </c>
      <c r="S35" s="706">
        <f t="shared" si="12"/>
        <v>100</v>
      </c>
      <c r="T35" s="705" t="s">
        <v>14</v>
      </c>
      <c r="U35" s="706">
        <f t="shared" si="13"/>
        <v>100</v>
      </c>
      <c r="V35" s="705" t="s">
        <v>14</v>
      </c>
      <c r="W35" s="706">
        <f t="shared" si="14"/>
        <v>100</v>
      </c>
      <c r="X35" s="1355"/>
      <c r="Y35" s="3722"/>
      <c r="Z35" s="1356" t="str">
        <f t="shared" si="15"/>
        <v>公共部分装修</v>
      </c>
      <c r="AA35" s="1353">
        <f t="shared" si="3"/>
        <v>1</v>
      </c>
      <c r="AB35" s="1353">
        <f t="shared" si="4"/>
        <v>1</v>
      </c>
      <c r="AC35" s="1353">
        <f t="shared" si="5"/>
        <v>1</v>
      </c>
    </row>
    <row r="36" spans="1:29" ht="15">
      <c r="A36" s="423"/>
      <c r="B36" s="375" t="s">
        <v>1781</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0"/>
      <c r="Q36" s="1352" t="str">
        <f t="shared" si="11"/>
        <v>成新度</v>
      </c>
      <c r="R36" s="705" t="s">
        <v>14</v>
      </c>
      <c r="S36" s="706" t="e">
        <f t="shared" si="12"/>
        <v>#N/A</v>
      </c>
      <c r="T36" s="705" t="s">
        <v>14</v>
      </c>
      <c r="U36" s="706" t="e">
        <f t="shared" si="13"/>
        <v>#N/A</v>
      </c>
      <c r="V36" s="705" t="s">
        <v>14</v>
      </c>
      <c r="W36" s="706" t="e">
        <f t="shared" si="14"/>
        <v>#N/A</v>
      </c>
      <c r="X36" s="1355"/>
      <c r="Y36" s="3722"/>
      <c r="Z36" s="1356" t="str">
        <f t="shared" si="15"/>
        <v>成新度</v>
      </c>
      <c r="AA36" s="1353" t="e">
        <f t="shared" si="3"/>
        <v>#N/A</v>
      </c>
      <c r="AB36" s="1353" t="e">
        <f t="shared" si="4"/>
        <v>#N/A</v>
      </c>
      <c r="AC36" s="1353" t="e">
        <f t="shared" si="5"/>
        <v>#N/A</v>
      </c>
    </row>
    <row r="37" spans="1:29" s="108" customFormat="1" ht="15">
      <c r="A37" s="424"/>
      <c r="B37" s="375" t="s">
        <v>1782</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20"/>
      <c r="Q37" s="1343" t="str">
        <f t="shared" si="11"/>
        <v>市政基础设施</v>
      </c>
      <c r="R37" s="701" t="s">
        <v>14</v>
      </c>
      <c r="S37" s="702">
        <f t="shared" si="12"/>
        <v>100</v>
      </c>
      <c r="T37" s="701" t="s">
        <v>14</v>
      </c>
      <c r="U37" s="702">
        <f t="shared" si="13"/>
        <v>100</v>
      </c>
      <c r="V37" s="701" t="s">
        <v>14</v>
      </c>
      <c r="W37" s="702">
        <f t="shared" si="14"/>
        <v>100</v>
      </c>
      <c r="X37" s="703"/>
      <c r="Y37" s="3722"/>
      <c r="Z37" s="52" t="str">
        <f t="shared" si="15"/>
        <v>市政基础设施</v>
      </c>
      <c r="AA37" s="704">
        <f t="shared" si="3"/>
        <v>1</v>
      </c>
      <c r="AB37" s="704">
        <f t="shared" si="4"/>
        <v>1</v>
      </c>
      <c r="AC37" s="704">
        <f t="shared" si="5"/>
        <v>1</v>
      </c>
    </row>
    <row r="38" spans="1:29" ht="15">
      <c r="A38" s="423"/>
      <c r="B38" s="375" t="s">
        <v>1783</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20" t="s">
        <v>1691</v>
      </c>
      <c r="Q38" s="1352" t="str">
        <f t="shared" si="11"/>
        <v>业态</v>
      </c>
      <c r="R38" s="705" t="s">
        <v>14</v>
      </c>
      <c r="S38" s="706">
        <f t="shared" si="12"/>
        <v>100</v>
      </c>
      <c r="T38" s="705" t="s">
        <v>14</v>
      </c>
      <c r="U38" s="706">
        <f t="shared" si="13"/>
        <v>100</v>
      </c>
      <c r="V38" s="705" t="s">
        <v>14</v>
      </c>
      <c r="W38" s="706">
        <f t="shared" si="14"/>
        <v>100</v>
      </c>
      <c r="X38" s="1355"/>
      <c r="Y38" s="3722" t="s">
        <v>1691</v>
      </c>
      <c r="Z38" s="1356" t="str">
        <f t="shared" si="15"/>
        <v>业态</v>
      </c>
      <c r="AA38" s="1353">
        <f t="shared" si="3"/>
        <v>1</v>
      </c>
      <c r="AB38" s="1353">
        <f t="shared" si="4"/>
        <v>1</v>
      </c>
      <c r="AC38" s="1353">
        <f t="shared" si="5"/>
        <v>1</v>
      </c>
    </row>
    <row r="39" spans="1:29" ht="15">
      <c r="A39" s="423"/>
      <c r="B39" s="375" t="s">
        <v>1784</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20"/>
      <c r="Q39" s="1352" t="str">
        <f t="shared" si="11"/>
        <v>层高</v>
      </c>
      <c r="R39" s="705" t="s">
        <v>14</v>
      </c>
      <c r="S39" s="706">
        <f t="shared" si="12"/>
        <v>100</v>
      </c>
      <c r="T39" s="705" t="s">
        <v>14</v>
      </c>
      <c r="U39" s="706">
        <f t="shared" si="13"/>
        <v>100</v>
      </c>
      <c r="V39" s="705" t="s">
        <v>14</v>
      </c>
      <c r="W39" s="706">
        <f t="shared" si="14"/>
        <v>100</v>
      </c>
      <c r="X39" s="1355"/>
      <c r="Y39" s="3722"/>
      <c r="Z39" s="1356" t="str">
        <f t="shared" si="15"/>
        <v>层高</v>
      </c>
      <c r="AA39" s="1353">
        <f t="shared" si="3"/>
        <v>1</v>
      </c>
      <c r="AB39" s="1353">
        <f t="shared" si="4"/>
        <v>1</v>
      </c>
      <c r="AC39" s="1353">
        <f t="shared" si="5"/>
        <v>1</v>
      </c>
    </row>
    <row r="40" spans="1:29" ht="15">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0"/>
      <c r="Q40" s="1352" t="str">
        <f t="shared" si="11"/>
        <v>单套建筑面积</v>
      </c>
      <c r="R40" s="705" t="s">
        <v>14</v>
      </c>
      <c r="S40" s="706">
        <f t="shared" si="12"/>
        <v>100</v>
      </c>
      <c r="T40" s="705" t="s">
        <v>14</v>
      </c>
      <c r="U40" s="706">
        <f t="shared" si="13"/>
        <v>100</v>
      </c>
      <c r="V40" s="705" t="s">
        <v>14</v>
      </c>
      <c r="W40" s="706">
        <f t="shared" si="14"/>
        <v>100</v>
      </c>
      <c r="X40" s="1355"/>
      <c r="Y40" s="3722"/>
      <c r="Z40" s="1356" t="str">
        <f t="shared" si="15"/>
        <v>单套建筑面积</v>
      </c>
      <c r="AA40" s="1353">
        <f t="shared" si="3"/>
        <v>1</v>
      </c>
      <c r="AB40" s="1353">
        <f t="shared" si="4"/>
        <v>1</v>
      </c>
      <c r="AC40" s="1353">
        <f t="shared" si="5"/>
        <v>1</v>
      </c>
    </row>
    <row r="41" spans="1:29" s="422" customFormat="1" ht="15">
      <c r="A41" s="419"/>
      <c r="B41" s="1354"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0"/>
      <c r="Q41" s="707" t="str">
        <f t="shared" si="11"/>
        <v>进深比</v>
      </c>
      <c r="R41" s="708" t="s">
        <v>14</v>
      </c>
      <c r="S41" s="709">
        <f t="shared" si="12"/>
        <v>100</v>
      </c>
      <c r="T41" s="708" t="s">
        <v>14</v>
      </c>
      <c r="U41" s="709">
        <f t="shared" si="13"/>
        <v>100</v>
      </c>
      <c r="V41" s="708" t="s">
        <v>14</v>
      </c>
      <c r="W41" s="709">
        <f t="shared" si="14"/>
        <v>100</v>
      </c>
      <c r="X41" s="710"/>
      <c r="Y41" s="3722"/>
      <c r="Z41" s="711" t="str">
        <f t="shared" si="15"/>
        <v>进深比</v>
      </c>
      <c r="AA41" s="1353">
        <f t="shared" si="3"/>
        <v>1</v>
      </c>
      <c r="AB41" s="1353">
        <f t="shared" si="4"/>
        <v>1</v>
      </c>
      <c r="AC41" s="1353">
        <f t="shared" si="5"/>
        <v>1</v>
      </c>
    </row>
    <row r="42" spans="1:29" ht="15">
      <c r="A42" s="423"/>
      <c r="B42" s="375" t="s">
        <v>1787</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20"/>
      <c r="Q42" s="1352" t="str">
        <f t="shared" si="11"/>
        <v>内部装修</v>
      </c>
      <c r="R42" s="705" t="s">
        <v>14</v>
      </c>
      <c r="S42" s="706">
        <f t="shared" si="12"/>
        <v>100</v>
      </c>
      <c r="T42" s="705" t="s">
        <v>14</v>
      </c>
      <c r="U42" s="706">
        <f t="shared" si="13"/>
        <v>100</v>
      </c>
      <c r="V42" s="705" t="s">
        <v>14</v>
      </c>
      <c r="W42" s="706">
        <f t="shared" si="14"/>
        <v>100</v>
      </c>
      <c r="X42" s="1355"/>
      <c r="Y42" s="3722"/>
      <c r="Z42" s="1356" t="str">
        <f t="shared" si="15"/>
        <v>内部装修</v>
      </c>
      <c r="AA42" s="1353">
        <f t="shared" si="3"/>
        <v>1</v>
      </c>
      <c r="AB42" s="1353">
        <f t="shared" si="4"/>
        <v>1</v>
      </c>
      <c r="AC42" s="1353">
        <f t="shared" si="5"/>
        <v>1</v>
      </c>
    </row>
    <row r="43" spans="1:29" ht="15">
      <c r="A43" s="423"/>
      <c r="B43" s="375" t="s">
        <v>1702</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20"/>
      <c r="Q43" s="1352" t="str">
        <f t="shared" si="11"/>
        <v>内部装修维护情况</v>
      </c>
      <c r="R43" s="705" t="s">
        <v>14</v>
      </c>
      <c r="S43" s="706">
        <f t="shared" si="12"/>
        <v>100</v>
      </c>
      <c r="T43" s="705" t="s">
        <v>14</v>
      </c>
      <c r="U43" s="706">
        <f t="shared" si="13"/>
        <v>100</v>
      </c>
      <c r="V43" s="705" t="s">
        <v>14</v>
      </c>
      <c r="W43" s="706">
        <f t="shared" si="14"/>
        <v>100</v>
      </c>
      <c r="X43" s="1355"/>
      <c r="Y43" s="372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0"/>
      <c r="Q44" s="1343">
        <f t="shared" si="11"/>
        <v>111</v>
      </c>
      <c r="R44" s="701" t="s">
        <v>14</v>
      </c>
      <c r="S44" s="702">
        <f t="shared" si="12"/>
        <v>100</v>
      </c>
      <c r="T44" s="701" t="s">
        <v>14</v>
      </c>
      <c r="U44" s="702">
        <f t="shared" si="13"/>
        <v>100</v>
      </c>
      <c r="V44" s="701" t="s">
        <v>14</v>
      </c>
      <c r="W44" s="702">
        <f t="shared" si="14"/>
        <v>100</v>
      </c>
      <c r="X44" s="703"/>
      <c r="Y44" s="372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0"/>
      <c r="Q45" s="1352">
        <f t="shared" si="11"/>
        <v>111</v>
      </c>
      <c r="R45" s="705" t="s">
        <v>14</v>
      </c>
      <c r="S45" s="706">
        <f t="shared" si="12"/>
        <v>100</v>
      </c>
      <c r="T45" s="705" t="s">
        <v>14</v>
      </c>
      <c r="U45" s="706">
        <f t="shared" si="13"/>
        <v>100</v>
      </c>
      <c r="V45" s="705" t="s">
        <v>14</v>
      </c>
      <c r="W45" s="706">
        <f t="shared" si="14"/>
        <v>100</v>
      </c>
      <c r="X45" s="1355"/>
      <c r="Y45" s="3722"/>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2"/>
      <c r="M47" s="2723"/>
      <c r="N47" s="2714"/>
      <c r="O47" s="2723"/>
      <c r="P47" s="3715" t="str">
        <f>A47</f>
        <v>成交单价（元/平方米）</v>
      </c>
      <c r="Q47" s="3715"/>
      <c r="R47" s="3710">
        <f>E47</f>
        <v>0</v>
      </c>
      <c r="S47" s="3710"/>
      <c r="T47" s="3710">
        <f>G47</f>
        <v>0</v>
      </c>
      <c r="U47" s="3710"/>
      <c r="V47" s="3710">
        <f>I47</f>
        <v>0</v>
      </c>
      <c r="W47" s="3710"/>
      <c r="X47" s="690"/>
      <c r="Y47" s="712"/>
      <c r="Z47" s="690"/>
      <c r="AA47" s="690"/>
      <c r="AB47" s="690"/>
      <c r="AC47" s="690"/>
    </row>
    <row r="48" spans="1:29" ht="15.75" thickBot="1">
      <c r="A48" s="437" t="s">
        <v>1788</v>
      </c>
      <c r="B48" s="438"/>
      <c r="C48" s="1160" t="e">
        <f>R49</f>
        <v>#DIV/0!</v>
      </c>
      <c r="D48" s="2316" t="s">
        <v>2133</v>
      </c>
      <c r="E48" s="1161" t="e">
        <f>R48</f>
        <v>#DIV/0!</v>
      </c>
      <c r="F48" s="2317"/>
      <c r="G48" s="1160" t="e">
        <f>T48</f>
        <v>#DIV/0!</v>
      </c>
      <c r="H48" s="2317"/>
      <c r="I48" s="1161" t="e">
        <f>V48</f>
        <v>#DIV/0!</v>
      </c>
      <c r="J48" s="2317"/>
      <c r="K48" s="2319">
        <f>F48+H48+J48</f>
        <v>0</v>
      </c>
      <c r="L48" s="2722"/>
      <c r="M48" s="2723"/>
      <c r="N48" s="2714"/>
      <c r="O48" s="2723"/>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1789</v>
      </c>
      <c r="B49" s="442"/>
      <c r="C49" s="1163" t="e">
        <f>R49</f>
        <v>#DIV/0!</v>
      </c>
      <c r="D49" s="1163"/>
      <c r="E49" s="1163"/>
      <c r="F49" s="1163"/>
      <c r="G49" s="1163"/>
      <c r="H49" s="1163"/>
      <c r="I49" s="1163"/>
      <c r="J49" s="1163"/>
      <c r="K49" s="715"/>
      <c r="L49" s="2722"/>
      <c r="M49" s="2723"/>
      <c r="N49" s="2714"/>
      <c r="O49" s="2723"/>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1793</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1674</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1711</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1676</v>
      </c>
      <c r="B61" s="459"/>
      <c r="C61" s="471" t="s">
        <v>1771</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1714</v>
      </c>
      <c r="B63" s="477" t="s">
        <v>1680</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1683</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1685</v>
      </c>
      <c r="B76" s="477" t="s">
        <v>1715</v>
      </c>
      <c r="C76" s="522" t="s">
        <v>1716</v>
      </c>
      <c r="D76" s="522" t="s">
        <v>1717</v>
      </c>
      <c r="E76" s="522" t="s">
        <v>1718</v>
      </c>
      <c r="F76" s="522" t="s">
        <v>1719</v>
      </c>
      <c r="G76" s="522" t="s">
        <v>1720</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1721</v>
      </c>
      <c r="C78" s="527" t="s">
        <v>1716</v>
      </c>
      <c r="D78" s="527" t="s">
        <v>1717</v>
      </c>
      <c r="E78" s="527" t="s">
        <v>1718</v>
      </c>
      <c r="F78" s="527" t="s">
        <v>1719</v>
      </c>
      <c r="G78" s="527" t="s">
        <v>1720</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1722</v>
      </c>
      <c r="C80" s="527" t="s">
        <v>1716</v>
      </c>
      <c r="D80" s="527" t="s">
        <v>1717</v>
      </c>
      <c r="E80" s="527" t="s">
        <v>1718</v>
      </c>
      <c r="F80" s="527" t="s">
        <v>1719</v>
      </c>
      <c r="G80" s="527" t="s">
        <v>1720</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1774</v>
      </c>
      <c r="C82" s="608" t="s">
        <v>1794</v>
      </c>
      <c r="D82" s="608" t="s">
        <v>1795</v>
      </c>
      <c r="E82" s="608" t="s">
        <v>1796</v>
      </c>
      <c r="F82" s="608" t="s">
        <v>1797</v>
      </c>
      <c r="G82" s="608" t="s">
        <v>1798</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1728</v>
      </c>
      <c r="C84" s="527" t="s">
        <v>1716</v>
      </c>
      <c r="D84" s="527" t="s">
        <v>1717</v>
      </c>
      <c r="E84" s="527" t="s">
        <v>1718</v>
      </c>
      <c r="F84" s="527" t="s">
        <v>1719</v>
      </c>
      <c r="G84" s="527" t="s">
        <v>1720</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1799</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1689</v>
      </c>
      <c r="B100" s="477" t="s">
        <v>1800</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1732</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1733</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1735</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1737</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1801</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1802</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1803</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1804</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1739</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956" t="s">
        <v>1805</v>
      </c>
      <c r="C1" s="1224" t="s">
        <v>1657</v>
      </c>
      <c r="D1" s="1225"/>
      <c r="E1" s="3429"/>
      <c r="F1" s="1878"/>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1458</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0</v>
      </c>
      <c r="C3" s="354" t="s">
        <v>1763</v>
      </c>
      <c r="D3" s="353">
        <f>IF(D1="",'数据-汇总表'!E3,SUMIF('数据-汇总表'!$C19:$C33,D1,'数据-汇总表'!$E19:$E33))</f>
        <v>9801.27</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1764</v>
      </c>
      <c r="B4" s="356"/>
      <c r="C4" s="3698" t="s">
        <v>1765</v>
      </c>
      <c r="D4" s="3699"/>
      <c r="E4" s="3700" t="s">
        <v>1766</v>
      </c>
      <c r="F4" s="3701"/>
      <c r="G4" s="3698" t="s">
        <v>1767</v>
      </c>
      <c r="H4" s="3699"/>
      <c r="I4" s="3698" t="s">
        <v>1768</v>
      </c>
      <c r="J4" s="3699"/>
      <c r="K4" s="559" t="s">
        <v>1769</v>
      </c>
      <c r="L4" s="2713"/>
      <c r="M4" s="2714"/>
      <c r="N4" s="2714"/>
      <c r="O4" s="2714"/>
      <c r="P4" s="3732" t="s">
        <v>1770</v>
      </c>
      <c r="Q4" s="3733"/>
      <c r="R4" s="3727" t="s">
        <v>1766</v>
      </c>
      <c r="S4" s="3728"/>
      <c r="T4" s="3727" t="s">
        <v>1767</v>
      </c>
      <c r="U4" s="3728"/>
      <c r="V4" s="3736" t="s">
        <v>1768</v>
      </c>
      <c r="W4" s="3736"/>
      <c r="X4" s="1957"/>
      <c r="Y4" s="3727" t="s">
        <v>1770</v>
      </c>
      <c r="Z4" s="3728"/>
      <c r="AA4" s="3726" t="s">
        <v>1766</v>
      </c>
      <c r="AB4" s="3726" t="s">
        <v>1767</v>
      </c>
      <c r="AC4" s="3729" t="s">
        <v>1768</v>
      </c>
    </row>
    <row r="5" spans="1:29" ht="15">
      <c r="A5" s="358"/>
      <c r="B5" s="359"/>
      <c r="C5" s="3691" t="s">
        <v>1668</v>
      </c>
      <c r="D5" s="3692"/>
      <c r="E5" s="3689" t="s">
        <v>1669</v>
      </c>
      <c r="F5" s="3690"/>
      <c r="G5" s="3691" t="s">
        <v>1670</v>
      </c>
      <c r="H5" s="3692"/>
      <c r="I5" s="3691" t="s">
        <v>1671</v>
      </c>
      <c r="J5" s="3692"/>
      <c r="K5" s="559"/>
      <c r="L5" s="2713"/>
      <c r="M5" s="2714"/>
      <c r="N5" s="2714"/>
      <c r="O5" s="2714"/>
      <c r="P5" s="3734"/>
      <c r="Q5" s="3705"/>
      <c r="R5" s="3687"/>
      <c r="S5" s="3688"/>
      <c r="T5" s="3687"/>
      <c r="U5" s="3688"/>
      <c r="V5" s="3710"/>
      <c r="W5" s="3710"/>
      <c r="X5" s="1355"/>
      <c r="Y5" s="3687"/>
      <c r="Z5" s="3688"/>
      <c r="AA5" s="3681"/>
      <c r="AB5" s="3681"/>
      <c r="AC5" s="3730"/>
    </row>
    <row r="6" spans="1:29" ht="15.75" thickBot="1">
      <c r="A6" s="360"/>
      <c r="B6" s="361"/>
      <c r="C6" s="3693" t="s">
        <v>1672</v>
      </c>
      <c r="D6" s="3694"/>
      <c r="E6" s="3695" t="s">
        <v>1672</v>
      </c>
      <c r="F6" s="3696"/>
      <c r="G6" s="3693" t="s">
        <v>1672</v>
      </c>
      <c r="H6" s="3694"/>
      <c r="I6" s="3693" t="s">
        <v>1672</v>
      </c>
      <c r="J6" s="3694"/>
      <c r="K6" s="559" t="s">
        <v>1673</v>
      </c>
      <c r="L6" s="2713"/>
      <c r="M6" s="2714"/>
      <c r="N6" s="2714"/>
      <c r="O6" s="2714"/>
      <c r="P6" s="3735"/>
      <c r="Q6" s="3707"/>
      <c r="R6" s="3687"/>
      <c r="S6" s="3688"/>
      <c r="T6" s="3708"/>
      <c r="U6" s="3709"/>
      <c r="V6" s="3710"/>
      <c r="W6" s="3710"/>
      <c r="X6" s="1355"/>
      <c r="Y6" s="3708"/>
      <c r="Z6" s="3709"/>
      <c r="AA6" s="3682"/>
      <c r="AB6" s="3682"/>
      <c r="AC6" s="3731"/>
    </row>
    <row r="7" spans="1:29" s="108" customFormat="1" ht="15.75" thickBot="1">
      <c r="A7" s="362" t="s">
        <v>1674</v>
      </c>
      <c r="B7" s="363"/>
      <c r="C7" s="364">
        <f>'数据-取费表'!B2</f>
        <v>45217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7" t="s">
        <v>1675</v>
      </c>
      <c r="Q7" s="3711"/>
      <c r="R7" s="701" t="s">
        <v>14</v>
      </c>
      <c r="S7" s="702">
        <f t="shared" ref="S7:S15" si="0">F7</f>
        <v>0</v>
      </c>
      <c r="T7" s="701" t="s">
        <v>14</v>
      </c>
      <c r="U7" s="702">
        <f t="shared" ref="U7:U15" si="1">H7</f>
        <v>0</v>
      </c>
      <c r="V7" s="701" t="s">
        <v>14</v>
      </c>
      <c r="W7" s="702">
        <f t="shared" ref="W7:W15" si="2">J7</f>
        <v>0</v>
      </c>
      <c r="X7" s="703"/>
      <c r="Y7" s="3683" t="s">
        <v>1675</v>
      </c>
      <c r="Z7" s="3684"/>
      <c r="AA7" s="704" t="e">
        <f>D7/F7</f>
        <v>#DIV/0!</v>
      </c>
      <c r="AB7" s="704" t="e">
        <f>D7/H7</f>
        <v>#DIV/0!</v>
      </c>
      <c r="AC7" s="1958"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7" t="s">
        <v>1678</v>
      </c>
      <c r="Q8" s="3684"/>
      <c r="R8" s="701" t="s">
        <v>14</v>
      </c>
      <c r="S8" s="702">
        <f t="shared" si="0"/>
        <v>100</v>
      </c>
      <c r="T8" s="701" t="s">
        <v>14</v>
      </c>
      <c r="U8" s="702">
        <f t="shared" si="1"/>
        <v>100</v>
      </c>
      <c r="V8" s="701" t="s">
        <v>14</v>
      </c>
      <c r="W8" s="702">
        <f t="shared" si="2"/>
        <v>100</v>
      </c>
      <c r="X8" s="703"/>
      <c r="Y8" s="3683" t="s">
        <v>1678</v>
      </c>
      <c r="Z8" s="3684"/>
      <c r="AA8" s="704">
        <f t="shared" ref="AA8:AA47" si="3">D8/F8</f>
        <v>1</v>
      </c>
      <c r="AB8" s="704">
        <f t="shared" ref="AB8:AB47" si="4">D8/H8</f>
        <v>1</v>
      </c>
      <c r="AC8" s="1958">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7" t="s">
        <v>1681</v>
      </c>
      <c r="Q9" s="1343" t="str">
        <f t="shared" ref="Q9:Q15" si="6">B9</f>
        <v>用途</v>
      </c>
      <c r="R9" s="701" t="s">
        <v>14</v>
      </c>
      <c r="S9" s="702">
        <f t="shared" si="0"/>
        <v>100</v>
      </c>
      <c r="T9" s="701" t="s">
        <v>14</v>
      </c>
      <c r="U9" s="702">
        <f t="shared" si="1"/>
        <v>100</v>
      </c>
      <c r="V9" s="701" t="s">
        <v>14</v>
      </c>
      <c r="W9" s="702">
        <f t="shared" si="2"/>
        <v>100</v>
      </c>
      <c r="X9" s="703"/>
      <c r="Y9" s="3627" t="s">
        <v>1682</v>
      </c>
      <c r="Z9" s="52" t="str">
        <f t="shared" ref="Z9:Z15" si="7">Q9</f>
        <v>用途</v>
      </c>
      <c r="AA9" s="704">
        <f t="shared" si="3"/>
        <v>1</v>
      </c>
      <c r="AB9" s="704">
        <f t="shared" si="4"/>
        <v>1</v>
      </c>
      <c r="AC9" s="1958">
        <f t="shared" si="5"/>
        <v>1</v>
      </c>
    </row>
    <row r="10" spans="1:29" s="378" customFormat="1" ht="27">
      <c r="A10" s="374"/>
      <c r="B10" s="375" t="s">
        <v>1683</v>
      </c>
      <c r="C10" s="3430"/>
      <c r="D10" s="127">
        <v>100</v>
      </c>
      <c r="E10" s="3430"/>
      <c r="F10" s="127">
        <f>SUMIF(66:66,E10,67:67)-SUMIF(66:66,C10,67:67)+100</f>
        <v>100</v>
      </c>
      <c r="G10" s="3431"/>
      <c r="H10" s="127">
        <f>SUMIF(66:66,G10,67:67)-SUMIF(66:66,C10,67:67)+100</f>
        <v>100</v>
      </c>
      <c r="I10" s="3430"/>
      <c r="J10" s="127">
        <f>SUMIF(66:66,I10,67:67)-SUMIF(66:66,C10,67:67)+100</f>
        <v>100</v>
      </c>
      <c r="K10" s="560"/>
      <c r="L10" s="2717"/>
      <c r="M10" s="2718"/>
      <c r="N10" s="2718"/>
      <c r="O10" s="2718"/>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1958">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1958">
        <f t="shared" si="5"/>
        <v>1</v>
      </c>
    </row>
    <row r="15" spans="1:29" ht="71.25">
      <c r="A15" s="391" t="s">
        <v>1685</v>
      </c>
      <c r="B15" s="577" t="s">
        <v>1806</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4" t="s">
        <v>1686</v>
      </c>
      <c r="Q15" s="1352" t="str">
        <f t="shared" si="6"/>
        <v>办公集聚程度</v>
      </c>
      <c r="R15" s="705" t="s">
        <v>14</v>
      </c>
      <c r="S15" s="706">
        <f t="shared" si="0"/>
        <v>100</v>
      </c>
      <c r="T15" s="705" t="s">
        <v>14</v>
      </c>
      <c r="U15" s="706">
        <f t="shared" si="1"/>
        <v>100</v>
      </c>
      <c r="V15" s="705" t="s">
        <v>14</v>
      </c>
      <c r="W15" s="706">
        <f t="shared" si="2"/>
        <v>100</v>
      </c>
      <c r="X15" s="1355"/>
      <c r="Y15" s="3717" t="s">
        <v>1686</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0"/>
      <c r="M16" s="2714"/>
      <c r="N16" s="2714"/>
      <c r="O16" s="2714"/>
      <c r="P16" s="3725"/>
      <c r="Q16" s="1352"/>
      <c r="R16" s="705"/>
      <c r="S16" s="706"/>
      <c r="T16" s="705"/>
      <c r="U16" s="706"/>
      <c r="V16" s="705"/>
      <c r="W16" s="706"/>
      <c r="X16" s="1355"/>
      <c r="Y16" s="3718"/>
      <c r="Z16" s="1356"/>
      <c r="AA16" s="1353">
        <v>1</v>
      </c>
      <c r="AB16" s="1353">
        <v>1</v>
      </c>
      <c r="AC16" s="1961">
        <v>1</v>
      </c>
    </row>
    <row r="17" spans="1:29" ht="71.25">
      <c r="A17" s="379"/>
      <c r="B17" s="579" t="s">
        <v>1254</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0"/>
      <c r="M18" s="2714"/>
      <c r="N18" s="2714"/>
      <c r="O18" s="2714"/>
      <c r="P18" s="3725"/>
      <c r="Q18" s="1352"/>
      <c r="R18" s="705"/>
      <c r="S18" s="706"/>
      <c r="T18" s="705"/>
      <c r="U18" s="706"/>
      <c r="V18" s="705"/>
      <c r="W18" s="706"/>
      <c r="X18" s="1355"/>
      <c r="Y18" s="3718"/>
      <c r="Z18" s="1356"/>
      <c r="AA18" s="1353">
        <v>1</v>
      </c>
      <c r="AB18" s="1353">
        <v>1</v>
      </c>
      <c r="AC18" s="1961">
        <v>1</v>
      </c>
    </row>
    <row r="19" spans="1:29" ht="42.75">
      <c r="A19" s="379"/>
      <c r="B19" s="579" t="s">
        <v>1807</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0"/>
      <c r="M20" s="2714"/>
      <c r="N20" s="2714"/>
      <c r="O20" s="2714"/>
      <c r="P20" s="3725"/>
      <c r="Q20" s="1352"/>
      <c r="R20" s="705"/>
      <c r="S20" s="706"/>
      <c r="T20" s="705"/>
      <c r="U20" s="706"/>
      <c r="V20" s="705"/>
      <c r="W20" s="706"/>
      <c r="X20" s="1355"/>
      <c r="Y20" s="3718"/>
      <c r="Z20" s="1356"/>
      <c r="AA20" s="1353">
        <v>1</v>
      </c>
      <c r="AB20" s="1353">
        <v>1</v>
      </c>
      <c r="AC20" s="1961">
        <v>1</v>
      </c>
    </row>
    <row r="21" spans="1:29" ht="28.5">
      <c r="A21" s="379"/>
      <c r="B21" s="581" t="s">
        <v>1808</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725"/>
      <c r="Q22" s="1352"/>
      <c r="R22" s="705"/>
      <c r="S22" s="706"/>
      <c r="T22" s="705"/>
      <c r="U22" s="706"/>
      <c r="V22" s="705"/>
      <c r="W22" s="706"/>
      <c r="X22" s="1355"/>
      <c r="Y22" s="3718"/>
      <c r="Z22" s="1356"/>
      <c r="AA22" s="1353">
        <v>1</v>
      </c>
      <c r="AB22" s="1353">
        <v>1</v>
      </c>
      <c r="AC22" s="1961">
        <v>1</v>
      </c>
    </row>
    <row r="23" spans="1:29" ht="42.75">
      <c r="A23" s="379"/>
      <c r="B23" s="579" t="s">
        <v>1809</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5"/>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0"/>
      <c r="M24" s="2714"/>
      <c r="N24" s="2714"/>
      <c r="O24" s="2714"/>
      <c r="P24" s="3725"/>
      <c r="Q24" s="1352"/>
      <c r="R24" s="705"/>
      <c r="S24" s="706"/>
      <c r="T24" s="705"/>
      <c r="U24" s="706"/>
      <c r="V24" s="705"/>
      <c r="W24" s="706"/>
      <c r="X24" s="1355"/>
      <c r="Y24" s="3718"/>
      <c r="Z24" s="1356"/>
      <c r="AA24" s="1353">
        <v>1</v>
      </c>
      <c r="AB24" s="1353">
        <v>1</v>
      </c>
      <c r="AC24" s="1961">
        <v>1</v>
      </c>
    </row>
    <row r="25" spans="1:29" ht="27">
      <c r="A25" s="358"/>
      <c r="B25" s="579" t="s">
        <v>1810</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25"/>
      <c r="Q25" s="1352" t="str">
        <f>B25</f>
        <v>毗邻道路的类型与等级</v>
      </c>
      <c r="R25" s="705" t="s">
        <v>14</v>
      </c>
      <c r="S25" s="706">
        <f>F25</f>
        <v>100</v>
      </c>
      <c r="T25" s="705" t="s">
        <v>14</v>
      </c>
      <c r="U25" s="706">
        <f>H25</f>
        <v>100</v>
      </c>
      <c r="V25" s="705" t="s">
        <v>14</v>
      </c>
      <c r="W25" s="706">
        <f>J25</f>
        <v>100</v>
      </c>
      <c r="X25" s="1355"/>
      <c r="Y25" s="3718"/>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725"/>
      <c r="Q26" s="1352"/>
      <c r="R26" s="705"/>
      <c r="S26" s="706"/>
      <c r="T26" s="705"/>
      <c r="U26" s="706"/>
      <c r="V26" s="705"/>
      <c r="W26" s="706"/>
      <c r="X26" s="1355"/>
      <c r="Y26" s="3718"/>
      <c r="Z26" s="1356"/>
      <c r="AA26" s="1353">
        <v>1</v>
      </c>
      <c r="AB26" s="1353">
        <v>1</v>
      </c>
      <c r="AC26" s="1961">
        <v>1</v>
      </c>
    </row>
    <row r="27" spans="1:29" ht="15">
      <c r="A27" s="379"/>
      <c r="B27" s="580" t="s">
        <v>1778</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5"/>
      <c r="Q27" s="1352" t="str">
        <f t="shared" ref="Q27:Q47" si="11">B27</f>
        <v>楼层</v>
      </c>
      <c r="R27" s="705" t="s">
        <v>14</v>
      </c>
      <c r="S27" s="706">
        <f>F27</f>
        <v>100</v>
      </c>
      <c r="T27" s="705" t="s">
        <v>14</v>
      </c>
      <c r="U27" s="706">
        <f>H27</f>
        <v>100</v>
      </c>
      <c r="V27" s="705" t="s">
        <v>14</v>
      </c>
      <c r="W27" s="706">
        <f>J27</f>
        <v>100</v>
      </c>
      <c r="X27" s="1355"/>
      <c r="Y27" s="3718"/>
      <c r="Z27" s="1356" t="str">
        <f>Q27</f>
        <v>楼层</v>
      </c>
      <c r="AA27" s="1353">
        <f t="shared" si="3"/>
        <v>1</v>
      </c>
      <c r="AB27" s="1353">
        <f t="shared" si="4"/>
        <v>1</v>
      </c>
      <c r="AC27" s="1961">
        <f t="shared" si="5"/>
        <v>1</v>
      </c>
    </row>
    <row r="28" spans="1:29" s="108" customFormat="1" ht="15">
      <c r="A28" s="382"/>
      <c r="B28" s="579" t="s">
        <v>1811</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25"/>
      <c r="Q28" s="1343" t="str">
        <f t="shared" si="11"/>
        <v>朝向</v>
      </c>
      <c r="R28" s="701" t="s">
        <v>14</v>
      </c>
      <c r="S28" s="702">
        <f>F28</f>
        <v>100</v>
      </c>
      <c r="T28" s="701" t="s">
        <v>14</v>
      </c>
      <c r="U28" s="702">
        <f>H28</f>
        <v>100</v>
      </c>
      <c r="V28" s="701" t="s">
        <v>14</v>
      </c>
      <c r="W28" s="702">
        <f>J28</f>
        <v>100</v>
      </c>
      <c r="X28" s="703"/>
      <c r="Y28" s="3718"/>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25"/>
      <c r="Q29" s="1352">
        <f t="shared" si="11"/>
        <v>111</v>
      </c>
      <c r="R29" s="705" t="s">
        <v>14</v>
      </c>
      <c r="S29" s="706">
        <f t="shared" ref="S29:S47" si="12">F29</f>
        <v>100</v>
      </c>
      <c r="T29" s="705" t="s">
        <v>14</v>
      </c>
      <c r="U29" s="706">
        <f t="shared" ref="U29:U47" si="13">H29</f>
        <v>100</v>
      </c>
      <c r="V29" s="705" t="s">
        <v>14</v>
      </c>
      <c r="W29" s="706">
        <f t="shared" ref="W29:W47" si="14">J29</f>
        <v>100</v>
      </c>
      <c r="X29" s="1355"/>
      <c r="Y29" s="3718"/>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25"/>
      <c r="Q32" s="1352">
        <f t="shared" si="11"/>
        <v>111</v>
      </c>
      <c r="R32" s="705" t="s">
        <v>14</v>
      </c>
      <c r="S32" s="706">
        <f t="shared" si="12"/>
        <v>100</v>
      </c>
      <c r="T32" s="705" t="s">
        <v>14</v>
      </c>
      <c r="U32" s="706">
        <f t="shared" si="13"/>
        <v>100</v>
      </c>
      <c r="V32" s="705" t="s">
        <v>14</v>
      </c>
      <c r="W32" s="706">
        <f t="shared" si="14"/>
        <v>100</v>
      </c>
      <c r="X32" s="1355"/>
      <c r="Y32" s="3718"/>
      <c r="Z32" s="1356">
        <f t="shared" si="15"/>
        <v>111</v>
      </c>
      <c r="AA32" s="1353">
        <f t="shared" si="3"/>
        <v>1</v>
      </c>
      <c r="AB32" s="1353">
        <f t="shared" si="4"/>
        <v>1</v>
      </c>
      <c r="AC32" s="1961">
        <f t="shared" si="5"/>
        <v>1</v>
      </c>
    </row>
    <row r="33" spans="1:29" ht="15">
      <c r="A33" s="391" t="s">
        <v>1689</v>
      </c>
      <c r="B33" s="63" t="s">
        <v>1812</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19" t="s">
        <v>1691</v>
      </c>
      <c r="Q33" s="1352" t="str">
        <f t="shared" si="11"/>
        <v>建筑类型</v>
      </c>
      <c r="R33" s="705" t="s">
        <v>14</v>
      </c>
      <c r="S33" s="706">
        <f t="shared" si="12"/>
        <v>100</v>
      </c>
      <c r="T33" s="705" t="s">
        <v>14</v>
      </c>
      <c r="U33" s="706">
        <f t="shared" si="13"/>
        <v>100</v>
      </c>
      <c r="V33" s="705" t="s">
        <v>14</v>
      </c>
      <c r="W33" s="706">
        <f t="shared" si="14"/>
        <v>100</v>
      </c>
      <c r="X33" s="1355"/>
      <c r="Y33" s="3722" t="s">
        <v>1691</v>
      </c>
      <c r="Z33" s="1356" t="str">
        <f t="shared" si="15"/>
        <v>建筑类型</v>
      </c>
      <c r="AA33" s="1353">
        <f t="shared" si="3"/>
        <v>1</v>
      </c>
      <c r="AB33" s="1353">
        <f t="shared" si="4"/>
        <v>1</v>
      </c>
      <c r="AC33" s="1961">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0"/>
      <c r="Q34" s="707" t="str">
        <f t="shared" si="11"/>
        <v>项目建筑规模</v>
      </c>
      <c r="R34" s="708" t="s">
        <v>14</v>
      </c>
      <c r="S34" s="709" t="e">
        <f t="shared" si="12"/>
        <v>#N/A</v>
      </c>
      <c r="T34" s="708" t="s">
        <v>14</v>
      </c>
      <c r="U34" s="709" t="e">
        <f t="shared" si="13"/>
        <v>#N/A</v>
      </c>
      <c r="V34" s="708" t="s">
        <v>14</v>
      </c>
      <c r="W34" s="709" t="e">
        <f t="shared" si="14"/>
        <v>#N/A</v>
      </c>
      <c r="X34" s="710"/>
      <c r="Y34" s="3722"/>
      <c r="Z34" s="711" t="str">
        <f t="shared" si="15"/>
        <v>项目建筑规模</v>
      </c>
      <c r="AA34" s="1353" t="e">
        <f t="shared" si="3"/>
        <v>#N/A</v>
      </c>
      <c r="AB34" s="1353" t="e">
        <f t="shared" si="4"/>
        <v>#N/A</v>
      </c>
      <c r="AC34" s="1961"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0"/>
      <c r="Q35" s="1352" t="str">
        <f t="shared" si="11"/>
        <v>建筑结构</v>
      </c>
      <c r="R35" s="705" t="s">
        <v>14</v>
      </c>
      <c r="S35" s="706">
        <f t="shared" si="12"/>
        <v>100</v>
      </c>
      <c r="T35" s="705" t="s">
        <v>14</v>
      </c>
      <c r="U35" s="706">
        <f t="shared" si="13"/>
        <v>100</v>
      </c>
      <c r="V35" s="705" t="s">
        <v>14</v>
      </c>
      <c r="W35" s="706">
        <f t="shared" si="14"/>
        <v>100</v>
      </c>
      <c r="X35" s="1355"/>
      <c r="Y35" s="3722"/>
      <c r="Z35" s="1356" t="str">
        <f t="shared" si="15"/>
        <v>建筑结构</v>
      </c>
      <c r="AA35" s="1353">
        <f t="shared" si="3"/>
        <v>1</v>
      </c>
      <c r="AB35" s="1353">
        <f t="shared" si="4"/>
        <v>1</v>
      </c>
      <c r="AC35" s="1961">
        <f t="shared" si="5"/>
        <v>1</v>
      </c>
    </row>
    <row r="36" spans="1:29" ht="15">
      <c r="A36" s="423"/>
      <c r="B36" s="375" t="s">
        <v>1780</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0"/>
      <c r="Q36" s="1352" t="str">
        <f t="shared" si="11"/>
        <v>公共部分装修</v>
      </c>
      <c r="R36" s="705" t="s">
        <v>14</v>
      </c>
      <c r="S36" s="706">
        <f t="shared" si="12"/>
        <v>100</v>
      </c>
      <c r="T36" s="705" t="s">
        <v>14</v>
      </c>
      <c r="U36" s="706">
        <f t="shared" si="13"/>
        <v>100</v>
      </c>
      <c r="V36" s="705" t="s">
        <v>14</v>
      </c>
      <c r="W36" s="706">
        <f t="shared" si="14"/>
        <v>100</v>
      </c>
      <c r="X36" s="1355"/>
      <c r="Y36" s="3722"/>
      <c r="Z36" s="1356" t="str">
        <f t="shared" si="15"/>
        <v>公共部分装修</v>
      </c>
      <c r="AA36" s="1353">
        <f t="shared" si="3"/>
        <v>1</v>
      </c>
      <c r="AB36" s="1353">
        <f t="shared" si="4"/>
        <v>1</v>
      </c>
      <c r="AC36" s="1961">
        <f t="shared" si="5"/>
        <v>1</v>
      </c>
    </row>
    <row r="37" spans="1:29" ht="15">
      <c r="A37" s="423"/>
      <c r="B37" s="375" t="s">
        <v>1781</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0"/>
      <c r="Q37" s="1352" t="str">
        <f t="shared" si="11"/>
        <v>成新度</v>
      </c>
      <c r="R37" s="705" t="s">
        <v>14</v>
      </c>
      <c r="S37" s="706" t="e">
        <f t="shared" si="12"/>
        <v>#N/A</v>
      </c>
      <c r="T37" s="705" t="s">
        <v>14</v>
      </c>
      <c r="U37" s="706" t="e">
        <f t="shared" si="13"/>
        <v>#N/A</v>
      </c>
      <c r="V37" s="705" t="s">
        <v>14</v>
      </c>
      <c r="W37" s="706" t="e">
        <f t="shared" si="14"/>
        <v>#N/A</v>
      </c>
      <c r="X37" s="1355"/>
      <c r="Y37" s="3722"/>
      <c r="Z37" s="1356" t="str">
        <f t="shared" si="15"/>
        <v>成新度</v>
      </c>
      <c r="AA37" s="1353" t="e">
        <f t="shared" si="3"/>
        <v>#N/A</v>
      </c>
      <c r="AB37" s="1353" t="e">
        <f t="shared" si="4"/>
        <v>#N/A</v>
      </c>
      <c r="AC37" s="1961" t="e">
        <f t="shared" si="5"/>
        <v>#N/A</v>
      </c>
    </row>
    <row r="38" spans="1:29" s="108" customFormat="1" ht="15">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0"/>
      <c r="Q38" s="1343" t="str">
        <f t="shared" si="11"/>
        <v>写字楼等级</v>
      </c>
      <c r="R38" s="701" t="s">
        <v>14</v>
      </c>
      <c r="S38" s="702">
        <f t="shared" si="12"/>
        <v>100</v>
      </c>
      <c r="T38" s="701" t="s">
        <v>14</v>
      </c>
      <c r="U38" s="702">
        <f t="shared" si="13"/>
        <v>100</v>
      </c>
      <c r="V38" s="701" t="s">
        <v>14</v>
      </c>
      <c r="W38" s="702">
        <f t="shared" si="14"/>
        <v>100</v>
      </c>
      <c r="X38" s="703"/>
      <c r="Y38" s="3722"/>
      <c r="Z38" s="52" t="str">
        <f t="shared" si="15"/>
        <v>写字楼等级</v>
      </c>
      <c r="AA38" s="704">
        <f t="shared" si="3"/>
        <v>1</v>
      </c>
      <c r="AB38" s="704">
        <f t="shared" si="4"/>
        <v>1</v>
      </c>
      <c r="AC38" s="1958">
        <f t="shared" si="5"/>
        <v>1</v>
      </c>
    </row>
    <row r="39" spans="1:29" ht="15">
      <c r="A39" s="423"/>
      <c r="B39" s="375" t="s">
        <v>1814</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0" t="s">
        <v>1691</v>
      </c>
      <c r="Q39" s="1352" t="str">
        <f t="shared" si="11"/>
        <v>物业管理</v>
      </c>
      <c r="R39" s="705" t="s">
        <v>14</v>
      </c>
      <c r="S39" s="706">
        <f t="shared" si="12"/>
        <v>100</v>
      </c>
      <c r="T39" s="705" t="s">
        <v>14</v>
      </c>
      <c r="U39" s="706">
        <f t="shared" si="13"/>
        <v>100</v>
      </c>
      <c r="V39" s="705" t="s">
        <v>14</v>
      </c>
      <c r="W39" s="706">
        <f t="shared" si="14"/>
        <v>100</v>
      </c>
      <c r="X39" s="1355"/>
      <c r="Y39" s="3722" t="s">
        <v>1691</v>
      </c>
      <c r="Z39" s="1356" t="str">
        <f t="shared" si="15"/>
        <v>物业管理</v>
      </c>
      <c r="AA39" s="1353">
        <f t="shared" si="3"/>
        <v>1</v>
      </c>
      <c r="AB39" s="1353">
        <f t="shared" si="4"/>
        <v>1</v>
      </c>
      <c r="AC39" s="1961">
        <f t="shared" si="5"/>
        <v>1</v>
      </c>
    </row>
    <row r="40" spans="1:29" ht="15">
      <c r="A40" s="423"/>
      <c r="B40" s="375" t="s">
        <v>1782</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0"/>
      <c r="Q40" s="1352" t="str">
        <f t="shared" si="11"/>
        <v>市政基础设施</v>
      </c>
      <c r="R40" s="705" t="s">
        <v>14</v>
      </c>
      <c r="S40" s="706">
        <f t="shared" si="12"/>
        <v>100</v>
      </c>
      <c r="T40" s="705" t="s">
        <v>14</v>
      </c>
      <c r="U40" s="706">
        <f t="shared" si="13"/>
        <v>100</v>
      </c>
      <c r="V40" s="705" t="s">
        <v>14</v>
      </c>
      <c r="W40" s="706">
        <f t="shared" si="14"/>
        <v>100</v>
      </c>
      <c r="X40" s="1355"/>
      <c r="Y40" s="3722"/>
      <c r="Z40" s="1356" t="str">
        <f t="shared" si="15"/>
        <v>市政基础设施</v>
      </c>
      <c r="AA40" s="1353">
        <f t="shared" si="3"/>
        <v>1</v>
      </c>
      <c r="AB40" s="1353">
        <f t="shared" si="4"/>
        <v>1</v>
      </c>
      <c r="AC40" s="1961">
        <f t="shared" si="5"/>
        <v>1</v>
      </c>
    </row>
    <row r="41" spans="1:29" ht="15">
      <c r="A41" s="423"/>
      <c r="B41" s="375" t="s">
        <v>1784</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0"/>
      <c r="Q41" s="1352" t="str">
        <f t="shared" si="11"/>
        <v>层高</v>
      </c>
      <c r="R41" s="705" t="s">
        <v>14</v>
      </c>
      <c r="S41" s="706">
        <f t="shared" si="12"/>
        <v>100</v>
      </c>
      <c r="T41" s="705" t="s">
        <v>14</v>
      </c>
      <c r="U41" s="706">
        <f t="shared" si="13"/>
        <v>100</v>
      </c>
      <c r="V41" s="705" t="s">
        <v>14</v>
      </c>
      <c r="W41" s="706">
        <f t="shared" si="14"/>
        <v>100</v>
      </c>
      <c r="X41" s="1355"/>
      <c r="Y41" s="3722"/>
      <c r="Z41" s="1356" t="str">
        <f t="shared" si="15"/>
        <v>层高</v>
      </c>
      <c r="AA41" s="1353">
        <f t="shared" si="3"/>
        <v>1</v>
      </c>
      <c r="AB41" s="1353">
        <f t="shared" si="4"/>
        <v>1</v>
      </c>
      <c r="AC41" s="1961">
        <f t="shared" si="5"/>
        <v>1</v>
      </c>
    </row>
    <row r="42" spans="1:29" s="422" customFormat="1" ht="15">
      <c r="A42" s="419"/>
      <c r="B42" s="1354"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0"/>
      <c r="Q42" s="707" t="str">
        <f t="shared" si="11"/>
        <v>单套建筑面积</v>
      </c>
      <c r="R42" s="708" t="s">
        <v>14</v>
      </c>
      <c r="S42" s="709">
        <f t="shared" si="12"/>
        <v>100</v>
      </c>
      <c r="T42" s="708" t="s">
        <v>14</v>
      </c>
      <c r="U42" s="709">
        <f t="shared" si="13"/>
        <v>100</v>
      </c>
      <c r="V42" s="708" t="s">
        <v>14</v>
      </c>
      <c r="W42" s="709">
        <f t="shared" si="14"/>
        <v>100</v>
      </c>
      <c r="X42" s="710"/>
      <c r="Y42" s="3722"/>
      <c r="Z42" s="711" t="str">
        <f t="shared" si="15"/>
        <v>单套建筑面积</v>
      </c>
      <c r="AA42" s="1353">
        <f t="shared" si="3"/>
        <v>1</v>
      </c>
      <c r="AB42" s="1353">
        <f t="shared" si="4"/>
        <v>1</v>
      </c>
      <c r="AC42" s="1961">
        <f t="shared" si="5"/>
        <v>1</v>
      </c>
    </row>
    <row r="43" spans="1:29" ht="15">
      <c r="A43" s="423"/>
      <c r="B43" s="375" t="s">
        <v>1787</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0"/>
      <c r="Q43" s="1352" t="str">
        <f t="shared" si="11"/>
        <v>内部装修</v>
      </c>
      <c r="R43" s="705" t="s">
        <v>14</v>
      </c>
      <c r="S43" s="706">
        <f t="shared" si="12"/>
        <v>100</v>
      </c>
      <c r="T43" s="705" t="s">
        <v>14</v>
      </c>
      <c r="U43" s="706">
        <f t="shared" si="13"/>
        <v>100</v>
      </c>
      <c r="V43" s="705" t="s">
        <v>14</v>
      </c>
      <c r="W43" s="706">
        <f t="shared" si="14"/>
        <v>100</v>
      </c>
      <c r="X43" s="1355"/>
      <c r="Y43" s="3722"/>
      <c r="Z43" s="1356" t="str">
        <f t="shared" si="15"/>
        <v>内部装修</v>
      </c>
      <c r="AA43" s="1353">
        <f t="shared" si="3"/>
        <v>1</v>
      </c>
      <c r="AB43" s="1353">
        <f t="shared" si="4"/>
        <v>1</v>
      </c>
      <c r="AC43" s="1961">
        <f t="shared" si="5"/>
        <v>1</v>
      </c>
    </row>
    <row r="44" spans="1:29" ht="15">
      <c r="A44" s="423"/>
      <c r="B44" s="375" t="s">
        <v>1702</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20"/>
      <c r="Q44" s="1352" t="str">
        <f t="shared" si="11"/>
        <v>内部装修维护情况</v>
      </c>
      <c r="R44" s="705" t="s">
        <v>14</v>
      </c>
      <c r="S44" s="706">
        <f t="shared" si="12"/>
        <v>100</v>
      </c>
      <c r="T44" s="705" t="s">
        <v>14</v>
      </c>
      <c r="U44" s="706">
        <f t="shared" si="13"/>
        <v>100</v>
      </c>
      <c r="V44" s="705" t="s">
        <v>14</v>
      </c>
      <c r="W44" s="706">
        <f t="shared" si="14"/>
        <v>100</v>
      </c>
      <c r="X44" s="1355"/>
      <c r="Y44" s="3722"/>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0"/>
      <c r="Q45" s="1343">
        <f t="shared" si="11"/>
        <v>111</v>
      </c>
      <c r="R45" s="701" t="s">
        <v>14</v>
      </c>
      <c r="S45" s="702">
        <f t="shared" si="12"/>
        <v>100</v>
      </c>
      <c r="T45" s="701" t="s">
        <v>14</v>
      </c>
      <c r="U45" s="702">
        <f t="shared" si="13"/>
        <v>100</v>
      </c>
      <c r="V45" s="701" t="s">
        <v>14</v>
      </c>
      <c r="W45" s="702">
        <f t="shared" si="14"/>
        <v>100</v>
      </c>
      <c r="X45" s="703"/>
      <c r="Y45" s="3722"/>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1"/>
      <c r="Q47" s="1352">
        <f t="shared" si="11"/>
        <v>111</v>
      </c>
      <c r="R47" s="705" t="s">
        <v>14</v>
      </c>
      <c r="S47" s="706">
        <f t="shared" si="12"/>
        <v>100</v>
      </c>
      <c r="T47" s="705" t="s">
        <v>14</v>
      </c>
      <c r="U47" s="706">
        <f t="shared" si="13"/>
        <v>100</v>
      </c>
      <c r="V47" s="705" t="s">
        <v>14</v>
      </c>
      <c r="W47" s="706">
        <f t="shared" si="14"/>
        <v>100</v>
      </c>
      <c r="X47" s="1355"/>
      <c r="Y47" s="3723"/>
      <c r="Z47" s="1356">
        <f t="shared" si="15"/>
        <v>111</v>
      </c>
      <c r="AA47" s="1353">
        <f t="shared" si="3"/>
        <v>1</v>
      </c>
      <c r="AB47" s="1353">
        <f t="shared" si="4"/>
        <v>1</v>
      </c>
      <c r="AC47" s="1961">
        <f t="shared" si="5"/>
        <v>1</v>
      </c>
    </row>
    <row r="48" spans="1:29" ht="15">
      <c r="A48" s="430" t="s">
        <v>1703</v>
      </c>
      <c r="B48" s="431"/>
      <c r="C48" s="1154" t="s">
        <v>0</v>
      </c>
      <c r="D48" s="1155"/>
      <c r="E48" s="1156"/>
      <c r="F48" s="1157"/>
      <c r="G48" s="1158"/>
      <c r="H48" s="1159"/>
      <c r="I48" s="1156"/>
      <c r="J48" s="436"/>
      <c r="K48" s="714"/>
      <c r="L48" s="2722"/>
      <c r="M48" s="2714"/>
      <c r="N48" s="2714"/>
      <c r="O48" s="2714"/>
      <c r="P48" s="3697" t="str">
        <f>A48</f>
        <v>成交单价（元/平方米）</v>
      </c>
      <c r="Q48" s="3715"/>
      <c r="R48" s="3716">
        <f>E48</f>
        <v>0</v>
      </c>
      <c r="S48" s="3716"/>
      <c r="T48" s="3716">
        <f>G48</f>
        <v>0</v>
      </c>
      <c r="U48" s="3716"/>
      <c r="V48" s="3716">
        <f>I48</f>
        <v>0</v>
      </c>
      <c r="W48" s="3716"/>
      <c r="X48" s="397"/>
      <c r="Y48" s="712"/>
      <c r="Z48" s="397"/>
      <c r="AA48" s="397"/>
      <c r="AB48" s="397"/>
      <c r="AC48" s="578"/>
    </row>
    <row r="49" spans="1:29" ht="15.75" thickBot="1">
      <c r="A49" s="437" t="s">
        <v>1788</v>
      </c>
      <c r="B49" s="438"/>
      <c r="C49" s="1160" t="e">
        <f>R50</f>
        <v>#DIV/0!</v>
      </c>
      <c r="D49" s="2316" t="s">
        <v>2133</v>
      </c>
      <c r="E49" s="1161" t="e">
        <f>R49</f>
        <v>#DIV/0!</v>
      </c>
      <c r="F49" s="2317"/>
      <c r="G49" s="1160" t="e">
        <f>T49</f>
        <v>#DIV/0!</v>
      </c>
      <c r="H49" s="2317"/>
      <c r="I49" s="1161" t="e">
        <f>V49</f>
        <v>#DIV/0!</v>
      </c>
      <c r="J49" s="2317"/>
      <c r="K49" s="2319">
        <f>F49+H49+J49</f>
        <v>0</v>
      </c>
      <c r="L49" s="2722"/>
      <c r="M49" s="2714"/>
      <c r="N49" s="2714"/>
      <c r="O49" s="2714"/>
      <c r="P49" s="3697"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75" thickBot="1">
      <c r="A50" s="441" t="s">
        <v>1789</v>
      </c>
      <c r="B50" s="442"/>
      <c r="C50" s="1163" t="e">
        <f>R50</f>
        <v>#DIV/0!</v>
      </c>
      <c r="D50" s="1163"/>
      <c r="E50" s="1163"/>
      <c r="F50" s="1163"/>
      <c r="G50" s="1163"/>
      <c r="H50" s="1163"/>
      <c r="I50" s="1163"/>
      <c r="J50" s="443"/>
      <c r="K50" s="715"/>
      <c r="L50" s="2722"/>
      <c r="M50" s="2714"/>
      <c r="N50" s="2714"/>
      <c r="O50" s="2714"/>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1790</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1791</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1792</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1793</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1674</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1711</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1676</v>
      </c>
      <c r="B62" s="459"/>
      <c r="C62" s="471" t="s">
        <v>1771</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1714</v>
      </c>
      <c r="B64" s="477" t="s">
        <v>1680</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1683</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1685</v>
      </c>
      <c r="B77" s="477" t="s">
        <v>1816</v>
      </c>
      <c r="C77" s="522" t="s">
        <v>1716</v>
      </c>
      <c r="D77" s="522" t="s">
        <v>1717</v>
      </c>
      <c r="E77" s="522" t="s">
        <v>1718</v>
      </c>
      <c r="F77" s="522" t="s">
        <v>1719</v>
      </c>
      <c r="G77" s="522" t="s">
        <v>1720</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1721</v>
      </c>
      <c r="C79" s="527" t="s">
        <v>1716</v>
      </c>
      <c r="D79" s="527" t="s">
        <v>1717</v>
      </c>
      <c r="E79" s="527" t="s">
        <v>1718</v>
      </c>
      <c r="F79" s="527" t="s">
        <v>1719</v>
      </c>
      <c r="G79" s="527" t="s">
        <v>1720</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1722</v>
      </c>
      <c r="C81" s="527" t="s">
        <v>1716</v>
      </c>
      <c r="D81" s="527" t="s">
        <v>1717</v>
      </c>
      <c r="E81" s="527" t="s">
        <v>1718</v>
      </c>
      <c r="F81" s="527" t="s">
        <v>1719</v>
      </c>
      <c r="G81" s="527" t="s">
        <v>1720</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1808</v>
      </c>
      <c r="C83" s="608" t="s">
        <v>1794</v>
      </c>
      <c r="D83" s="608" t="s">
        <v>1795</v>
      </c>
      <c r="E83" s="608" t="s">
        <v>1796</v>
      </c>
      <c r="F83" s="608" t="s">
        <v>1797</v>
      </c>
      <c r="G83" s="608" t="s">
        <v>1798</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1817</v>
      </c>
      <c r="C85" s="527" t="s">
        <v>1716</v>
      </c>
      <c r="D85" s="527" t="s">
        <v>1717</v>
      </c>
      <c r="E85" s="527" t="s">
        <v>1718</v>
      </c>
      <c r="F85" s="527" t="s">
        <v>1719</v>
      </c>
      <c r="G85" s="527" t="s">
        <v>1720</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1818</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1689</v>
      </c>
      <c r="B101" s="477" t="s">
        <v>1731</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1732</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1733</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1735</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1819</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1736</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1737</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1820</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1803</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1739</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v>
      </c>
    </row>
    <row r="4" spans="1:1" ht="36">
      <c r="A4" s="1480" t="str">
        <f>"受贵公司委托，我公司对"&amp;项目基本情况!S1&amp;"进行了预评估。"</f>
        <v>受贵公司委托，我公司对北京市平谷区金海湖镇PG06-0100-6019地块1宗商业、地下车库用地房地产抵押价值进行了预评估。</v>
      </c>
    </row>
    <row r="5" spans="1:1" ht="18.75">
      <c r="A5" s="1481" t="s">
        <v>895</v>
      </c>
    </row>
    <row r="6" spans="1:1" ht="18.75">
      <c r="A6" s="1482" t="s">
        <v>896</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估价对象为北京市平谷区金海湖镇PG06-0100-6019地块1宗商业、地下车库用地房地产，为所有。根据《国有土地使用证》[]，估价对象（分摊）出让国有建设用地使用权面积为7720.87平方米，建筑面积为9801.27平方米。</v>
      </c>
    </row>
    <row r="8" spans="1:1" ht="57.75">
      <c r="A8" s="1483" t="s">
        <v>897</v>
      </c>
    </row>
    <row r="9" spans="1:1" ht="18.75">
      <c r="A9" s="1482" t="s">
        <v>898</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金海湖镇PG06-0100-6019地块1宗商业、地下车库用地房地产,属开发建设的，该项目尚在开发建设中。根据《国有土地使用证》[]，估价对象（分摊）出让国有建设用地使用权面积为7720.87平方米，规划建筑面积为9801.27平方米。</v>
      </c>
    </row>
    <row r="11" spans="1:1" ht="76.5">
      <c r="A11" s="1483" t="s">
        <v>899</v>
      </c>
    </row>
    <row r="12" spans="1:1" ht="18.75">
      <c r="A12" s="1481" t="s">
        <v>900</v>
      </c>
    </row>
    <row r="13" spans="1:1" ht="38.25" customHeight="1">
      <c r="A13" s="1484" t="str">
        <f>IF(项目基本情况!B8="抵押",IF(项目基本情况!B5=项目基本情况!B6,定义!C51,定义!B51),定义!D51)</f>
        <v>拟使用北京市平谷区金海湖镇PG06-0100-6019地块1宗商业、地下车库用地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901</v>
      </c>
    </row>
    <row r="15" spans="1:1" ht="18">
      <c r="A15" s="1486" t="str">
        <f>TEXT(项目基本情况!D3,"yyyy年m月d日;;")&amp;IF(项目基本情况!D3=项目基本情况!B3,"（评估专业人员实地查勘之日）","")</f>
        <v>2023年10月18日（评估专业人员实地查勘之日）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892</v>
      </c>
    </row>
    <row r="24" spans="1:1" ht="18">
      <c r="A24" s="1487" t="str">
        <f>"本次评估采用的主估价方法为"&amp;结果表!K4&amp;"和"&amp;结果表!L4&amp;"。"</f>
        <v>本次评估采用的主估价方法为基准地价系数修正法和假设开发法。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956" t="s">
        <v>1821</v>
      </c>
      <c r="C1" s="1224" t="s">
        <v>1657</v>
      </c>
      <c r="D1" s="1225"/>
      <c r="E1" s="3429"/>
      <c r="F1" s="1878"/>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1459</v>
      </c>
      <c r="B3" s="558">
        <f>IF(C2="——",C43,ROUND(B2*10000/D3,0))</f>
        <v>0</v>
      </c>
      <c r="C3" s="354" t="s">
        <v>1763</v>
      </c>
      <c r="D3" s="353">
        <f>IF(D1="",'数据-汇总表'!E3,SUMIF('数据-汇总表'!$C19:$C33,D1,'数据-汇总表'!$E19:$E33))</f>
        <v>9801.27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1764</v>
      </c>
      <c r="B4" s="356"/>
      <c r="C4" s="3698" t="s">
        <v>1765</v>
      </c>
      <c r="D4" s="3699"/>
      <c r="E4" s="3700" t="s">
        <v>1766</v>
      </c>
      <c r="F4" s="3701"/>
      <c r="G4" s="3698" t="s">
        <v>1767</v>
      </c>
      <c r="H4" s="3699"/>
      <c r="I4" s="3698" t="s">
        <v>1768</v>
      </c>
      <c r="J4" s="3699"/>
      <c r="K4" s="559" t="s">
        <v>1769</v>
      </c>
      <c r="L4" s="913"/>
      <c r="M4" s="914"/>
      <c r="N4" s="914"/>
      <c r="O4" s="914"/>
      <c r="P4" s="3702" t="s">
        <v>1770</v>
      </c>
      <c r="Q4" s="3703"/>
      <c r="R4" s="3685" t="s">
        <v>1766</v>
      </c>
      <c r="S4" s="3686"/>
      <c r="T4" s="3685" t="s">
        <v>1767</v>
      </c>
      <c r="U4" s="3686"/>
      <c r="V4" s="3710" t="s">
        <v>1768</v>
      </c>
      <c r="W4" s="3710"/>
      <c r="X4" s="1355"/>
      <c r="Y4" s="3685" t="s">
        <v>1770</v>
      </c>
      <c r="Z4" s="3686"/>
      <c r="AA4" s="3680" t="s">
        <v>1766</v>
      </c>
      <c r="AB4" s="3681" t="s">
        <v>1767</v>
      </c>
      <c r="AC4" s="3680" t="s">
        <v>1768</v>
      </c>
    </row>
    <row r="5" spans="1:29" ht="15">
      <c r="A5" s="358"/>
      <c r="B5" s="359"/>
      <c r="C5" s="3691" t="s">
        <v>1668</v>
      </c>
      <c r="D5" s="3692"/>
      <c r="E5" s="3689" t="s">
        <v>1669</v>
      </c>
      <c r="F5" s="3690"/>
      <c r="G5" s="3691" t="s">
        <v>1670</v>
      </c>
      <c r="H5" s="3692"/>
      <c r="I5" s="3691" t="s">
        <v>1671</v>
      </c>
      <c r="J5" s="3692"/>
      <c r="K5" s="559"/>
      <c r="L5" s="913"/>
      <c r="M5" s="914"/>
      <c r="N5" s="914"/>
      <c r="O5" s="914"/>
      <c r="P5" s="3704"/>
      <c r="Q5" s="3705"/>
      <c r="R5" s="3687"/>
      <c r="S5" s="3688"/>
      <c r="T5" s="3687"/>
      <c r="U5" s="3688"/>
      <c r="V5" s="3710"/>
      <c r="W5" s="3710"/>
      <c r="X5" s="1355"/>
      <c r="Y5" s="3687"/>
      <c r="Z5" s="3688"/>
      <c r="AA5" s="3681"/>
      <c r="AB5" s="3681"/>
      <c r="AC5" s="3681"/>
    </row>
    <row r="6" spans="1:29" ht="15.75" thickBot="1">
      <c r="A6" s="360"/>
      <c r="B6" s="361"/>
      <c r="C6" s="3693" t="s">
        <v>1672</v>
      </c>
      <c r="D6" s="3694"/>
      <c r="E6" s="3695" t="s">
        <v>1672</v>
      </c>
      <c r="F6" s="3696"/>
      <c r="G6" s="3693" t="s">
        <v>1672</v>
      </c>
      <c r="H6" s="3694"/>
      <c r="I6" s="3693" t="s">
        <v>1672</v>
      </c>
      <c r="J6" s="3694"/>
      <c r="K6" s="559" t="s">
        <v>1673</v>
      </c>
      <c r="L6" s="913"/>
      <c r="M6" s="914"/>
      <c r="N6" s="914"/>
      <c r="O6" s="914"/>
      <c r="P6" s="3706"/>
      <c r="Q6" s="3707"/>
      <c r="R6" s="3687"/>
      <c r="S6" s="3688"/>
      <c r="T6" s="3708"/>
      <c r="U6" s="3709"/>
      <c r="V6" s="3710"/>
      <c r="W6" s="3710"/>
      <c r="X6" s="1355"/>
      <c r="Y6" s="3708"/>
      <c r="Z6" s="3709"/>
      <c r="AA6" s="3682"/>
      <c r="AB6" s="3682"/>
      <c r="AC6" s="3682"/>
    </row>
    <row r="7" spans="1:29" s="108" customFormat="1" ht="15.75" thickBot="1">
      <c r="A7" s="362" t="s">
        <v>1674</v>
      </c>
      <c r="B7" s="363"/>
      <c r="C7" s="364">
        <f>'数据-取费表'!B2</f>
        <v>45217</v>
      </c>
      <c r="D7" s="365">
        <v>100</v>
      </c>
      <c r="E7" s="366"/>
      <c r="F7" s="367">
        <f>SUMIF(52:52,YEAR(E7)&amp;"-"&amp;MONTH(E7),53:53)</f>
        <v>0</v>
      </c>
      <c r="G7" s="366"/>
      <c r="H7" s="365">
        <f>SUMIF(52:52,YEAR(G7)&amp;"-"&amp;MONTH(G7),53:53)</f>
        <v>0</v>
      </c>
      <c r="I7" s="366"/>
      <c r="J7" s="365">
        <f>SUMIF(52:52,YEAR(I7)&amp;"-"&amp;MONTH(I7),53:53)</f>
        <v>0</v>
      </c>
      <c r="K7" s="560"/>
      <c r="L7" s="915"/>
      <c r="M7" s="916"/>
      <c r="N7" s="916"/>
      <c r="O7" s="916"/>
      <c r="P7" s="3683" t="s">
        <v>1675</v>
      </c>
      <c r="Q7" s="3711"/>
      <c r="R7" s="701" t="s">
        <v>14</v>
      </c>
      <c r="S7" s="702">
        <f t="shared" ref="S7:S15" si="0">F7</f>
        <v>0</v>
      </c>
      <c r="T7" s="701" t="s">
        <v>14</v>
      </c>
      <c r="U7" s="702">
        <f t="shared" ref="U7:U15" si="1">H7</f>
        <v>0</v>
      </c>
      <c r="V7" s="701" t="s">
        <v>14</v>
      </c>
      <c r="W7" s="702">
        <f t="shared" ref="W7:W15" si="2">J7</f>
        <v>0</v>
      </c>
      <c r="X7" s="703"/>
      <c r="Y7" s="3683" t="s">
        <v>1675</v>
      </c>
      <c r="Z7" s="3684"/>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3" t="s">
        <v>1678</v>
      </c>
      <c r="Q8" s="3684"/>
      <c r="R8" s="701" t="s">
        <v>14</v>
      </c>
      <c r="S8" s="702">
        <f t="shared" si="0"/>
        <v>100</v>
      </c>
      <c r="T8" s="701" t="s">
        <v>14</v>
      </c>
      <c r="U8" s="702">
        <f t="shared" si="1"/>
        <v>100</v>
      </c>
      <c r="V8" s="701" t="s">
        <v>14</v>
      </c>
      <c r="W8" s="702">
        <f t="shared" si="2"/>
        <v>100</v>
      </c>
      <c r="X8" s="703"/>
      <c r="Y8" s="3683" t="s">
        <v>1678</v>
      </c>
      <c r="Z8" s="3684"/>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5" t="s">
        <v>1681</v>
      </c>
      <c r="Q9" s="1343" t="str">
        <f t="shared" ref="Q9:Q15" si="6">B9</f>
        <v>用途</v>
      </c>
      <c r="R9" s="701" t="s">
        <v>14</v>
      </c>
      <c r="S9" s="702">
        <f t="shared" si="0"/>
        <v>100</v>
      </c>
      <c r="T9" s="701" t="s">
        <v>14</v>
      </c>
      <c r="U9" s="702">
        <f t="shared" si="1"/>
        <v>100</v>
      </c>
      <c r="V9" s="701" t="s">
        <v>14</v>
      </c>
      <c r="W9" s="702">
        <f t="shared" si="2"/>
        <v>100</v>
      </c>
      <c r="X9" s="703"/>
      <c r="Y9" s="3627"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5"/>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1685</v>
      </c>
      <c r="B15" s="61" t="s">
        <v>1822</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7" t="s">
        <v>1686</v>
      </c>
      <c r="Q15" s="1352" t="str">
        <f t="shared" si="6"/>
        <v>产业集聚程度</v>
      </c>
      <c r="R15" s="705" t="s">
        <v>14</v>
      </c>
      <c r="S15" s="706">
        <f t="shared" si="0"/>
        <v>100</v>
      </c>
      <c r="T15" s="705" t="s">
        <v>14</v>
      </c>
      <c r="U15" s="706">
        <f t="shared" si="1"/>
        <v>100</v>
      </c>
      <c r="V15" s="705" t="s">
        <v>14</v>
      </c>
      <c r="W15" s="706">
        <f t="shared" si="2"/>
        <v>100</v>
      </c>
      <c r="X15" s="1355"/>
      <c r="Y15" s="3717"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8"/>
      <c r="Q16" s="1352"/>
      <c r="R16" s="705"/>
      <c r="S16" s="706"/>
      <c r="T16" s="705"/>
      <c r="U16" s="706"/>
      <c r="V16" s="705"/>
      <c r="W16" s="706"/>
      <c r="X16" s="1355"/>
      <c r="Y16" s="3718"/>
      <c r="Z16" s="1356"/>
      <c r="AA16" s="1353">
        <v>1</v>
      </c>
      <c r="AB16" s="1353">
        <v>1</v>
      </c>
      <c r="AC16" s="1353">
        <v>1</v>
      </c>
    </row>
    <row r="17" spans="1:29" ht="85.5">
      <c r="A17" s="379"/>
      <c r="B17" s="402" t="s">
        <v>1254</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18"/>
      <c r="Q18" s="1352"/>
      <c r="R18" s="705"/>
      <c r="S18" s="706"/>
      <c r="T18" s="705"/>
      <c r="U18" s="706"/>
      <c r="V18" s="705"/>
      <c r="W18" s="706"/>
      <c r="X18" s="1355"/>
      <c r="Y18" s="3718"/>
      <c r="Z18" s="1356"/>
      <c r="AA18" s="1353">
        <v>1</v>
      </c>
      <c r="AB18" s="1353">
        <v>1</v>
      </c>
      <c r="AC18" s="1353">
        <v>1</v>
      </c>
    </row>
    <row r="19" spans="1:29" ht="42.75">
      <c r="A19" s="379"/>
      <c r="B19" s="402" t="s">
        <v>1807</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8"/>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18"/>
      <c r="Q20" s="1352"/>
      <c r="R20" s="705"/>
      <c r="S20" s="706"/>
      <c r="T20" s="705"/>
      <c r="U20" s="706"/>
      <c r="V20" s="705"/>
      <c r="W20" s="706"/>
      <c r="X20" s="1355"/>
      <c r="Y20" s="3718"/>
      <c r="Z20" s="1356"/>
      <c r="AA20" s="1353">
        <v>1</v>
      </c>
      <c r="AB20" s="1353">
        <v>1</v>
      </c>
      <c r="AC20" s="1353">
        <v>1</v>
      </c>
    </row>
    <row r="21" spans="1:29" ht="28.5">
      <c r="A21" s="379"/>
      <c r="B21" s="1131" t="s">
        <v>1808</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8"/>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18"/>
      <c r="Q22" s="1352"/>
      <c r="R22" s="705"/>
      <c r="S22" s="706"/>
      <c r="T22" s="705"/>
      <c r="U22" s="706"/>
      <c r="V22" s="705"/>
      <c r="W22" s="706"/>
      <c r="X22" s="1355"/>
      <c r="Y22" s="3718"/>
      <c r="Z22" s="1356"/>
      <c r="AA22" s="1353">
        <v>1</v>
      </c>
      <c r="AB22" s="1353">
        <v>1</v>
      </c>
      <c r="AC22" s="1353">
        <v>1</v>
      </c>
    </row>
    <row r="23" spans="1:29" ht="71.25">
      <c r="A23" s="379"/>
      <c r="B23" s="402" t="s">
        <v>1809</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8"/>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18"/>
      <c r="Q24" s="1352"/>
      <c r="R24" s="705"/>
      <c r="S24" s="706"/>
      <c r="T24" s="705"/>
      <c r="U24" s="706"/>
      <c r="V24" s="705"/>
      <c r="W24" s="706"/>
      <c r="X24" s="1355"/>
      <c r="Y24" s="371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8"/>
      <c r="Q25" s="1352">
        <f>B25</f>
        <v>111</v>
      </c>
      <c r="R25" s="705" t="s">
        <v>14</v>
      </c>
      <c r="S25" s="706">
        <f>F25</f>
        <v>100</v>
      </c>
      <c r="T25" s="705" t="s">
        <v>14</v>
      </c>
      <c r="U25" s="706">
        <f>H25</f>
        <v>100</v>
      </c>
      <c r="V25" s="705" t="s">
        <v>14</v>
      </c>
      <c r="W25" s="706">
        <f>J25</f>
        <v>100</v>
      </c>
      <c r="X25" s="1355"/>
      <c r="Y25" s="371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8"/>
      <c r="Q26" s="1352">
        <f t="shared" ref="Q26:Q40" si="11">B26</f>
        <v>111</v>
      </c>
      <c r="R26" s="705" t="s">
        <v>14</v>
      </c>
      <c r="S26" s="706">
        <f>F26</f>
        <v>100</v>
      </c>
      <c r="T26" s="705" t="s">
        <v>14</v>
      </c>
      <c r="U26" s="706">
        <f>H26</f>
        <v>100</v>
      </c>
      <c r="V26" s="705" t="s">
        <v>14</v>
      </c>
      <c r="W26" s="706">
        <f>J26</f>
        <v>100</v>
      </c>
      <c r="X26" s="1355"/>
      <c r="Y26" s="371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8"/>
      <c r="Q27" s="1343">
        <f t="shared" si="11"/>
        <v>111</v>
      </c>
      <c r="R27" s="701" t="s">
        <v>14</v>
      </c>
      <c r="S27" s="702">
        <f>F27</f>
        <v>100</v>
      </c>
      <c r="T27" s="701" t="s">
        <v>14</v>
      </c>
      <c r="U27" s="702">
        <f>H27</f>
        <v>100</v>
      </c>
      <c r="V27" s="701" t="s">
        <v>14</v>
      </c>
      <c r="W27" s="702">
        <f>J27</f>
        <v>100</v>
      </c>
      <c r="X27" s="703"/>
      <c r="Y27" s="371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8"/>
      <c r="Q28" s="1352">
        <f t="shared" si="11"/>
        <v>111</v>
      </c>
      <c r="R28" s="705" t="s">
        <v>14</v>
      </c>
      <c r="S28" s="706">
        <f t="shared" ref="S28:S40" si="12">F28</f>
        <v>100</v>
      </c>
      <c r="T28" s="705" t="s">
        <v>14</v>
      </c>
      <c r="U28" s="706">
        <f t="shared" ref="U28:U40" si="13">H28</f>
        <v>100</v>
      </c>
      <c r="V28" s="705" t="s">
        <v>14</v>
      </c>
      <c r="W28" s="706">
        <f t="shared" ref="W28:W40" si="14">J28</f>
        <v>100</v>
      </c>
      <c r="X28" s="1355"/>
      <c r="Y28" s="3718"/>
      <c r="Z28" s="1356">
        <f t="shared" ref="Z28:Z40" si="15">Q28</f>
        <v>111</v>
      </c>
      <c r="AA28" s="1353">
        <f t="shared" si="3"/>
        <v>1</v>
      </c>
      <c r="AB28" s="1353">
        <f t="shared" si="4"/>
        <v>1</v>
      </c>
      <c r="AC28" s="1353">
        <f t="shared" si="5"/>
        <v>1</v>
      </c>
    </row>
    <row r="29" spans="1:29" ht="28.5">
      <c r="A29" s="417" t="s">
        <v>1689</v>
      </c>
      <c r="B29" s="63" t="s">
        <v>1812</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1" t="s">
        <v>1691</v>
      </c>
      <c r="Q29" s="1352" t="str">
        <f t="shared" si="11"/>
        <v>建筑类型</v>
      </c>
      <c r="R29" s="705" t="s">
        <v>14</v>
      </c>
      <c r="S29" s="706">
        <f t="shared" si="12"/>
        <v>100</v>
      </c>
      <c r="T29" s="705" t="s">
        <v>14</v>
      </c>
      <c r="U29" s="706">
        <f t="shared" si="13"/>
        <v>100</v>
      </c>
      <c r="V29" s="705" t="s">
        <v>14</v>
      </c>
      <c r="W29" s="706">
        <f t="shared" si="14"/>
        <v>100</v>
      </c>
      <c r="X29" s="1355"/>
      <c r="Y29" s="3722"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2"/>
      <c r="Q30" s="707" t="str">
        <f t="shared" si="11"/>
        <v>项目建筑规模</v>
      </c>
      <c r="R30" s="708" t="s">
        <v>14</v>
      </c>
      <c r="S30" s="709" t="e">
        <f t="shared" si="12"/>
        <v>#N/A</v>
      </c>
      <c r="T30" s="708" t="s">
        <v>14</v>
      </c>
      <c r="U30" s="709" t="e">
        <f t="shared" si="13"/>
        <v>#N/A</v>
      </c>
      <c r="V30" s="708" t="s">
        <v>14</v>
      </c>
      <c r="W30" s="709" t="e">
        <f t="shared" si="14"/>
        <v>#N/A</v>
      </c>
      <c r="X30" s="710"/>
      <c r="Y30" s="3722"/>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2"/>
      <c r="Q31" s="1352" t="str">
        <f t="shared" si="11"/>
        <v>建筑结构</v>
      </c>
      <c r="R31" s="705" t="s">
        <v>14</v>
      </c>
      <c r="S31" s="706">
        <f t="shared" si="12"/>
        <v>100</v>
      </c>
      <c r="T31" s="705" t="s">
        <v>14</v>
      </c>
      <c r="U31" s="706">
        <f t="shared" si="13"/>
        <v>100</v>
      </c>
      <c r="V31" s="705" t="s">
        <v>14</v>
      </c>
      <c r="W31" s="706">
        <f t="shared" si="14"/>
        <v>100</v>
      </c>
      <c r="X31" s="1355"/>
      <c r="Y31" s="3722"/>
      <c r="Z31" s="1356" t="str">
        <f t="shared" si="15"/>
        <v>建筑结构</v>
      </c>
      <c r="AA31" s="1353">
        <f t="shared" si="3"/>
        <v>1</v>
      </c>
      <c r="AB31" s="1353">
        <f t="shared" si="4"/>
        <v>1</v>
      </c>
      <c r="AC31" s="1353">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2"/>
      <c r="Q32" s="1352" t="str">
        <f t="shared" si="11"/>
        <v>公共部分装修</v>
      </c>
      <c r="R32" s="705" t="s">
        <v>14</v>
      </c>
      <c r="S32" s="706">
        <f t="shared" si="12"/>
        <v>100</v>
      </c>
      <c r="T32" s="705" t="s">
        <v>14</v>
      </c>
      <c r="U32" s="706">
        <f t="shared" si="13"/>
        <v>100</v>
      </c>
      <c r="V32" s="705" t="s">
        <v>14</v>
      </c>
      <c r="W32" s="706">
        <f t="shared" si="14"/>
        <v>100</v>
      </c>
      <c r="X32" s="1355"/>
      <c r="Y32" s="3722"/>
      <c r="Z32" s="1356" t="str">
        <f t="shared" si="15"/>
        <v>公共部分装修</v>
      </c>
      <c r="AA32" s="1353">
        <f t="shared" si="3"/>
        <v>1</v>
      </c>
      <c r="AB32" s="1353">
        <f t="shared" si="4"/>
        <v>1</v>
      </c>
      <c r="AC32" s="1353">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2"/>
      <c r="Q33" s="1352" t="str">
        <f t="shared" si="11"/>
        <v>成新度</v>
      </c>
      <c r="R33" s="705" t="s">
        <v>14</v>
      </c>
      <c r="S33" s="706" t="e">
        <f t="shared" si="12"/>
        <v>#N/A</v>
      </c>
      <c r="T33" s="705" t="s">
        <v>14</v>
      </c>
      <c r="U33" s="706" t="e">
        <f t="shared" si="13"/>
        <v>#N/A</v>
      </c>
      <c r="V33" s="705" t="s">
        <v>14</v>
      </c>
      <c r="W33" s="706" t="e">
        <f t="shared" si="14"/>
        <v>#N/A</v>
      </c>
      <c r="X33" s="1355"/>
      <c r="Y33" s="3722"/>
      <c r="Z33" s="1356" t="str">
        <f t="shared" si="15"/>
        <v>成新度</v>
      </c>
      <c r="AA33" s="1353" t="e">
        <f t="shared" si="3"/>
        <v>#N/A</v>
      </c>
      <c r="AB33" s="1353" t="e">
        <f t="shared" si="4"/>
        <v>#N/A</v>
      </c>
      <c r="AC33" s="1353"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2"/>
      <c r="Q34" s="1343" t="str">
        <f t="shared" si="11"/>
        <v>物业管理</v>
      </c>
      <c r="R34" s="701" t="s">
        <v>14</v>
      </c>
      <c r="S34" s="702">
        <f t="shared" si="12"/>
        <v>100</v>
      </c>
      <c r="T34" s="701" t="s">
        <v>14</v>
      </c>
      <c r="U34" s="702">
        <f t="shared" si="13"/>
        <v>100</v>
      </c>
      <c r="V34" s="701" t="s">
        <v>14</v>
      </c>
      <c r="W34" s="702">
        <f t="shared" si="14"/>
        <v>100</v>
      </c>
      <c r="X34" s="703"/>
      <c r="Y34" s="3722"/>
      <c r="Z34" s="52" t="str">
        <f t="shared" si="15"/>
        <v>物业管理</v>
      </c>
      <c r="AA34" s="704">
        <f t="shared" si="3"/>
        <v>1</v>
      </c>
      <c r="AB34" s="704">
        <f t="shared" si="4"/>
        <v>1</v>
      </c>
      <c r="AC34" s="704">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2" t="s">
        <v>1691</v>
      </c>
      <c r="Q35" s="1352" t="str">
        <f t="shared" si="11"/>
        <v>市政基础设施</v>
      </c>
      <c r="R35" s="705" t="s">
        <v>14</v>
      </c>
      <c r="S35" s="706">
        <f t="shared" si="12"/>
        <v>100</v>
      </c>
      <c r="T35" s="705" t="s">
        <v>14</v>
      </c>
      <c r="U35" s="706">
        <f t="shared" si="13"/>
        <v>100</v>
      </c>
      <c r="V35" s="705" t="s">
        <v>14</v>
      </c>
      <c r="W35" s="706">
        <f t="shared" si="14"/>
        <v>100</v>
      </c>
      <c r="X35" s="1355"/>
      <c r="Y35" s="3722" t="s">
        <v>1691</v>
      </c>
      <c r="Z35" s="1356" t="str">
        <f t="shared" si="15"/>
        <v>市政基础设施</v>
      </c>
      <c r="AA35" s="1353">
        <f t="shared" si="3"/>
        <v>1</v>
      </c>
      <c r="AB35" s="1353">
        <f t="shared" si="4"/>
        <v>1</v>
      </c>
      <c r="AC35" s="1353">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2"/>
      <c r="Q36" s="1352" t="str">
        <f t="shared" si="11"/>
        <v>内部装修</v>
      </c>
      <c r="R36" s="705" t="s">
        <v>14</v>
      </c>
      <c r="S36" s="706">
        <f t="shared" si="12"/>
        <v>100</v>
      </c>
      <c r="T36" s="705" t="s">
        <v>14</v>
      </c>
      <c r="U36" s="706">
        <f t="shared" si="13"/>
        <v>100</v>
      </c>
      <c r="V36" s="705" t="s">
        <v>14</v>
      </c>
      <c r="W36" s="706">
        <f t="shared" si="14"/>
        <v>100</v>
      </c>
      <c r="X36" s="1355"/>
      <c r="Y36" s="3722"/>
      <c r="Z36" s="1356" t="str">
        <f t="shared" si="15"/>
        <v>内部装修</v>
      </c>
      <c r="AA36" s="1353">
        <f t="shared" si="3"/>
        <v>1</v>
      </c>
      <c r="AB36" s="1353">
        <f t="shared" si="4"/>
        <v>1</v>
      </c>
      <c r="AC36" s="1353">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2"/>
      <c r="Q37" s="1352" t="str">
        <f t="shared" si="11"/>
        <v>内部装修状况</v>
      </c>
      <c r="R37" s="705" t="s">
        <v>14</v>
      </c>
      <c r="S37" s="706">
        <f t="shared" si="12"/>
        <v>100</v>
      </c>
      <c r="T37" s="705" t="s">
        <v>14</v>
      </c>
      <c r="U37" s="706">
        <f t="shared" si="13"/>
        <v>100</v>
      </c>
      <c r="V37" s="705" t="s">
        <v>14</v>
      </c>
      <c r="W37" s="706">
        <f t="shared" si="14"/>
        <v>100</v>
      </c>
      <c r="X37" s="1355"/>
      <c r="Y37" s="372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2"/>
      <c r="Q38" s="707">
        <f t="shared" si="11"/>
        <v>111</v>
      </c>
      <c r="R38" s="708" t="s">
        <v>14</v>
      </c>
      <c r="S38" s="709">
        <f t="shared" si="12"/>
        <v>100</v>
      </c>
      <c r="T38" s="708" t="s">
        <v>14</v>
      </c>
      <c r="U38" s="709">
        <f t="shared" si="13"/>
        <v>100</v>
      </c>
      <c r="V38" s="708" t="s">
        <v>14</v>
      </c>
      <c r="W38" s="709">
        <f t="shared" si="14"/>
        <v>100</v>
      </c>
      <c r="X38" s="710"/>
      <c r="Y38" s="372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2"/>
      <c r="Q39" s="1352">
        <f t="shared" si="11"/>
        <v>111</v>
      </c>
      <c r="R39" s="705" t="s">
        <v>14</v>
      </c>
      <c r="S39" s="706">
        <f t="shared" si="12"/>
        <v>100</v>
      </c>
      <c r="T39" s="705" t="s">
        <v>14</v>
      </c>
      <c r="U39" s="706">
        <f t="shared" si="13"/>
        <v>100</v>
      </c>
      <c r="V39" s="705" t="s">
        <v>14</v>
      </c>
      <c r="W39" s="706">
        <f t="shared" si="14"/>
        <v>100</v>
      </c>
      <c r="X39" s="1355"/>
      <c r="Y39" s="3722"/>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3"/>
      <c r="Q40" s="1352">
        <f t="shared" si="11"/>
        <v>111</v>
      </c>
      <c r="R40" s="705" t="s">
        <v>14</v>
      </c>
      <c r="S40" s="706">
        <f t="shared" si="12"/>
        <v>100</v>
      </c>
      <c r="T40" s="705" t="s">
        <v>14</v>
      </c>
      <c r="U40" s="706">
        <f t="shared" si="13"/>
        <v>100</v>
      </c>
      <c r="V40" s="705" t="s">
        <v>14</v>
      </c>
      <c r="W40" s="706">
        <f t="shared" si="14"/>
        <v>100</v>
      </c>
      <c r="X40" s="1355"/>
      <c r="Y40" s="3723"/>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715" t="str">
        <f>A41</f>
        <v>成交单价（元/平方米）</v>
      </c>
      <c r="Q41" s="3715"/>
      <c r="R41" s="3716">
        <f>E41</f>
        <v>0</v>
      </c>
      <c r="S41" s="3716"/>
      <c r="T41" s="3716">
        <f>G41</f>
        <v>0</v>
      </c>
      <c r="U41" s="3716"/>
      <c r="V41" s="3716">
        <f>I41</f>
        <v>0</v>
      </c>
      <c r="W41" s="3716"/>
      <c r="X41" s="690"/>
      <c r="Y41" s="712"/>
      <c r="Z41" s="690"/>
      <c r="AA41" s="690"/>
      <c r="AB41" s="690"/>
      <c r="AC41" s="690"/>
    </row>
    <row r="42" spans="1:29" ht="15.75" thickBot="1">
      <c r="A42" s="437" t="s">
        <v>1788</v>
      </c>
      <c r="B42" s="438"/>
      <c r="C42" s="1160" t="e">
        <f>R43</f>
        <v>#DIV/0!</v>
      </c>
      <c r="D42" s="2316" t="s">
        <v>2133</v>
      </c>
      <c r="E42" s="1161" t="e">
        <f>R42</f>
        <v>#DIV/0!</v>
      </c>
      <c r="F42" s="2317"/>
      <c r="G42" s="1160" t="e">
        <f>T42</f>
        <v>#DIV/0!</v>
      </c>
      <c r="H42" s="2317"/>
      <c r="I42" s="1161" t="e">
        <f>V42</f>
        <v>#DIV/0!</v>
      </c>
      <c r="J42" s="2317"/>
      <c r="K42" s="2319">
        <f>F42+H42+J42</f>
        <v>0</v>
      </c>
      <c r="L42" s="926"/>
      <c r="M42" s="927"/>
      <c r="N42" s="914"/>
      <c r="O42" s="927"/>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90"/>
      <c r="Y42" s="690"/>
      <c r="Z42" s="690"/>
      <c r="AA42" s="690"/>
      <c r="AB42" s="690"/>
      <c r="AC42" s="690"/>
    </row>
    <row r="43" spans="1:29" ht="15.75" thickBot="1">
      <c r="A43" s="441" t="s">
        <v>1789</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1793</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68"/>
      <c r="O54" s="2769"/>
      <c r="P54" s="453"/>
      <c r="Q54" s="453"/>
    </row>
    <row r="55" spans="1:17" s="108" customFormat="1" ht="15">
      <c r="A55" s="470" t="s">
        <v>1676</v>
      </c>
      <c r="B55" s="459"/>
      <c r="C55" s="471" t="s">
        <v>1771</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1714</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1808</v>
      </c>
      <c r="C76" s="608" t="s">
        <v>1794</v>
      </c>
      <c r="D76" s="608" t="s">
        <v>1795</v>
      </c>
      <c r="E76" s="608" t="s">
        <v>1796</v>
      </c>
      <c r="F76" s="608" t="s">
        <v>1797</v>
      </c>
      <c r="G76" s="608" t="s">
        <v>1798</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1689</v>
      </c>
      <c r="B88" s="477" t="s">
        <v>1731</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1732</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1733</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1735</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1185</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1736</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1737</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1739</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1825</v>
      </c>
      <c r="C106" s="527" t="s">
        <v>1716</v>
      </c>
      <c r="D106" s="527" t="s">
        <v>1717</v>
      </c>
      <c r="E106" s="527" t="s">
        <v>1718</v>
      </c>
      <c r="F106" s="527" t="s">
        <v>1719</v>
      </c>
      <c r="G106" s="527" t="s">
        <v>1720</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1826</v>
      </c>
      <c r="B1" s="1223" t="s">
        <v>3333</v>
      </c>
      <c r="C1" s="1224" t="s">
        <v>1657</v>
      </c>
      <c r="D1" s="1225"/>
      <c r="E1" s="3429"/>
      <c r="F1" s="1878"/>
      <c r="G1" s="1227" t="s">
        <v>1762</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1459</v>
      </c>
      <c r="B3" s="558" t="e">
        <f>IF(AND(C2="——",B37="元/平方米"),C39,ROUND(B2*10000/D3,0))</f>
        <v>#DIV/0!</v>
      </c>
      <c r="C3" s="354" t="s">
        <v>1763</v>
      </c>
      <c r="D3" s="353">
        <f>SUMIF('数据-汇总表'!$C19:$C33,D1,'数据-汇总表'!$E19:$E33)</f>
        <v>0</v>
      </c>
      <c r="E3" s="354" t="s">
        <v>1827</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1764</v>
      </c>
      <c r="B4" s="356"/>
      <c r="C4" s="3698" t="s">
        <v>1765</v>
      </c>
      <c r="D4" s="3699"/>
      <c r="E4" s="3700" t="s">
        <v>1766</v>
      </c>
      <c r="F4" s="3701"/>
      <c r="G4" s="3698" t="s">
        <v>1767</v>
      </c>
      <c r="H4" s="3699"/>
      <c r="I4" s="3698" t="s">
        <v>1768</v>
      </c>
      <c r="J4" s="3699"/>
      <c r="K4" s="559" t="s">
        <v>1769</v>
      </c>
      <c r="L4" s="2713"/>
      <c r="M4" s="2714"/>
      <c r="N4" s="2714"/>
      <c r="O4" s="2714"/>
      <c r="P4" s="3702" t="s">
        <v>1770</v>
      </c>
      <c r="Q4" s="3703"/>
      <c r="R4" s="3685" t="s">
        <v>1766</v>
      </c>
      <c r="S4" s="3686"/>
      <c r="T4" s="3685" t="s">
        <v>1767</v>
      </c>
      <c r="U4" s="3686"/>
      <c r="V4" s="3710" t="s">
        <v>1768</v>
      </c>
      <c r="W4" s="3710"/>
      <c r="X4" s="1355"/>
      <c r="Y4" s="3685" t="s">
        <v>1770</v>
      </c>
      <c r="Z4" s="3686"/>
      <c r="AA4" s="3680" t="s">
        <v>1766</v>
      </c>
      <c r="AB4" s="3681" t="s">
        <v>1767</v>
      </c>
      <c r="AC4" s="3680" t="s">
        <v>1768</v>
      </c>
    </row>
    <row r="5" spans="1:29" ht="15">
      <c r="A5" s="358"/>
      <c r="B5" s="359"/>
      <c r="C5" s="3691" t="s">
        <v>1668</v>
      </c>
      <c r="D5" s="3692"/>
      <c r="E5" s="3689" t="s">
        <v>1669</v>
      </c>
      <c r="F5" s="3690"/>
      <c r="G5" s="3691" t="s">
        <v>1670</v>
      </c>
      <c r="H5" s="3692"/>
      <c r="I5" s="3691" t="s">
        <v>1671</v>
      </c>
      <c r="J5" s="3692"/>
      <c r="K5" s="559"/>
      <c r="L5" s="2713"/>
      <c r="M5" s="2714"/>
      <c r="N5" s="2714"/>
      <c r="O5" s="2714"/>
      <c r="P5" s="3704"/>
      <c r="Q5" s="3705"/>
      <c r="R5" s="3687"/>
      <c r="S5" s="3688"/>
      <c r="T5" s="3687"/>
      <c r="U5" s="3688"/>
      <c r="V5" s="3710"/>
      <c r="W5" s="3710"/>
      <c r="X5" s="1355"/>
      <c r="Y5" s="3687"/>
      <c r="Z5" s="3688"/>
      <c r="AA5" s="3681"/>
      <c r="AB5" s="3681"/>
      <c r="AC5" s="3681"/>
    </row>
    <row r="6" spans="1:29" ht="15.75" thickBot="1">
      <c r="A6" s="360"/>
      <c r="B6" s="361"/>
      <c r="C6" s="3693" t="s">
        <v>1672</v>
      </c>
      <c r="D6" s="3694"/>
      <c r="E6" s="3695" t="s">
        <v>1672</v>
      </c>
      <c r="F6" s="3696"/>
      <c r="G6" s="3693" t="s">
        <v>1672</v>
      </c>
      <c r="H6" s="3694"/>
      <c r="I6" s="3693" t="s">
        <v>1672</v>
      </c>
      <c r="J6" s="3694"/>
      <c r="K6" s="559" t="s">
        <v>1673</v>
      </c>
      <c r="L6" s="2713"/>
      <c r="M6" s="2714"/>
      <c r="N6" s="2714"/>
      <c r="O6" s="2714"/>
      <c r="P6" s="3706"/>
      <c r="Q6" s="3707"/>
      <c r="R6" s="3687"/>
      <c r="S6" s="3688"/>
      <c r="T6" s="3708"/>
      <c r="U6" s="3709"/>
      <c r="V6" s="3710"/>
      <c r="W6" s="3710"/>
      <c r="X6" s="1355"/>
      <c r="Y6" s="3708"/>
      <c r="Z6" s="3709"/>
      <c r="AA6" s="3682"/>
      <c r="AB6" s="3682"/>
      <c r="AC6" s="3682"/>
    </row>
    <row r="7" spans="1:29" s="108" customFormat="1" ht="15.75" thickBot="1">
      <c r="A7" s="362" t="s">
        <v>1674</v>
      </c>
      <c r="B7" s="363"/>
      <c r="C7" s="364">
        <f>'数据-取费表'!B2</f>
        <v>45217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3" t="s">
        <v>1675</v>
      </c>
      <c r="Q7" s="3711"/>
      <c r="R7" s="701" t="s">
        <v>14</v>
      </c>
      <c r="S7" s="702">
        <f t="shared" ref="S7:S14" si="0">F7</f>
        <v>0</v>
      </c>
      <c r="T7" s="701" t="s">
        <v>14</v>
      </c>
      <c r="U7" s="702">
        <f t="shared" ref="U7:U14" si="1">H7</f>
        <v>0</v>
      </c>
      <c r="V7" s="701" t="s">
        <v>14</v>
      </c>
      <c r="W7" s="702">
        <f t="shared" ref="W7:W14" si="2">J7</f>
        <v>0</v>
      </c>
      <c r="X7" s="703"/>
      <c r="Y7" s="3683" t="s">
        <v>1675</v>
      </c>
      <c r="Z7" s="3684"/>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3" t="s">
        <v>1678</v>
      </c>
      <c r="Q8" s="3684"/>
      <c r="R8" s="701" t="s">
        <v>14</v>
      </c>
      <c r="S8" s="702">
        <f t="shared" si="0"/>
        <v>100</v>
      </c>
      <c r="T8" s="701" t="s">
        <v>14</v>
      </c>
      <c r="U8" s="702">
        <f t="shared" si="1"/>
        <v>100</v>
      </c>
      <c r="V8" s="701" t="s">
        <v>14</v>
      </c>
      <c r="W8" s="702">
        <f t="shared" si="2"/>
        <v>100</v>
      </c>
      <c r="X8" s="703"/>
      <c r="Y8" s="3683" t="s">
        <v>1678</v>
      </c>
      <c r="Z8" s="3684"/>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5" t="s">
        <v>1681</v>
      </c>
      <c r="Q9" s="1343" t="str">
        <f t="shared" ref="Q9:Q14" si="6">B9</f>
        <v>用途</v>
      </c>
      <c r="R9" s="701" t="s">
        <v>14</v>
      </c>
      <c r="S9" s="702">
        <f t="shared" si="0"/>
        <v>100</v>
      </c>
      <c r="T9" s="701" t="s">
        <v>14</v>
      </c>
      <c r="U9" s="702">
        <f t="shared" si="1"/>
        <v>100</v>
      </c>
      <c r="V9" s="701" t="s">
        <v>14</v>
      </c>
      <c r="W9" s="702">
        <f t="shared" si="2"/>
        <v>100</v>
      </c>
      <c r="X9" s="703"/>
      <c r="Y9" s="3627" t="s">
        <v>1682</v>
      </c>
      <c r="Z9" s="52" t="str">
        <f t="shared" ref="Z9:Z14" si="7">Q9</f>
        <v>用途</v>
      </c>
      <c r="AA9" s="704">
        <f t="shared" si="3"/>
        <v>1</v>
      </c>
      <c r="AB9" s="704">
        <f t="shared" si="4"/>
        <v>1</v>
      </c>
      <c r="AC9" s="704">
        <f t="shared" si="5"/>
        <v>1</v>
      </c>
    </row>
    <row r="10" spans="1:29" s="378" customFormat="1" ht="27">
      <c r="A10" s="589"/>
      <c r="B10" s="590" t="s">
        <v>1683</v>
      </c>
      <c r="C10" s="3430"/>
      <c r="D10" s="127">
        <v>100</v>
      </c>
      <c r="E10" s="3430"/>
      <c r="F10" s="127">
        <f>SUMIF(55:55,E10,56:56)-SUMIF(55:55,C10,56:56)+100</f>
        <v>100</v>
      </c>
      <c r="G10" s="3431"/>
      <c r="H10" s="127">
        <f>SUMIF(55:55,G10,56:56)-SUMIF(55:55,C10,56:56)+100</f>
        <v>100</v>
      </c>
      <c r="I10" s="3430"/>
      <c r="J10" s="127">
        <f>SUMIF(55:55,I10,56:56)-SUMIF(55:55,C10,56:56)+100</f>
        <v>100</v>
      </c>
      <c r="K10" s="560"/>
      <c r="L10" s="2717"/>
      <c r="M10" s="2718"/>
      <c r="N10" s="2718"/>
      <c r="O10" s="2718"/>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55" t="s">
        <v>1685</v>
      </c>
      <c r="B14" s="577" t="s">
        <v>1828</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7" t="s">
        <v>1686</v>
      </c>
      <c r="Q14" s="1352" t="str">
        <f t="shared" si="6"/>
        <v>交通便捷度</v>
      </c>
      <c r="R14" s="705" t="s">
        <v>14</v>
      </c>
      <c r="S14" s="706">
        <f t="shared" si="0"/>
        <v>100</v>
      </c>
      <c r="T14" s="705" t="s">
        <v>14</v>
      </c>
      <c r="U14" s="706">
        <f t="shared" si="1"/>
        <v>100</v>
      </c>
      <c r="V14" s="705" t="s">
        <v>14</v>
      </c>
      <c r="W14" s="706">
        <f t="shared" si="2"/>
        <v>100</v>
      </c>
      <c r="X14" s="1355"/>
      <c r="Y14" s="3717"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18"/>
      <c r="Q15" s="1352"/>
      <c r="R15" s="705"/>
      <c r="S15" s="706"/>
      <c r="T15" s="705"/>
      <c r="U15" s="706"/>
      <c r="V15" s="705"/>
      <c r="W15" s="706"/>
      <c r="X15" s="1355"/>
      <c r="Y15" s="3718"/>
      <c r="Z15" s="1356"/>
      <c r="AA15" s="1353">
        <v>1</v>
      </c>
      <c r="AB15" s="1353">
        <v>1</v>
      </c>
      <c r="AC15" s="1353">
        <v>1</v>
      </c>
    </row>
    <row r="16" spans="1:29" ht="42.75">
      <c r="A16" s="358"/>
      <c r="B16" s="579" t="s">
        <v>1807</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0"/>
      <c r="M17" s="2714"/>
      <c r="N17" s="2714"/>
      <c r="O17" s="2714"/>
      <c r="P17" s="3718"/>
      <c r="Q17" s="1352"/>
      <c r="R17" s="705"/>
      <c r="S17" s="706"/>
      <c r="T17" s="705"/>
      <c r="U17" s="706"/>
      <c r="V17" s="705"/>
      <c r="W17" s="706"/>
      <c r="X17" s="1355"/>
      <c r="Y17" s="3718"/>
      <c r="Z17" s="1356"/>
      <c r="AA17" s="1353">
        <v>1</v>
      </c>
      <c r="AB17" s="1353">
        <v>1</v>
      </c>
      <c r="AC17" s="1353">
        <v>1</v>
      </c>
    </row>
    <row r="18" spans="1:29" ht="28.5">
      <c r="A18" s="358"/>
      <c r="B18" s="581" t="s">
        <v>1808</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0"/>
      <c r="M19" s="2714"/>
      <c r="N19" s="2714"/>
      <c r="O19" s="2714"/>
      <c r="P19" s="3718"/>
      <c r="Q19" s="1352"/>
      <c r="R19" s="705"/>
      <c r="S19" s="706"/>
      <c r="T19" s="705"/>
      <c r="U19" s="706"/>
      <c r="V19" s="705"/>
      <c r="W19" s="706"/>
      <c r="X19" s="1355"/>
      <c r="Y19" s="3718"/>
      <c r="Z19" s="1356"/>
      <c r="AA19" s="1353">
        <v>1</v>
      </c>
      <c r="AB19" s="1353">
        <v>1</v>
      </c>
      <c r="AC19" s="1353">
        <v>1</v>
      </c>
    </row>
    <row r="20" spans="1:29" ht="57">
      <c r="A20" s="358"/>
      <c r="B20" s="579" t="s">
        <v>1829</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18"/>
      <c r="Q21" s="1352"/>
      <c r="R21" s="705"/>
      <c r="S21" s="706"/>
      <c r="T21" s="705"/>
      <c r="U21" s="706"/>
      <c r="V21" s="705"/>
      <c r="W21" s="706"/>
      <c r="X21" s="1355"/>
      <c r="Y21" s="3718"/>
      <c r="Z21" s="1356"/>
      <c r="AA21" s="1353">
        <v>1</v>
      </c>
      <c r="AB21" s="1353">
        <v>1</v>
      </c>
      <c r="AC21" s="1353">
        <v>1</v>
      </c>
    </row>
    <row r="22" spans="1:29" ht="15">
      <c r="A22" s="358"/>
      <c r="B22" s="579" t="s">
        <v>1830</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8"/>
      <c r="Q24" s="1352">
        <f t="shared" ref="Q24:Q36"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600" t="s">
        <v>1689</v>
      </c>
      <c r="B26" s="62" t="s">
        <v>1831</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1"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2" t="s">
        <v>1691</v>
      </c>
      <c r="Z26" s="1356" t="str">
        <f t="shared" ref="Z26:Z36" si="15">Q26</f>
        <v>配套类型</v>
      </c>
      <c r="AA26" s="1353" t="e">
        <f t="shared" si="3"/>
        <v>#DIV/0!</v>
      </c>
      <c r="AB26" s="1353" t="e">
        <f t="shared" si="4"/>
        <v>#DIV/0!</v>
      </c>
      <c r="AC26" s="1353" t="e">
        <f t="shared" si="5"/>
        <v>#DIV/0!</v>
      </c>
    </row>
    <row r="27" spans="1:29" s="422" customFormat="1" ht="15">
      <c r="A27" s="601"/>
      <c r="B27" s="602" t="s">
        <v>1832</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2"/>
      <c r="Q27" s="707" t="str">
        <f t="shared" si="11"/>
        <v>项目停车位配比</v>
      </c>
      <c r="R27" s="708" t="s">
        <v>14</v>
      </c>
      <c r="S27" s="709">
        <f t="shared" si="12"/>
        <v>100</v>
      </c>
      <c r="T27" s="708" t="s">
        <v>14</v>
      </c>
      <c r="U27" s="709">
        <f t="shared" si="13"/>
        <v>100</v>
      </c>
      <c r="V27" s="708" t="s">
        <v>14</v>
      </c>
      <c r="W27" s="709">
        <f t="shared" si="14"/>
        <v>100</v>
      </c>
      <c r="X27" s="710"/>
      <c r="Y27" s="3722"/>
      <c r="Z27" s="711" t="str">
        <f t="shared" si="15"/>
        <v>项目停车位配比</v>
      </c>
      <c r="AA27" s="1353">
        <f t="shared" si="3"/>
        <v>1</v>
      </c>
      <c r="AB27" s="1353">
        <f t="shared" si="4"/>
        <v>1</v>
      </c>
      <c r="AC27" s="1353">
        <f t="shared" si="5"/>
        <v>1</v>
      </c>
    </row>
    <row r="28" spans="1:29" ht="15">
      <c r="A28" s="604"/>
      <c r="B28" s="602" t="s">
        <v>1833</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2"/>
      <c r="Q28" s="1352" t="str">
        <f t="shared" si="11"/>
        <v>公共部分装修</v>
      </c>
      <c r="R28" s="705" t="s">
        <v>14</v>
      </c>
      <c r="S28" s="706">
        <f t="shared" si="12"/>
        <v>100</v>
      </c>
      <c r="T28" s="705" t="s">
        <v>14</v>
      </c>
      <c r="U28" s="706">
        <f t="shared" si="13"/>
        <v>100</v>
      </c>
      <c r="V28" s="705" t="s">
        <v>14</v>
      </c>
      <c r="W28" s="706">
        <f t="shared" si="14"/>
        <v>100</v>
      </c>
      <c r="X28" s="1355"/>
      <c r="Y28" s="3722"/>
      <c r="Z28" s="1356" t="str">
        <f t="shared" si="15"/>
        <v>公共部分装修</v>
      </c>
      <c r="AA28" s="1353">
        <f t="shared" si="3"/>
        <v>1</v>
      </c>
      <c r="AB28" s="1353">
        <f t="shared" si="4"/>
        <v>1</v>
      </c>
      <c r="AC28" s="1353">
        <f t="shared" si="5"/>
        <v>1</v>
      </c>
    </row>
    <row r="29" spans="1:29" ht="15">
      <c r="A29" s="604"/>
      <c r="B29" s="602" t="s">
        <v>1834</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2"/>
      <c r="Q29" s="1352" t="str">
        <f t="shared" si="11"/>
        <v>成新率</v>
      </c>
      <c r="R29" s="705" t="s">
        <v>14</v>
      </c>
      <c r="S29" s="706" t="e">
        <f t="shared" si="12"/>
        <v>#N/A</v>
      </c>
      <c r="T29" s="705" t="s">
        <v>14</v>
      </c>
      <c r="U29" s="706" t="e">
        <f t="shared" si="13"/>
        <v>#N/A</v>
      </c>
      <c r="V29" s="705" t="s">
        <v>14</v>
      </c>
      <c r="W29" s="706" t="e">
        <f t="shared" si="14"/>
        <v>#N/A</v>
      </c>
      <c r="X29" s="1355"/>
      <c r="Y29" s="3722"/>
      <c r="Z29" s="1356" t="str">
        <f t="shared" si="15"/>
        <v>成新率</v>
      </c>
      <c r="AA29" s="1353" t="e">
        <f t="shared" si="3"/>
        <v>#N/A</v>
      </c>
      <c r="AB29" s="1353" t="e">
        <f t="shared" si="4"/>
        <v>#N/A</v>
      </c>
      <c r="AC29" s="1353" t="e">
        <f t="shared" si="5"/>
        <v>#N/A</v>
      </c>
    </row>
    <row r="30" spans="1:29" ht="15">
      <c r="A30" s="604"/>
      <c r="B30" s="602" t="s">
        <v>1835</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2"/>
      <c r="Q30" s="1352" t="str">
        <f t="shared" si="11"/>
        <v>物业等级</v>
      </c>
      <c r="R30" s="705" t="s">
        <v>14</v>
      </c>
      <c r="S30" s="706">
        <f t="shared" si="12"/>
        <v>100</v>
      </c>
      <c r="T30" s="705" t="s">
        <v>14</v>
      </c>
      <c r="U30" s="706">
        <f t="shared" si="13"/>
        <v>100</v>
      </c>
      <c r="V30" s="705" t="s">
        <v>14</v>
      </c>
      <c r="W30" s="706">
        <f t="shared" si="14"/>
        <v>100</v>
      </c>
      <c r="X30" s="1355"/>
      <c r="Y30" s="3722"/>
      <c r="Z30" s="1356" t="str">
        <f t="shared" si="15"/>
        <v>物业等级</v>
      </c>
      <c r="AA30" s="1353">
        <f t="shared" si="3"/>
        <v>1</v>
      </c>
      <c r="AB30" s="1353">
        <f t="shared" si="4"/>
        <v>1</v>
      </c>
      <c r="AC30" s="1353">
        <f t="shared" si="5"/>
        <v>1</v>
      </c>
    </row>
    <row r="31" spans="1:29" s="108" customFormat="1" ht="15">
      <c r="A31" s="606"/>
      <c r="B31" s="602" t="s">
        <v>1836</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2"/>
      <c r="Q31" s="1343" t="str">
        <f t="shared" si="11"/>
        <v>停车位面积</v>
      </c>
      <c r="R31" s="701" t="s">
        <v>14</v>
      </c>
      <c r="S31" s="702" t="e">
        <f t="shared" si="12"/>
        <v>#N/A</v>
      </c>
      <c r="T31" s="701" t="s">
        <v>14</v>
      </c>
      <c r="U31" s="702" t="e">
        <f t="shared" si="13"/>
        <v>#N/A</v>
      </c>
      <c r="V31" s="701" t="s">
        <v>14</v>
      </c>
      <c r="W31" s="702" t="e">
        <f t="shared" si="14"/>
        <v>#N/A</v>
      </c>
      <c r="X31" s="703"/>
      <c r="Y31" s="3722"/>
      <c r="Z31" s="52" t="str">
        <f t="shared" si="15"/>
        <v>停车位面积</v>
      </c>
      <c r="AA31" s="704" t="e">
        <f t="shared" si="3"/>
        <v>#N/A</v>
      </c>
      <c r="AB31" s="704" t="e">
        <f t="shared" si="4"/>
        <v>#N/A</v>
      </c>
      <c r="AC31" s="704" t="e">
        <f t="shared" si="5"/>
        <v>#N/A</v>
      </c>
    </row>
    <row r="32" spans="1:29" ht="15">
      <c r="A32" s="604"/>
      <c r="B32" s="602" t="s">
        <v>1837</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2" t="s">
        <v>1691</v>
      </c>
      <c r="Q32" s="1352" t="str">
        <f t="shared" si="11"/>
        <v>车位类型</v>
      </c>
      <c r="R32" s="705" t="s">
        <v>14</v>
      </c>
      <c r="S32" s="706">
        <f t="shared" si="12"/>
        <v>100</v>
      </c>
      <c r="T32" s="705" t="s">
        <v>14</v>
      </c>
      <c r="U32" s="706">
        <f t="shared" si="13"/>
        <v>100</v>
      </c>
      <c r="V32" s="705" t="s">
        <v>14</v>
      </c>
      <c r="W32" s="706">
        <f t="shared" si="14"/>
        <v>100</v>
      </c>
      <c r="X32" s="1355"/>
      <c r="Y32" s="3722" t="s">
        <v>1691</v>
      </c>
      <c r="Z32" s="1356" t="str">
        <f t="shared" si="15"/>
        <v>车位类型</v>
      </c>
      <c r="AA32" s="1353">
        <f t="shared" si="3"/>
        <v>1</v>
      </c>
      <c r="AB32" s="1353">
        <f t="shared" si="4"/>
        <v>1</v>
      </c>
      <c r="AC32" s="1353">
        <f t="shared" si="5"/>
        <v>1</v>
      </c>
    </row>
    <row r="33" spans="1:29" ht="15">
      <c r="A33" s="604"/>
      <c r="B33" s="602" t="s">
        <v>1838</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2"/>
      <c r="Q33" s="1352" t="str">
        <f t="shared" si="11"/>
        <v>是否直接入户</v>
      </c>
      <c r="R33" s="705" t="s">
        <v>14</v>
      </c>
      <c r="S33" s="706">
        <f t="shared" si="12"/>
        <v>100</v>
      </c>
      <c r="T33" s="705" t="s">
        <v>14</v>
      </c>
      <c r="U33" s="706">
        <f t="shared" si="13"/>
        <v>100</v>
      </c>
      <c r="V33" s="705" t="s">
        <v>14</v>
      </c>
      <c r="W33" s="706">
        <f t="shared" si="14"/>
        <v>100</v>
      </c>
      <c r="X33" s="1355"/>
      <c r="Y33" s="372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2"/>
      <c r="Q35" s="707">
        <f t="shared" si="11"/>
        <v>111</v>
      </c>
      <c r="R35" s="708" t="s">
        <v>14</v>
      </c>
      <c r="S35" s="709">
        <f t="shared" si="12"/>
        <v>100</v>
      </c>
      <c r="T35" s="708" t="s">
        <v>14</v>
      </c>
      <c r="U35" s="709">
        <f t="shared" si="13"/>
        <v>100</v>
      </c>
      <c r="V35" s="708" t="s">
        <v>14</v>
      </c>
      <c r="W35" s="709">
        <f t="shared" si="14"/>
        <v>100</v>
      </c>
      <c r="X35" s="710"/>
      <c r="Y35" s="372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2"/>
      <c r="Q36" s="1352">
        <f t="shared" si="11"/>
        <v>111</v>
      </c>
      <c r="R36" s="705" t="s">
        <v>14</v>
      </c>
      <c r="S36" s="706">
        <f t="shared" si="12"/>
        <v>100</v>
      </c>
      <c r="T36" s="705" t="s">
        <v>14</v>
      </c>
      <c r="U36" s="706">
        <f t="shared" si="13"/>
        <v>100</v>
      </c>
      <c r="V36" s="705" t="s">
        <v>14</v>
      </c>
      <c r="W36" s="706">
        <f t="shared" si="14"/>
        <v>100</v>
      </c>
      <c r="X36" s="1355"/>
      <c r="Y36" s="3722"/>
      <c r="Z36" s="1356">
        <f t="shared" si="15"/>
        <v>111</v>
      </c>
      <c r="AA36" s="1353">
        <f t="shared" si="3"/>
        <v>1</v>
      </c>
      <c r="AB36" s="1353">
        <f t="shared" si="4"/>
        <v>1</v>
      </c>
      <c r="AC36" s="1353">
        <f t="shared" si="5"/>
        <v>1</v>
      </c>
    </row>
    <row r="37" spans="1:29" ht="15">
      <c r="A37" s="430" t="s">
        <v>1839</v>
      </c>
      <c r="B37" s="1972" t="s">
        <v>3354</v>
      </c>
      <c r="C37" s="1154" t="s">
        <v>0</v>
      </c>
      <c r="D37" s="1155"/>
      <c r="E37" s="1156"/>
      <c r="F37" s="1157"/>
      <c r="G37" s="1158"/>
      <c r="H37" s="1159"/>
      <c r="I37" s="1156"/>
      <c r="J37" s="1159"/>
      <c r="K37" s="568"/>
      <c r="L37" s="2722"/>
      <c r="M37" s="2723"/>
      <c r="N37" s="2714"/>
      <c r="O37" s="2723"/>
      <c r="P37" s="3715" t="str">
        <f>A37</f>
        <v>成交单价</v>
      </c>
      <c r="Q37" s="3715"/>
      <c r="R37" s="3716">
        <f>E37</f>
        <v>0</v>
      </c>
      <c r="S37" s="3716"/>
      <c r="T37" s="3716">
        <f>G37</f>
        <v>0</v>
      </c>
      <c r="U37" s="3716"/>
      <c r="V37" s="3716">
        <f>I37</f>
        <v>0</v>
      </c>
      <c r="W37" s="3716"/>
      <c r="X37" s="690"/>
      <c r="Y37" s="712"/>
      <c r="Z37" s="690"/>
      <c r="AA37" s="690"/>
      <c r="AB37" s="690"/>
      <c r="AC37" s="690"/>
    </row>
    <row r="38" spans="1:29" ht="15.75" thickBot="1">
      <c r="A38" s="437" t="s">
        <v>1840</v>
      </c>
      <c r="B38" s="438" t="str">
        <f>B37</f>
        <v>元/平方米</v>
      </c>
      <c r="C38" s="1160" t="e">
        <f>R39</f>
        <v>#DIV/0!</v>
      </c>
      <c r="D38" s="2316" t="s">
        <v>2133</v>
      </c>
      <c r="E38" s="1161" t="e">
        <f>R38</f>
        <v>#DIV/0!</v>
      </c>
      <c r="F38" s="2317"/>
      <c r="G38" s="1160" t="e">
        <f>T38</f>
        <v>#DIV/0!</v>
      </c>
      <c r="H38" s="2317"/>
      <c r="I38" s="1161" t="e">
        <f>V38</f>
        <v>#DIV/0!</v>
      </c>
      <c r="J38" s="2317"/>
      <c r="K38" s="2319">
        <f>F38+H38+J38</f>
        <v>0</v>
      </c>
      <c r="L38" s="2722"/>
      <c r="M38" s="2723"/>
      <c r="N38" s="2723"/>
      <c r="O38" s="2723"/>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75" thickBot="1">
      <c r="A39" s="441" t="s">
        <v>1841</v>
      </c>
      <c r="B39" s="442"/>
      <c r="C39" s="1163" t="e">
        <f>R39</f>
        <v>#DIV/0!</v>
      </c>
      <c r="D39" s="1163"/>
      <c r="E39" s="1163"/>
      <c r="F39" s="1163"/>
      <c r="G39" s="1163"/>
      <c r="H39" s="1163"/>
      <c r="I39" s="1163"/>
      <c r="J39" s="1163"/>
      <c r="K39" s="569"/>
      <c r="L39" s="2722"/>
      <c r="M39" s="2723"/>
      <c r="N39" s="2723"/>
      <c r="O39" s="2723"/>
      <c r="P39" s="3712" t="str">
        <f>A39</f>
        <v>估价对象XX用房的比较价值（楼面单价，元/平方米）</v>
      </c>
      <c r="Q39" s="3713"/>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1842</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1843</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1844</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1845</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1846</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1711</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1676</v>
      </c>
      <c r="B51" s="459"/>
      <c r="C51" s="471" t="s">
        <v>1771</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1714</v>
      </c>
      <c r="B53" s="477" t="s">
        <v>1680</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1683</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1722</v>
      </c>
      <c r="C65" s="527" t="s">
        <v>1716</v>
      </c>
      <c r="D65" s="527" t="s">
        <v>1717</v>
      </c>
      <c r="E65" s="527" t="s">
        <v>1718</v>
      </c>
      <c r="F65" s="527" t="s">
        <v>1719</v>
      </c>
      <c r="G65" s="527" t="s">
        <v>1720</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1808</v>
      </c>
      <c r="C67" s="608" t="s">
        <v>1794</v>
      </c>
      <c r="D67" s="608" t="s">
        <v>1795</v>
      </c>
      <c r="E67" s="608" t="s">
        <v>1796</v>
      </c>
      <c r="F67" s="608" t="s">
        <v>1797</v>
      </c>
      <c r="G67" s="608" t="s">
        <v>1798</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1728</v>
      </c>
      <c r="C69" s="527" t="s">
        <v>1716</v>
      </c>
      <c r="D69" s="527" t="s">
        <v>1717</v>
      </c>
      <c r="E69" s="527" t="s">
        <v>1718</v>
      </c>
      <c r="F69" s="527" t="s">
        <v>1719</v>
      </c>
      <c r="G69" s="527" t="s">
        <v>1720</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1847</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1689</v>
      </c>
      <c r="B79" s="477" t="s">
        <v>1848</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1849</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1735</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1851</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1852</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1853</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1854</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1826</v>
      </c>
      <c r="B1" s="1223" t="s">
        <v>3334</v>
      </c>
      <c r="C1" s="1224" t="s">
        <v>1657</v>
      </c>
      <c r="D1" s="1225"/>
      <c r="E1" s="3429"/>
      <c r="F1" s="1878"/>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1459</v>
      </c>
      <c r="B3" s="558" t="e">
        <f>IF(C2="——",C37,ROUND(B2*10000/D3,0))</f>
        <v>#DIV/0!</v>
      </c>
      <c r="C3" s="354" t="s">
        <v>1763</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1764</v>
      </c>
      <c r="B4" s="356"/>
      <c r="C4" s="3698" t="s">
        <v>1765</v>
      </c>
      <c r="D4" s="3699"/>
      <c r="E4" s="3700" t="s">
        <v>1766</v>
      </c>
      <c r="F4" s="3701"/>
      <c r="G4" s="3698" t="s">
        <v>1767</v>
      </c>
      <c r="H4" s="3699"/>
      <c r="I4" s="3698" t="s">
        <v>1768</v>
      </c>
      <c r="J4" s="3699"/>
      <c r="K4" s="559" t="s">
        <v>1769</v>
      </c>
      <c r="L4" s="2713"/>
      <c r="M4" s="2714"/>
      <c r="N4" s="2714"/>
      <c r="O4" s="2714"/>
      <c r="P4" s="3702" t="s">
        <v>1770</v>
      </c>
      <c r="Q4" s="3703"/>
      <c r="R4" s="3685" t="s">
        <v>1766</v>
      </c>
      <c r="S4" s="3686"/>
      <c r="T4" s="3685" t="s">
        <v>1767</v>
      </c>
      <c r="U4" s="3686"/>
      <c r="V4" s="3710" t="s">
        <v>1768</v>
      </c>
      <c r="W4" s="3710"/>
      <c r="X4" s="1355"/>
      <c r="Y4" s="3685" t="s">
        <v>1770</v>
      </c>
      <c r="Z4" s="3686"/>
      <c r="AA4" s="3680" t="s">
        <v>1766</v>
      </c>
      <c r="AB4" s="3681" t="s">
        <v>1767</v>
      </c>
      <c r="AC4" s="3680" t="s">
        <v>1768</v>
      </c>
    </row>
    <row r="5" spans="1:29" ht="15">
      <c r="A5" s="358"/>
      <c r="B5" s="359"/>
      <c r="C5" s="3691" t="s">
        <v>1668</v>
      </c>
      <c r="D5" s="3692"/>
      <c r="E5" s="3689" t="s">
        <v>1669</v>
      </c>
      <c r="F5" s="3690"/>
      <c r="G5" s="3691" t="s">
        <v>1670</v>
      </c>
      <c r="H5" s="3692"/>
      <c r="I5" s="3691" t="s">
        <v>1671</v>
      </c>
      <c r="J5" s="3692"/>
      <c r="K5" s="559"/>
      <c r="L5" s="2713"/>
      <c r="M5" s="2714"/>
      <c r="N5" s="2714"/>
      <c r="O5" s="2714"/>
      <c r="P5" s="3704"/>
      <c r="Q5" s="3705"/>
      <c r="R5" s="3687"/>
      <c r="S5" s="3688"/>
      <c r="T5" s="3687"/>
      <c r="U5" s="3688"/>
      <c r="V5" s="3710"/>
      <c r="W5" s="3710"/>
      <c r="X5" s="1355"/>
      <c r="Y5" s="3687"/>
      <c r="Z5" s="3688"/>
      <c r="AA5" s="3681"/>
      <c r="AB5" s="3681"/>
      <c r="AC5" s="3681"/>
    </row>
    <row r="6" spans="1:29" ht="15.75" thickBot="1">
      <c r="A6" s="360"/>
      <c r="B6" s="361"/>
      <c r="C6" s="3693" t="s">
        <v>1672</v>
      </c>
      <c r="D6" s="3694"/>
      <c r="E6" s="3695" t="s">
        <v>1672</v>
      </c>
      <c r="F6" s="3696"/>
      <c r="G6" s="3693" t="s">
        <v>1672</v>
      </c>
      <c r="H6" s="3694"/>
      <c r="I6" s="3693" t="s">
        <v>1672</v>
      </c>
      <c r="J6" s="3694"/>
      <c r="K6" s="559" t="s">
        <v>1673</v>
      </c>
      <c r="L6" s="2713"/>
      <c r="M6" s="2714"/>
      <c r="N6" s="2714"/>
      <c r="O6" s="2714"/>
      <c r="P6" s="3706"/>
      <c r="Q6" s="3707"/>
      <c r="R6" s="3687"/>
      <c r="S6" s="3688"/>
      <c r="T6" s="3708"/>
      <c r="U6" s="3709"/>
      <c r="V6" s="3710"/>
      <c r="W6" s="3710"/>
      <c r="X6" s="1355"/>
      <c r="Y6" s="3708"/>
      <c r="Z6" s="3709"/>
      <c r="AA6" s="3682"/>
      <c r="AB6" s="3682"/>
      <c r="AC6" s="3682"/>
    </row>
    <row r="7" spans="1:29" s="108" customFormat="1" ht="15.75" thickBot="1">
      <c r="A7" s="362" t="s">
        <v>1674</v>
      </c>
      <c r="B7" s="363"/>
      <c r="C7" s="364">
        <f>'数据-取费表'!B2</f>
        <v>45217</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83" t="s">
        <v>1675</v>
      </c>
      <c r="Q7" s="3711"/>
      <c r="R7" s="701" t="s">
        <v>14</v>
      </c>
      <c r="S7" s="702">
        <f t="shared" ref="S7:S14" si="0">F7</f>
        <v>0</v>
      </c>
      <c r="T7" s="701" t="s">
        <v>14</v>
      </c>
      <c r="U7" s="702">
        <f t="shared" ref="U7:U14" si="1">H7</f>
        <v>0</v>
      </c>
      <c r="V7" s="701" t="s">
        <v>14</v>
      </c>
      <c r="W7" s="702">
        <f t="shared" ref="W7:W14" si="2">J7</f>
        <v>0</v>
      </c>
      <c r="X7" s="703"/>
      <c r="Y7" s="3683" t="s">
        <v>1675</v>
      </c>
      <c r="Z7" s="3684"/>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3" t="s">
        <v>1678</v>
      </c>
      <c r="Q8" s="3684"/>
      <c r="R8" s="701" t="s">
        <v>14</v>
      </c>
      <c r="S8" s="702">
        <f t="shared" si="0"/>
        <v>100</v>
      </c>
      <c r="T8" s="701" t="s">
        <v>14</v>
      </c>
      <c r="U8" s="702">
        <f t="shared" si="1"/>
        <v>100</v>
      </c>
      <c r="V8" s="701" t="s">
        <v>14</v>
      </c>
      <c r="W8" s="702">
        <f t="shared" si="2"/>
        <v>100</v>
      </c>
      <c r="X8" s="703"/>
      <c r="Y8" s="3683" t="s">
        <v>1678</v>
      </c>
      <c r="Z8" s="3684"/>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5" t="s">
        <v>1681</v>
      </c>
      <c r="Q9" s="1343" t="str">
        <f t="shared" ref="Q9:Q14" si="6">B9</f>
        <v>用途</v>
      </c>
      <c r="R9" s="701" t="s">
        <v>14</v>
      </c>
      <c r="S9" s="702">
        <f t="shared" si="0"/>
        <v>100</v>
      </c>
      <c r="T9" s="701" t="s">
        <v>14</v>
      </c>
      <c r="U9" s="702">
        <f t="shared" si="1"/>
        <v>100</v>
      </c>
      <c r="V9" s="701" t="s">
        <v>14</v>
      </c>
      <c r="W9" s="702">
        <f t="shared" si="2"/>
        <v>100</v>
      </c>
      <c r="X9" s="703"/>
      <c r="Y9" s="3627" t="s">
        <v>1682</v>
      </c>
      <c r="Z9" s="52" t="str">
        <f t="shared" ref="Z9:Z14" si="7">Q9</f>
        <v>用途</v>
      </c>
      <c r="AA9" s="704">
        <f t="shared" si="3"/>
        <v>1</v>
      </c>
      <c r="AB9" s="704">
        <f t="shared" si="4"/>
        <v>1</v>
      </c>
      <c r="AC9" s="704">
        <f t="shared" si="5"/>
        <v>1</v>
      </c>
    </row>
    <row r="10" spans="1:29" s="378" customFormat="1" ht="27">
      <c r="A10" s="374"/>
      <c r="B10" s="375" t="s">
        <v>1683</v>
      </c>
      <c r="C10" s="3430"/>
      <c r="D10" s="127">
        <v>100</v>
      </c>
      <c r="E10" s="3430"/>
      <c r="F10" s="376">
        <f>SUMIF(53:53,E10,54:54)-SUMIF(53:53,C10,54:54)+100</f>
        <v>100</v>
      </c>
      <c r="G10" s="3430"/>
      <c r="H10" s="127">
        <f>SUMIF(53:53,G10,54:54)-SUMIF(53:53,C10,54:54)+100</f>
        <v>100</v>
      </c>
      <c r="I10" s="3430"/>
      <c r="J10" s="127">
        <f>SUMIF(53:53,I10,54:54)-SUMIF(53:53,C10,54:54)+100</f>
        <v>100</v>
      </c>
      <c r="K10" s="560"/>
      <c r="L10" s="2717"/>
      <c r="M10" s="2718"/>
      <c r="N10" s="2718"/>
      <c r="O10" s="2771"/>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91" t="s">
        <v>1685</v>
      </c>
      <c r="B14" s="61" t="s">
        <v>1828</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7" t="s">
        <v>1686</v>
      </c>
      <c r="Q14" s="1352" t="str">
        <f t="shared" si="6"/>
        <v>交通便捷度</v>
      </c>
      <c r="R14" s="705" t="s">
        <v>14</v>
      </c>
      <c r="S14" s="706">
        <f t="shared" si="0"/>
        <v>100</v>
      </c>
      <c r="T14" s="705" t="s">
        <v>14</v>
      </c>
      <c r="U14" s="706">
        <f t="shared" si="1"/>
        <v>100</v>
      </c>
      <c r="V14" s="705" t="s">
        <v>14</v>
      </c>
      <c r="W14" s="706">
        <f t="shared" si="2"/>
        <v>100</v>
      </c>
      <c r="X14" s="1355"/>
      <c r="Y14" s="3717"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18"/>
      <c r="Q15" s="1352"/>
      <c r="R15" s="705"/>
      <c r="S15" s="706"/>
      <c r="T15" s="705"/>
      <c r="U15" s="706"/>
      <c r="V15" s="705"/>
      <c r="W15" s="706"/>
      <c r="X15" s="1355"/>
      <c r="Y15" s="3718"/>
      <c r="Z15" s="1356"/>
      <c r="AA15" s="1353">
        <v>1</v>
      </c>
      <c r="AB15" s="1353">
        <v>1</v>
      </c>
      <c r="AC15" s="1353">
        <v>1</v>
      </c>
    </row>
    <row r="16" spans="1:29" ht="42.75">
      <c r="A16" s="379"/>
      <c r="B16" s="402" t="s">
        <v>1807</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0"/>
      <c r="M17" s="2714"/>
      <c r="N17" s="2714"/>
      <c r="O17" s="2772"/>
      <c r="P17" s="3718"/>
      <c r="Q17" s="1352"/>
      <c r="R17" s="705"/>
      <c r="S17" s="706"/>
      <c r="T17" s="705"/>
      <c r="U17" s="706"/>
      <c r="V17" s="705"/>
      <c r="W17" s="706"/>
      <c r="X17" s="1355"/>
      <c r="Y17" s="3718"/>
      <c r="Z17" s="1356"/>
      <c r="AA17" s="1353">
        <v>1</v>
      </c>
      <c r="AB17" s="1353">
        <v>1</v>
      </c>
      <c r="AC17" s="1353">
        <v>1</v>
      </c>
    </row>
    <row r="18" spans="1:29" ht="28.5">
      <c r="A18" s="379"/>
      <c r="B18" s="1131" t="s">
        <v>1808</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0"/>
      <c r="M19" s="2714"/>
      <c r="N19" s="2714"/>
      <c r="O19" s="2772"/>
      <c r="P19" s="3718"/>
      <c r="Q19" s="1352"/>
      <c r="R19" s="705"/>
      <c r="S19" s="706"/>
      <c r="T19" s="705"/>
      <c r="U19" s="706"/>
      <c r="V19" s="705"/>
      <c r="W19" s="706"/>
      <c r="X19" s="1355"/>
      <c r="Y19" s="3718"/>
      <c r="Z19" s="1356"/>
      <c r="AA19" s="1353">
        <v>1</v>
      </c>
      <c r="AB19" s="1353">
        <v>1</v>
      </c>
      <c r="AC19" s="1353">
        <v>1</v>
      </c>
    </row>
    <row r="20" spans="1:29" ht="57">
      <c r="A20" s="379"/>
      <c r="B20" s="402" t="s">
        <v>1829</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18"/>
      <c r="Q21" s="1352"/>
      <c r="R21" s="705"/>
      <c r="S21" s="706"/>
      <c r="T21" s="705"/>
      <c r="U21" s="706"/>
      <c r="V21" s="705"/>
      <c r="W21" s="706"/>
      <c r="X21" s="1355"/>
      <c r="Y21" s="3718"/>
      <c r="Z21" s="1356"/>
      <c r="AA21" s="1353">
        <v>1</v>
      </c>
      <c r="AB21" s="1353">
        <v>1</v>
      </c>
      <c r="AC21" s="1353">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8"/>
      <c r="Q24" s="1352">
        <f t="shared" ref="Q24:Q34"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417" t="s">
        <v>1689</v>
      </c>
      <c r="B26" s="63" t="s">
        <v>1833</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41"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2" t="s">
        <v>1691</v>
      </c>
      <c r="Z26" s="1356" t="str">
        <f t="shared" ref="Z26:Z34" si="15">Q26</f>
        <v>公共部分装修</v>
      </c>
      <c r="AA26" s="1353">
        <f t="shared" si="3"/>
        <v>1</v>
      </c>
      <c r="AB26" s="1353">
        <f t="shared" si="4"/>
        <v>1</v>
      </c>
      <c r="AC26" s="1353">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2"/>
      <c r="Q27" s="707" t="str">
        <f t="shared" si="11"/>
        <v>成新率</v>
      </c>
      <c r="R27" s="708" t="s">
        <v>14</v>
      </c>
      <c r="S27" s="709" t="e">
        <f t="shared" si="12"/>
        <v>#N/A</v>
      </c>
      <c r="T27" s="708" t="s">
        <v>14</v>
      </c>
      <c r="U27" s="709" t="e">
        <f t="shared" si="13"/>
        <v>#N/A</v>
      </c>
      <c r="V27" s="708" t="s">
        <v>14</v>
      </c>
      <c r="W27" s="709" t="e">
        <f t="shared" si="14"/>
        <v>#N/A</v>
      </c>
      <c r="X27" s="710"/>
      <c r="Y27" s="3722"/>
      <c r="Z27" s="711" t="str">
        <f t="shared" si="15"/>
        <v>成新率</v>
      </c>
      <c r="AA27" s="1353" t="e">
        <f t="shared" si="3"/>
        <v>#N/A</v>
      </c>
      <c r="AB27" s="1353" t="e">
        <f t="shared" si="4"/>
        <v>#N/A</v>
      </c>
      <c r="AC27" s="1353"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2"/>
      <c r="Q28" s="1352" t="str">
        <f t="shared" si="11"/>
        <v>物业等级</v>
      </c>
      <c r="R28" s="705" t="s">
        <v>14</v>
      </c>
      <c r="S28" s="706">
        <f t="shared" si="12"/>
        <v>100</v>
      </c>
      <c r="T28" s="705" t="s">
        <v>14</v>
      </c>
      <c r="U28" s="706">
        <f t="shared" si="13"/>
        <v>100</v>
      </c>
      <c r="V28" s="705" t="s">
        <v>14</v>
      </c>
      <c r="W28" s="706">
        <f t="shared" si="14"/>
        <v>100</v>
      </c>
      <c r="X28" s="1355"/>
      <c r="Y28" s="3722"/>
      <c r="Z28" s="1356" t="str">
        <f t="shared" si="15"/>
        <v>物业等级</v>
      </c>
      <c r="AA28" s="1353">
        <f t="shared" si="3"/>
        <v>1</v>
      </c>
      <c r="AB28" s="1353">
        <f t="shared" si="4"/>
        <v>1</v>
      </c>
      <c r="AC28" s="1353">
        <f t="shared" si="5"/>
        <v>1</v>
      </c>
    </row>
    <row r="29" spans="1:29" ht="15">
      <c r="A29" s="423"/>
      <c r="B29" s="375" t="s">
        <v>1855</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2"/>
      <c r="Q29" s="1352" t="str">
        <f t="shared" si="11"/>
        <v>有无电梯</v>
      </c>
      <c r="R29" s="705" t="s">
        <v>14</v>
      </c>
      <c r="S29" s="706">
        <f t="shared" si="12"/>
        <v>100</v>
      </c>
      <c r="T29" s="705" t="s">
        <v>14</v>
      </c>
      <c r="U29" s="706">
        <f t="shared" si="13"/>
        <v>100</v>
      </c>
      <c r="V29" s="705" t="s">
        <v>14</v>
      </c>
      <c r="W29" s="706">
        <f t="shared" si="14"/>
        <v>100</v>
      </c>
      <c r="X29" s="1355"/>
      <c r="Y29" s="3722"/>
      <c r="Z29" s="1356" t="str">
        <f t="shared" si="15"/>
        <v>有无电梯</v>
      </c>
      <c r="AA29" s="1353">
        <f t="shared" si="3"/>
        <v>1</v>
      </c>
      <c r="AB29" s="1353">
        <f t="shared" si="4"/>
        <v>1</v>
      </c>
      <c r="AC29" s="1353">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2"/>
      <c r="Q30" s="1352" t="str">
        <f t="shared" si="11"/>
        <v>建筑面积</v>
      </c>
      <c r="R30" s="705" t="s">
        <v>14</v>
      </c>
      <c r="S30" s="706" t="e">
        <f t="shared" si="12"/>
        <v>#N/A</v>
      </c>
      <c r="T30" s="705" t="s">
        <v>14</v>
      </c>
      <c r="U30" s="706" t="e">
        <f t="shared" si="13"/>
        <v>#N/A</v>
      </c>
      <c r="V30" s="705" t="s">
        <v>14</v>
      </c>
      <c r="W30" s="706" t="e">
        <f t="shared" si="14"/>
        <v>#N/A</v>
      </c>
      <c r="X30" s="1355"/>
      <c r="Y30" s="3722"/>
      <c r="Z30" s="1356" t="str">
        <f t="shared" si="15"/>
        <v>建筑面积</v>
      </c>
      <c r="AA30" s="1353" t="e">
        <f t="shared" si="3"/>
        <v>#N/A</v>
      </c>
      <c r="AB30" s="1353" t="e">
        <f t="shared" si="4"/>
        <v>#N/A</v>
      </c>
      <c r="AC30" s="1353" t="e">
        <f t="shared" si="5"/>
        <v>#N/A</v>
      </c>
    </row>
    <row r="31" spans="1:29" s="108" customFormat="1" ht="15">
      <c r="A31" s="424"/>
      <c r="B31" s="375" t="s">
        <v>1857</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2"/>
      <c r="Q31" s="1343" t="str">
        <f t="shared" si="11"/>
        <v>是否封闭</v>
      </c>
      <c r="R31" s="701" t="s">
        <v>14</v>
      </c>
      <c r="S31" s="702">
        <f t="shared" si="12"/>
        <v>100</v>
      </c>
      <c r="T31" s="701" t="s">
        <v>14</v>
      </c>
      <c r="U31" s="702">
        <f t="shared" si="13"/>
        <v>100</v>
      </c>
      <c r="V31" s="701" t="s">
        <v>14</v>
      </c>
      <c r="W31" s="702">
        <f t="shared" si="14"/>
        <v>100</v>
      </c>
      <c r="X31" s="703"/>
      <c r="Y31" s="372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2" t="s">
        <v>1691</v>
      </c>
      <c r="Q32" s="1352">
        <f t="shared" si="11"/>
        <v>111</v>
      </c>
      <c r="R32" s="705" t="s">
        <v>14</v>
      </c>
      <c r="S32" s="706">
        <f t="shared" si="12"/>
        <v>100</v>
      </c>
      <c r="T32" s="705" t="s">
        <v>14</v>
      </c>
      <c r="U32" s="706">
        <f t="shared" si="13"/>
        <v>100</v>
      </c>
      <c r="V32" s="705" t="s">
        <v>14</v>
      </c>
      <c r="W32" s="706">
        <f t="shared" si="14"/>
        <v>100</v>
      </c>
      <c r="X32" s="1355"/>
      <c r="Y32" s="3722" t="s">
        <v>1691</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2"/>
      <c r="Q33" s="1352">
        <f t="shared" si="11"/>
        <v>111</v>
      </c>
      <c r="R33" s="705" t="s">
        <v>14</v>
      </c>
      <c r="S33" s="706">
        <f t="shared" si="12"/>
        <v>100</v>
      </c>
      <c r="T33" s="705" t="s">
        <v>14</v>
      </c>
      <c r="U33" s="706">
        <f t="shared" si="13"/>
        <v>100</v>
      </c>
      <c r="V33" s="705" t="s">
        <v>14</v>
      </c>
      <c r="W33" s="706">
        <f t="shared" si="14"/>
        <v>100</v>
      </c>
      <c r="X33" s="1355"/>
      <c r="Y33" s="3722"/>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2"/>
      <c r="M35" s="2723"/>
      <c r="N35" s="2714"/>
      <c r="O35" s="2723"/>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75" thickBot="1">
      <c r="A36" s="437" t="s">
        <v>1788</v>
      </c>
      <c r="B36" s="438"/>
      <c r="C36" s="1160" t="e">
        <f>R37</f>
        <v>#DIV/0!</v>
      </c>
      <c r="D36" s="2316" t="s">
        <v>2133</v>
      </c>
      <c r="E36" s="1161" t="e">
        <f>R36</f>
        <v>#DIV/0!</v>
      </c>
      <c r="F36" s="2317"/>
      <c r="G36" s="1160" t="e">
        <f>T36</f>
        <v>#DIV/0!</v>
      </c>
      <c r="H36" s="2317"/>
      <c r="I36" s="1161" t="e">
        <f>V36</f>
        <v>#DIV/0!</v>
      </c>
      <c r="J36" s="2317"/>
      <c r="K36" s="2319">
        <f>F36+H36+J36</f>
        <v>0</v>
      </c>
      <c r="L36" s="2722"/>
      <c r="M36" s="2723"/>
      <c r="N36" s="2714"/>
      <c r="O36" s="2723"/>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75" thickBot="1">
      <c r="A37" s="441" t="s">
        <v>1789</v>
      </c>
      <c r="B37" s="442"/>
      <c r="C37" s="1163" t="e">
        <f>R37</f>
        <v>#DIV/0!</v>
      </c>
      <c r="D37" s="1163"/>
      <c r="E37" s="1163"/>
      <c r="F37" s="1163"/>
      <c r="G37" s="1163"/>
      <c r="H37" s="1163"/>
      <c r="I37" s="1163"/>
      <c r="J37" s="1163"/>
      <c r="K37" s="715"/>
      <c r="L37" s="2722"/>
      <c r="M37" s="2723"/>
      <c r="N37" s="2723"/>
      <c r="O37" s="2723"/>
      <c r="P37" s="3712" t="str">
        <f>A37</f>
        <v>估价对象XX用房的比较价值（楼面单价，元/平方米）</v>
      </c>
      <c r="Q37" s="3713"/>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1793</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1674</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1711</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1676</v>
      </c>
      <c r="B49" s="459"/>
      <c r="C49" s="471" t="s">
        <v>1771</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1714</v>
      </c>
      <c r="B51" s="477" t="s">
        <v>1680</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1683</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1858</v>
      </c>
      <c r="C63" s="527" t="s">
        <v>1716</v>
      </c>
      <c r="D63" s="527" t="s">
        <v>1717</v>
      </c>
      <c r="E63" s="527" t="s">
        <v>1718</v>
      </c>
      <c r="F63" s="527" t="s">
        <v>1719</v>
      </c>
      <c r="G63" s="527" t="s">
        <v>1720</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1808</v>
      </c>
      <c r="C65" s="608" t="s">
        <v>1794</v>
      </c>
      <c r="D65" s="608" t="s">
        <v>1795</v>
      </c>
      <c r="E65" s="608" t="s">
        <v>1796</v>
      </c>
      <c r="F65" s="608" t="s">
        <v>1797</v>
      </c>
      <c r="G65" s="608" t="s">
        <v>1798</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1728</v>
      </c>
      <c r="C67" s="527" t="s">
        <v>1716</v>
      </c>
      <c r="D67" s="527" t="s">
        <v>1717</v>
      </c>
      <c r="E67" s="527" t="s">
        <v>1718</v>
      </c>
      <c r="F67" s="527" t="s">
        <v>1719</v>
      </c>
      <c r="G67" s="527" t="s">
        <v>1720</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1847</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1689</v>
      </c>
      <c r="B77" s="477" t="s">
        <v>1735</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1851</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1859</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1860</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1861</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1457</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1459</v>
      </c>
      <c r="B3" s="558" t="e">
        <f>ROUND(IF(D3="",B2*10000/'数据-汇总表'!E3,B2*10000/D3),0)</f>
        <v>#DIV/0!</v>
      </c>
      <c r="C3" s="203" t="s">
        <v>1864</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1764</v>
      </c>
      <c r="B4" s="356"/>
      <c r="C4" s="3698" t="s">
        <v>1765</v>
      </c>
      <c r="D4" s="3699"/>
      <c r="E4" s="3700" t="s">
        <v>1766</v>
      </c>
      <c r="F4" s="3701"/>
      <c r="G4" s="3698" t="s">
        <v>1767</v>
      </c>
      <c r="H4" s="3699"/>
      <c r="I4" s="3698" t="s">
        <v>1768</v>
      </c>
      <c r="J4" s="3699"/>
      <c r="K4" s="559" t="s">
        <v>1769</v>
      </c>
      <c r="L4" s="2713"/>
      <c r="M4" s="2714"/>
      <c r="N4" s="2714"/>
      <c r="O4" s="2714"/>
      <c r="P4" s="3702" t="s">
        <v>1770</v>
      </c>
      <c r="Q4" s="3703"/>
      <c r="R4" s="3685" t="s">
        <v>1766</v>
      </c>
      <c r="S4" s="3686"/>
      <c r="T4" s="3685" t="s">
        <v>1767</v>
      </c>
      <c r="U4" s="3686"/>
      <c r="V4" s="3710" t="s">
        <v>1768</v>
      </c>
      <c r="W4" s="3710"/>
      <c r="X4" s="1355"/>
      <c r="Y4" s="3685" t="s">
        <v>1770</v>
      </c>
      <c r="Z4" s="3686"/>
      <c r="AA4" s="3680" t="s">
        <v>1766</v>
      </c>
      <c r="AB4" s="3681" t="s">
        <v>1767</v>
      </c>
      <c r="AC4" s="3680" t="s">
        <v>1768</v>
      </c>
    </row>
    <row r="5" spans="1:30" ht="15">
      <c r="A5" s="358"/>
      <c r="B5" s="359"/>
      <c r="C5" s="3691" t="s">
        <v>1668</v>
      </c>
      <c r="D5" s="3692"/>
      <c r="E5" s="3689" t="s">
        <v>1669</v>
      </c>
      <c r="F5" s="3690"/>
      <c r="G5" s="3691" t="s">
        <v>1670</v>
      </c>
      <c r="H5" s="3692"/>
      <c r="I5" s="3691" t="s">
        <v>1671</v>
      </c>
      <c r="J5" s="3692"/>
      <c r="K5" s="559"/>
      <c r="L5" s="2713"/>
      <c r="M5" s="2714"/>
      <c r="N5" s="2714"/>
      <c r="O5" s="2714"/>
      <c r="P5" s="3704"/>
      <c r="Q5" s="3705"/>
      <c r="R5" s="3687"/>
      <c r="S5" s="3688"/>
      <c r="T5" s="3687"/>
      <c r="U5" s="3688"/>
      <c r="V5" s="3710"/>
      <c r="W5" s="3710"/>
      <c r="X5" s="1355"/>
      <c r="Y5" s="3687"/>
      <c r="Z5" s="3688"/>
      <c r="AA5" s="3681"/>
      <c r="AB5" s="3681"/>
      <c r="AC5" s="3681"/>
    </row>
    <row r="6" spans="1:30" ht="15.75" thickBot="1">
      <c r="A6" s="360"/>
      <c r="B6" s="361"/>
      <c r="C6" s="3693" t="s">
        <v>1672</v>
      </c>
      <c r="D6" s="3694"/>
      <c r="E6" s="3695" t="s">
        <v>1672</v>
      </c>
      <c r="F6" s="3696"/>
      <c r="G6" s="3693" t="s">
        <v>1672</v>
      </c>
      <c r="H6" s="3694"/>
      <c r="I6" s="3693" t="s">
        <v>1672</v>
      </c>
      <c r="J6" s="3694"/>
      <c r="K6" s="559" t="s">
        <v>1673</v>
      </c>
      <c r="L6" s="2713"/>
      <c r="M6" s="2714"/>
      <c r="N6" s="2714"/>
      <c r="O6" s="2714"/>
      <c r="P6" s="3706"/>
      <c r="Q6" s="3707"/>
      <c r="R6" s="3687"/>
      <c r="S6" s="3688"/>
      <c r="T6" s="3708"/>
      <c r="U6" s="3709"/>
      <c r="V6" s="3710"/>
      <c r="W6" s="3710"/>
      <c r="X6" s="1355"/>
      <c r="Y6" s="3708"/>
      <c r="Z6" s="3709"/>
      <c r="AA6" s="3682"/>
      <c r="AB6" s="3682"/>
      <c r="AC6" s="3682"/>
    </row>
    <row r="7" spans="1:30" s="108" customFormat="1" ht="15.75" thickBot="1">
      <c r="A7" s="362" t="s">
        <v>1674</v>
      </c>
      <c r="B7" s="363"/>
      <c r="C7" s="364">
        <f>'数据-取费表'!B2</f>
        <v>45217</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683" t="s">
        <v>1675</v>
      </c>
      <c r="Q7" s="3711"/>
      <c r="R7" s="701" t="s">
        <v>14</v>
      </c>
      <c r="S7" s="702">
        <f t="shared" ref="S7:S15" si="0">F7</f>
        <v>0</v>
      </c>
      <c r="T7" s="701" t="s">
        <v>14</v>
      </c>
      <c r="U7" s="702">
        <f t="shared" ref="U7:U15" si="1">H7</f>
        <v>0</v>
      </c>
      <c r="V7" s="701" t="s">
        <v>14</v>
      </c>
      <c r="W7" s="702">
        <f t="shared" ref="W7:W15" si="2">J7</f>
        <v>0</v>
      </c>
      <c r="X7" s="703"/>
      <c r="Y7" s="3683" t="s">
        <v>1675</v>
      </c>
      <c r="Z7" s="3684"/>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3" t="s">
        <v>1678</v>
      </c>
      <c r="Q8" s="3684"/>
      <c r="R8" s="701" t="s">
        <v>14</v>
      </c>
      <c r="S8" s="702">
        <f t="shared" si="0"/>
        <v>0</v>
      </c>
      <c r="T8" s="701" t="s">
        <v>14</v>
      </c>
      <c r="U8" s="702">
        <f t="shared" si="1"/>
        <v>0</v>
      </c>
      <c r="V8" s="701" t="s">
        <v>14</v>
      </c>
      <c r="W8" s="702">
        <f t="shared" si="2"/>
        <v>0</v>
      </c>
      <c r="X8" s="703"/>
      <c r="Y8" s="3683" t="s">
        <v>1678</v>
      </c>
      <c r="Z8" s="3684"/>
      <c r="AA8" s="704" t="e">
        <f t="shared" ref="AA8:AA45" si="3">D8/F8</f>
        <v>#DIV/0!</v>
      </c>
      <c r="AB8" s="704" t="e">
        <f t="shared" ref="AB8:AB45" si="4">D8/H8</f>
        <v>#DIV/0!</v>
      </c>
      <c r="AC8" s="704" t="e">
        <f t="shared" ref="AC8:AC45" si="5">D8/J8</f>
        <v>#DIV/0!</v>
      </c>
    </row>
    <row r="9" spans="1:30" s="108" customFormat="1">
      <c r="A9" s="369" t="s">
        <v>1679</v>
      </c>
      <c r="B9" s="63" t="s">
        <v>1680</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15" t="s">
        <v>1681</v>
      </c>
      <c r="Q9" s="1343" t="str">
        <f t="shared" ref="Q9:Q15" si="6">B9</f>
        <v>用途</v>
      </c>
      <c r="R9" s="701" t="s">
        <v>14</v>
      </c>
      <c r="S9" s="702">
        <f t="shared" si="0"/>
        <v>100</v>
      </c>
      <c r="T9" s="701" t="s">
        <v>14</v>
      </c>
      <c r="U9" s="702">
        <f t="shared" si="1"/>
        <v>100</v>
      </c>
      <c r="V9" s="701" t="s">
        <v>14</v>
      </c>
      <c r="W9" s="702">
        <f t="shared" si="2"/>
        <v>100</v>
      </c>
      <c r="X9" s="703"/>
      <c r="Y9" s="3627"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715"/>
      <c r="Q10" s="1343" t="str">
        <f t="shared" si="6"/>
        <v>土地使用年限（年）</v>
      </c>
      <c r="R10" s="701" t="s">
        <v>14</v>
      </c>
      <c r="S10" s="702">
        <f t="shared" si="0"/>
        <v>104</v>
      </c>
      <c r="T10" s="701" t="s">
        <v>14</v>
      </c>
      <c r="U10" s="702">
        <f t="shared" si="1"/>
        <v>104</v>
      </c>
      <c r="V10" s="701" t="s">
        <v>14</v>
      </c>
      <c r="W10" s="702">
        <f t="shared" si="2"/>
        <v>104</v>
      </c>
      <c r="X10" s="703"/>
      <c r="Y10" s="3627"/>
      <c r="Z10" s="52" t="str">
        <f t="shared" si="7"/>
        <v>土地使用年限（年）</v>
      </c>
      <c r="AA10" s="704">
        <f t="shared" si="3"/>
        <v>0.96153846153846156</v>
      </c>
      <c r="AB10" s="704">
        <f t="shared" si="4"/>
        <v>0.96153846153846156</v>
      </c>
      <c r="AC10" s="704">
        <f t="shared" si="5"/>
        <v>0.96153846153846156</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30" s="108" customFormat="1" ht="15">
      <c r="A12" s="382"/>
      <c r="B12" s="1892" t="s">
        <v>1865</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5"/>
      <c r="Q12" s="1343" t="str">
        <f t="shared" si="6"/>
        <v>配建</v>
      </c>
      <c r="R12" s="701" t="s">
        <v>14</v>
      </c>
      <c r="S12" s="702">
        <f t="shared" si="0"/>
        <v>100</v>
      </c>
      <c r="T12" s="701" t="s">
        <v>14</v>
      </c>
      <c r="U12" s="702">
        <f t="shared" si="1"/>
        <v>100</v>
      </c>
      <c r="V12" s="701" t="s">
        <v>14</v>
      </c>
      <c r="W12" s="702">
        <f t="shared" si="2"/>
        <v>100</v>
      </c>
      <c r="X12" s="703"/>
      <c r="Y12" s="3627"/>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D14/F14</f>
        <v>1</v>
      </c>
      <c r="AB14" s="704">
        <f>D14/H14</f>
        <v>1</v>
      </c>
      <c r="AC14" s="704">
        <f>D14/J14</f>
        <v>1</v>
      </c>
    </row>
    <row r="15" spans="1:30" ht="99.75">
      <c r="A15" s="391" t="s">
        <v>1685</v>
      </c>
      <c r="B15" s="61" t="s">
        <v>1252</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7" t="s">
        <v>1686</v>
      </c>
      <c r="Q15" s="1352" t="str">
        <f t="shared" si="6"/>
        <v>居住社区成熟度</v>
      </c>
      <c r="R15" s="705" t="s">
        <v>14</v>
      </c>
      <c r="S15" s="706">
        <f t="shared" si="0"/>
        <v>100</v>
      </c>
      <c r="T15" s="705" t="s">
        <v>14</v>
      </c>
      <c r="U15" s="706">
        <f t="shared" si="1"/>
        <v>100</v>
      </c>
      <c r="V15" s="705" t="s">
        <v>14</v>
      </c>
      <c r="W15" s="706">
        <f t="shared" si="2"/>
        <v>100</v>
      </c>
      <c r="X15" s="1355"/>
      <c r="Y15" s="3717" t="s">
        <v>1686</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0"/>
      <c r="M16" s="2714"/>
      <c r="N16" s="2714"/>
      <c r="O16" s="2772"/>
      <c r="P16" s="3718"/>
      <c r="Q16" s="1352"/>
      <c r="R16" s="705"/>
      <c r="S16" s="706"/>
      <c r="T16" s="705"/>
      <c r="U16" s="706"/>
      <c r="V16" s="705"/>
      <c r="W16" s="706"/>
      <c r="X16" s="1355"/>
      <c r="Y16" s="3718"/>
      <c r="Z16" s="1356"/>
      <c r="AA16" s="1353">
        <v>1</v>
      </c>
      <c r="AB16" s="1353">
        <v>1</v>
      </c>
      <c r="AC16" s="1353">
        <v>1</v>
      </c>
    </row>
    <row r="17" spans="1:29" ht="71.25">
      <c r="A17" s="379"/>
      <c r="B17" s="402" t="s">
        <v>1772</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8"/>
      <c r="Q17" s="1352" t="str">
        <f>B17</f>
        <v>商业繁华度</v>
      </c>
      <c r="R17" s="705" t="s">
        <v>14</v>
      </c>
      <c r="S17" s="706">
        <f>F17</f>
        <v>100</v>
      </c>
      <c r="T17" s="705" t="s">
        <v>14</v>
      </c>
      <c r="U17" s="706">
        <f>H17</f>
        <v>100</v>
      </c>
      <c r="V17" s="705" t="s">
        <v>14</v>
      </c>
      <c r="W17" s="706">
        <f>J17</f>
        <v>100</v>
      </c>
      <c r="X17" s="1355"/>
      <c r="Y17" s="3718"/>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0"/>
      <c r="M18" s="2714"/>
      <c r="N18" s="2714"/>
      <c r="O18" s="2772"/>
      <c r="P18" s="3718"/>
      <c r="Q18" s="1352"/>
      <c r="R18" s="705"/>
      <c r="S18" s="706"/>
      <c r="T18" s="705"/>
      <c r="U18" s="706"/>
      <c r="V18" s="705"/>
      <c r="W18" s="706"/>
      <c r="X18" s="1355"/>
      <c r="Y18" s="3718"/>
      <c r="Z18" s="1356"/>
      <c r="AA18" s="1353">
        <v>1</v>
      </c>
      <c r="AB18" s="1353">
        <v>1</v>
      </c>
      <c r="AC18" s="1353">
        <v>1</v>
      </c>
    </row>
    <row r="19" spans="1:29" ht="71.25">
      <c r="A19" s="379"/>
      <c r="B19" s="402" t="s">
        <v>1806</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8"/>
      <c r="Q19" s="1352" t="str">
        <f>B19</f>
        <v>办公集聚程度</v>
      </c>
      <c r="R19" s="705" t="s">
        <v>14</v>
      </c>
      <c r="S19" s="706">
        <f>F19</f>
        <v>100</v>
      </c>
      <c r="T19" s="705" t="s">
        <v>14</v>
      </c>
      <c r="U19" s="706">
        <f>H19</f>
        <v>100</v>
      </c>
      <c r="V19" s="705" t="s">
        <v>14</v>
      </c>
      <c r="W19" s="706">
        <f>J19</f>
        <v>100</v>
      </c>
      <c r="X19" s="1355"/>
      <c r="Y19" s="3718"/>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0"/>
      <c r="M20" s="2714"/>
      <c r="N20" s="2714"/>
      <c r="O20" s="2772"/>
      <c r="P20" s="3718"/>
      <c r="Q20" s="1352"/>
      <c r="R20" s="705"/>
      <c r="S20" s="706"/>
      <c r="T20" s="705"/>
      <c r="U20" s="706"/>
      <c r="V20" s="705"/>
      <c r="W20" s="706"/>
      <c r="X20" s="1355"/>
      <c r="Y20" s="3718"/>
      <c r="Z20" s="1356"/>
      <c r="AA20" s="1353">
        <v>1</v>
      </c>
      <c r="AB20" s="1353">
        <v>1</v>
      </c>
      <c r="AC20" s="1353">
        <v>1</v>
      </c>
    </row>
    <row r="21" spans="1:29" ht="85.5">
      <c r="A21" s="379"/>
      <c r="B21" s="402" t="s">
        <v>1828</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8"/>
      <c r="Q21" s="1352" t="str">
        <f>B21</f>
        <v>交通便捷度</v>
      </c>
      <c r="R21" s="705" t="s">
        <v>14</v>
      </c>
      <c r="S21" s="706">
        <f>F21</f>
        <v>100</v>
      </c>
      <c r="T21" s="705" t="s">
        <v>14</v>
      </c>
      <c r="U21" s="706">
        <f>H21</f>
        <v>100</v>
      </c>
      <c r="V21" s="705" t="s">
        <v>14</v>
      </c>
      <c r="W21" s="706">
        <f>J21</f>
        <v>100</v>
      </c>
      <c r="X21" s="1355"/>
      <c r="Y21" s="3718"/>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0"/>
      <c r="M22" s="2714"/>
      <c r="N22" s="2714"/>
      <c r="O22" s="2772"/>
      <c r="P22" s="3718"/>
      <c r="Q22" s="1352"/>
      <c r="R22" s="705"/>
      <c r="S22" s="706"/>
      <c r="T22" s="705"/>
      <c r="U22" s="706"/>
      <c r="V22" s="705"/>
      <c r="W22" s="706"/>
      <c r="X22" s="1355"/>
      <c r="Y22" s="3718"/>
      <c r="Z22" s="1356"/>
      <c r="AA22" s="1353">
        <v>1</v>
      </c>
      <c r="AB22" s="1353">
        <v>1</v>
      </c>
      <c r="AC22" s="1353">
        <v>1</v>
      </c>
    </row>
    <row r="23" spans="1:29" ht="15">
      <c r="A23" s="358"/>
      <c r="B23" s="402" t="s">
        <v>1866</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8"/>
      <c r="Q23" s="1352" t="str">
        <f t="shared" ref="Q23:Q37" si="8">B23</f>
        <v>区域土地利用方向</v>
      </c>
      <c r="R23" s="705" t="s">
        <v>14</v>
      </c>
      <c r="S23" s="706">
        <f>F23</f>
        <v>100</v>
      </c>
      <c r="T23" s="705" t="s">
        <v>14</v>
      </c>
      <c r="U23" s="706">
        <f>H23</f>
        <v>100</v>
      </c>
      <c r="V23" s="705" t="s">
        <v>14</v>
      </c>
      <c r="W23" s="706">
        <f>J23</f>
        <v>100</v>
      </c>
      <c r="X23" s="1355"/>
      <c r="Y23" s="3718"/>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0"/>
      <c r="M24" s="2714"/>
      <c r="N24" s="2714"/>
      <c r="O24" s="2772"/>
      <c r="P24" s="3718"/>
      <c r="Q24" s="1352"/>
      <c r="R24" s="705"/>
      <c r="S24" s="706"/>
      <c r="T24" s="705"/>
      <c r="U24" s="706"/>
      <c r="V24" s="705"/>
      <c r="W24" s="706"/>
      <c r="X24" s="1355"/>
      <c r="Y24" s="3718"/>
      <c r="Z24" s="1356"/>
      <c r="AA24" s="1353"/>
      <c r="AB24" s="1353"/>
      <c r="AC24" s="1353"/>
    </row>
    <row r="25" spans="1:29" ht="57">
      <c r="A25" s="358"/>
      <c r="B25" s="1131" t="s">
        <v>1867</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8"/>
      <c r="Q25" s="1352" t="str">
        <f t="shared" si="8"/>
        <v>自然及人文环境状况</v>
      </c>
      <c r="R25" s="705" t="s">
        <v>14</v>
      </c>
      <c r="S25" s="706">
        <f>F25</f>
        <v>100</v>
      </c>
      <c r="T25" s="705" t="s">
        <v>14</v>
      </c>
      <c r="U25" s="706">
        <f>H25</f>
        <v>100</v>
      </c>
      <c r="V25" s="705" t="s">
        <v>14</v>
      </c>
      <c r="W25" s="706">
        <f>J25</f>
        <v>100</v>
      </c>
      <c r="X25" s="1355"/>
      <c r="Y25" s="3718"/>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0"/>
      <c r="M26" s="2714"/>
      <c r="N26" s="2714"/>
      <c r="O26" s="2772"/>
      <c r="P26" s="3718"/>
      <c r="Q26" s="1352"/>
      <c r="R26" s="705"/>
      <c r="S26" s="706"/>
      <c r="T26" s="705"/>
      <c r="U26" s="706"/>
      <c r="V26" s="705"/>
      <c r="W26" s="706"/>
      <c r="X26" s="1355"/>
      <c r="Y26" s="3718"/>
      <c r="Z26" s="1356"/>
      <c r="AA26" s="1353">
        <v>1</v>
      </c>
      <c r="AB26" s="1353">
        <v>1</v>
      </c>
      <c r="AC26" s="1353">
        <v>1</v>
      </c>
    </row>
    <row r="27" spans="1:29" s="108" customFormat="1" ht="42.75">
      <c r="A27" s="597"/>
      <c r="B27" s="1131" t="s">
        <v>1773</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8"/>
      <c r="Q27" s="1343" t="str">
        <f t="shared" si="8"/>
        <v>公共配套设施</v>
      </c>
      <c r="R27" s="701" t="s">
        <v>14</v>
      </c>
      <c r="S27" s="702">
        <f>F27</f>
        <v>100</v>
      </c>
      <c r="T27" s="701" t="s">
        <v>14</v>
      </c>
      <c r="U27" s="702">
        <f>H27</f>
        <v>100</v>
      </c>
      <c r="V27" s="701" t="s">
        <v>14</v>
      </c>
      <c r="W27" s="702">
        <f>J27</f>
        <v>100</v>
      </c>
      <c r="X27" s="703"/>
      <c r="Y27" s="3718"/>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5"/>
      <c r="M28" s="2716"/>
      <c r="N28" s="2716"/>
      <c r="O28" s="2770"/>
      <c r="P28" s="3718"/>
      <c r="Q28" s="1343"/>
      <c r="R28" s="701"/>
      <c r="S28" s="702"/>
      <c r="T28" s="701"/>
      <c r="U28" s="702"/>
      <c r="V28" s="701"/>
      <c r="W28" s="702"/>
      <c r="X28" s="703"/>
      <c r="Y28" s="3718"/>
      <c r="Z28" s="52"/>
      <c r="AA28" s="1353">
        <v>1</v>
      </c>
      <c r="AB28" s="1353">
        <v>1</v>
      </c>
      <c r="AC28" s="1353">
        <v>1</v>
      </c>
    </row>
    <row r="29" spans="1:29" s="108" customFormat="1" ht="28.5">
      <c r="A29" s="597"/>
      <c r="B29" s="1131" t="s">
        <v>1774</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8"/>
      <c r="Q29" s="1343" t="str">
        <f t="shared" ref="Q29" si="9">B29</f>
        <v>基础设施水平</v>
      </c>
      <c r="R29" s="701" t="s">
        <v>14</v>
      </c>
      <c r="S29" s="702">
        <f>F29</f>
        <v>100</v>
      </c>
      <c r="T29" s="701" t="s">
        <v>14</v>
      </c>
      <c r="U29" s="702">
        <f>H29</f>
        <v>100</v>
      </c>
      <c r="V29" s="701" t="s">
        <v>14</v>
      </c>
      <c r="W29" s="702">
        <f>J29</f>
        <v>100</v>
      </c>
      <c r="X29" s="703"/>
      <c r="Y29" s="3718"/>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718"/>
      <c r="Q30" s="1343"/>
      <c r="R30" s="701"/>
      <c r="S30" s="702"/>
      <c r="T30" s="701"/>
      <c r="U30" s="702"/>
      <c r="V30" s="701"/>
      <c r="W30" s="702"/>
      <c r="X30" s="703"/>
      <c r="Y30" s="3718"/>
      <c r="Z30" s="52"/>
      <c r="AA30" s="1353">
        <v>1</v>
      </c>
      <c r="AB30" s="1353">
        <v>1</v>
      </c>
      <c r="AC30" s="1353">
        <v>1</v>
      </c>
    </row>
    <row r="31" spans="1:29" ht="15">
      <c r="A31" s="379"/>
      <c r="B31" s="407" t="s">
        <v>1775</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8"/>
      <c r="Z31" s="1356" t="str">
        <f t="shared" ref="Z31:Z45" si="13">Q31</f>
        <v>临街状况</v>
      </c>
      <c r="AA31" s="1353">
        <f t="shared" si="3"/>
        <v>1</v>
      </c>
      <c r="AB31" s="1353">
        <f t="shared" si="4"/>
        <v>1</v>
      </c>
      <c r="AC31" s="1353">
        <f t="shared" si="5"/>
        <v>1</v>
      </c>
    </row>
    <row r="32" spans="1:29" ht="27">
      <c r="A32" s="379"/>
      <c r="B32" s="1131"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8"/>
      <c r="Q32" s="1352" t="str">
        <f t="shared" si="8"/>
        <v>毗邻道路的类型与等级</v>
      </c>
      <c r="R32" s="705" t="s">
        <v>14</v>
      </c>
      <c r="S32" s="706">
        <f t="shared" si="10"/>
        <v>100</v>
      </c>
      <c r="T32" s="705" t="s">
        <v>14</v>
      </c>
      <c r="U32" s="706">
        <f t="shared" si="11"/>
        <v>100</v>
      </c>
      <c r="V32" s="705" t="s">
        <v>14</v>
      </c>
      <c r="W32" s="706">
        <f t="shared" si="12"/>
        <v>100</v>
      </c>
      <c r="X32" s="1355"/>
      <c r="Y32" s="3718"/>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0"/>
      <c r="M33" s="2714"/>
      <c r="N33" s="2714"/>
      <c r="O33" s="2772"/>
      <c r="P33" s="3718"/>
      <c r="Q33" s="1352"/>
      <c r="R33" s="705"/>
      <c r="S33" s="706"/>
      <c r="T33" s="705"/>
      <c r="U33" s="706"/>
      <c r="V33" s="705"/>
      <c r="W33" s="706"/>
      <c r="X33" s="1355"/>
      <c r="Y33" s="3718"/>
      <c r="Z33" s="1356"/>
      <c r="AA33" s="1353">
        <v>1</v>
      </c>
      <c r="AB33" s="1353">
        <v>1</v>
      </c>
      <c r="AC33" s="1353">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8"/>
      <c r="Q34" s="1352" t="str">
        <f t="shared" si="8"/>
        <v>土地级别</v>
      </c>
      <c r="R34" s="705" t="s">
        <v>14</v>
      </c>
      <c r="S34" s="706">
        <f t="shared" si="10"/>
        <v>100</v>
      </c>
      <c r="T34" s="705" t="s">
        <v>14</v>
      </c>
      <c r="U34" s="706">
        <f t="shared" si="11"/>
        <v>100</v>
      </c>
      <c r="V34" s="705" t="s">
        <v>14</v>
      </c>
      <c r="W34" s="706">
        <f t="shared" si="12"/>
        <v>100</v>
      </c>
      <c r="X34" s="1355"/>
      <c r="Y34" s="371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8"/>
      <c r="Q35" s="1352">
        <f t="shared" si="8"/>
        <v>111</v>
      </c>
      <c r="R35" s="705" t="s">
        <v>14</v>
      </c>
      <c r="S35" s="706">
        <f t="shared" si="10"/>
        <v>100</v>
      </c>
      <c r="T35" s="705" t="s">
        <v>14</v>
      </c>
      <c r="U35" s="706">
        <f t="shared" si="11"/>
        <v>100</v>
      </c>
      <c r="V35" s="705" t="s">
        <v>14</v>
      </c>
      <c r="W35" s="706">
        <f t="shared" si="12"/>
        <v>100</v>
      </c>
      <c r="X35" s="1355"/>
      <c r="Y35" s="371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1" t="s">
        <v>1691</v>
      </c>
      <c r="Q36" s="1352">
        <f t="shared" si="8"/>
        <v>111</v>
      </c>
      <c r="R36" s="705" t="s">
        <v>14</v>
      </c>
      <c r="S36" s="706">
        <f t="shared" si="10"/>
        <v>100</v>
      </c>
      <c r="T36" s="705" t="s">
        <v>14</v>
      </c>
      <c r="U36" s="706">
        <f t="shared" si="11"/>
        <v>100</v>
      </c>
      <c r="V36" s="705" t="s">
        <v>14</v>
      </c>
      <c r="W36" s="706">
        <f t="shared" si="12"/>
        <v>100</v>
      </c>
      <c r="X36" s="1355"/>
      <c r="Y36" s="3722"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2"/>
      <c r="Q37" s="1352">
        <f t="shared" si="8"/>
        <v>111</v>
      </c>
      <c r="R37" s="708" t="s">
        <v>14</v>
      </c>
      <c r="S37" s="709">
        <f t="shared" si="10"/>
        <v>100</v>
      </c>
      <c r="T37" s="708" t="s">
        <v>14</v>
      </c>
      <c r="U37" s="709">
        <f t="shared" si="11"/>
        <v>100</v>
      </c>
      <c r="V37" s="708" t="s">
        <v>14</v>
      </c>
      <c r="W37" s="709">
        <f t="shared" si="12"/>
        <v>100</v>
      </c>
      <c r="X37" s="710"/>
      <c r="Y37" s="3722"/>
      <c r="Z37" s="711">
        <f t="shared" si="13"/>
        <v>111</v>
      </c>
      <c r="AA37" s="1353">
        <f t="shared" si="3"/>
        <v>1</v>
      </c>
      <c r="AB37" s="1353">
        <f t="shared" si="4"/>
        <v>1</v>
      </c>
      <c r="AC37" s="1353">
        <f t="shared" si="5"/>
        <v>1</v>
      </c>
    </row>
    <row r="38" spans="1:29" ht="15">
      <c r="A38" s="423" t="s">
        <v>1689</v>
      </c>
      <c r="B38" s="407" t="s">
        <v>1869</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2"/>
      <c r="Q38" s="1352" t="str">
        <f>B38</f>
        <v>宗地面积</v>
      </c>
      <c r="R38" s="705" t="s">
        <v>14</v>
      </c>
      <c r="S38" s="706" t="e">
        <f t="shared" si="10"/>
        <v>#N/A</v>
      </c>
      <c r="T38" s="705" t="s">
        <v>14</v>
      </c>
      <c r="U38" s="706" t="e">
        <f t="shared" si="11"/>
        <v>#N/A</v>
      </c>
      <c r="V38" s="705" t="s">
        <v>14</v>
      </c>
      <c r="W38" s="706" t="e">
        <f t="shared" si="12"/>
        <v>#N/A</v>
      </c>
      <c r="X38" s="1355"/>
      <c r="Y38" s="3722"/>
      <c r="Z38" s="1356" t="str">
        <f t="shared" si="13"/>
        <v>宗地面积</v>
      </c>
      <c r="AA38" s="1353" t="e">
        <f t="shared" si="3"/>
        <v>#N/A</v>
      </c>
      <c r="AB38" s="1353" t="e">
        <f t="shared" si="4"/>
        <v>#N/A</v>
      </c>
      <c r="AC38" s="1353" t="e">
        <f t="shared" si="5"/>
        <v>#N/A</v>
      </c>
    </row>
    <row r="39" spans="1:29" ht="15">
      <c r="A39" s="423"/>
      <c r="B39" s="375" t="s">
        <v>1870</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22"/>
      <c r="Q39" s="1352" t="str">
        <f t="shared" ref="Q39:Q45" si="14">B39</f>
        <v>宗地形状</v>
      </c>
      <c r="R39" s="705" t="s">
        <v>14</v>
      </c>
      <c r="S39" s="706">
        <f t="shared" si="10"/>
        <v>100</v>
      </c>
      <c r="T39" s="705" t="s">
        <v>14</v>
      </c>
      <c r="U39" s="706">
        <f t="shared" si="11"/>
        <v>100</v>
      </c>
      <c r="V39" s="705" t="s">
        <v>14</v>
      </c>
      <c r="W39" s="706">
        <f t="shared" si="12"/>
        <v>100</v>
      </c>
      <c r="X39" s="1355"/>
      <c r="Y39" s="3722"/>
      <c r="Z39" s="1356" t="str">
        <f t="shared" si="13"/>
        <v>宗地形状</v>
      </c>
      <c r="AA39" s="1353">
        <f t="shared" si="3"/>
        <v>1</v>
      </c>
      <c r="AB39" s="1353">
        <f t="shared" si="4"/>
        <v>1</v>
      </c>
      <c r="AC39" s="1353">
        <f t="shared" si="5"/>
        <v>1</v>
      </c>
    </row>
    <row r="40" spans="1:29" ht="15">
      <c r="A40" s="423"/>
      <c r="B40" s="375" t="s">
        <v>1871</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22"/>
      <c r="Q40" s="1352" t="str">
        <f t="shared" si="14"/>
        <v>临街宽度及深度</v>
      </c>
      <c r="R40" s="705" t="s">
        <v>14</v>
      </c>
      <c r="S40" s="706">
        <f t="shared" si="10"/>
        <v>100</v>
      </c>
      <c r="T40" s="705" t="s">
        <v>14</v>
      </c>
      <c r="U40" s="706">
        <f t="shared" si="11"/>
        <v>100</v>
      </c>
      <c r="V40" s="705" t="s">
        <v>14</v>
      </c>
      <c r="W40" s="706">
        <f t="shared" si="12"/>
        <v>100</v>
      </c>
      <c r="X40" s="1355"/>
      <c r="Y40" s="3722"/>
      <c r="Z40" s="1356" t="str">
        <f t="shared" si="13"/>
        <v>临街宽度及深度</v>
      </c>
      <c r="AA40" s="1353">
        <f t="shared" si="3"/>
        <v>1</v>
      </c>
      <c r="AB40" s="1353">
        <f t="shared" si="4"/>
        <v>1</v>
      </c>
      <c r="AC40" s="1353">
        <f t="shared" si="5"/>
        <v>1</v>
      </c>
    </row>
    <row r="41" spans="1:29" s="108" customFormat="1" ht="15">
      <c r="A41" s="424"/>
      <c r="B41" s="375" t="s">
        <v>1872</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22"/>
      <c r="Q41" s="1352" t="str">
        <f t="shared" si="14"/>
        <v>宗地开发程度</v>
      </c>
      <c r="R41" s="701" t="s">
        <v>14</v>
      </c>
      <c r="S41" s="702">
        <f t="shared" si="10"/>
        <v>100</v>
      </c>
      <c r="T41" s="701" t="s">
        <v>14</v>
      </c>
      <c r="U41" s="702">
        <f t="shared" si="11"/>
        <v>100</v>
      </c>
      <c r="V41" s="701" t="s">
        <v>14</v>
      </c>
      <c r="W41" s="702">
        <f t="shared" si="12"/>
        <v>100</v>
      </c>
      <c r="X41" s="703"/>
      <c r="Y41" s="3722"/>
      <c r="Z41" s="52" t="str">
        <f t="shared" si="13"/>
        <v>宗地开发程度</v>
      </c>
      <c r="AA41" s="704">
        <f t="shared" si="3"/>
        <v>1</v>
      </c>
      <c r="AB41" s="704">
        <f t="shared" si="4"/>
        <v>1</v>
      </c>
      <c r="AC41" s="704">
        <f t="shared" si="5"/>
        <v>1</v>
      </c>
    </row>
    <row r="42" spans="1:29" ht="15">
      <c r="A42" s="423"/>
      <c r="B42" s="375" t="s">
        <v>1873</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22" t="s">
        <v>1691</v>
      </c>
      <c r="Q42" s="1352" t="str">
        <f t="shared" si="14"/>
        <v>工程地质条件</v>
      </c>
      <c r="R42" s="705" t="s">
        <v>14</v>
      </c>
      <c r="S42" s="706">
        <f t="shared" si="10"/>
        <v>100</v>
      </c>
      <c r="T42" s="705" t="s">
        <v>14</v>
      </c>
      <c r="U42" s="706">
        <f t="shared" si="11"/>
        <v>100</v>
      </c>
      <c r="V42" s="705" t="s">
        <v>14</v>
      </c>
      <c r="W42" s="706">
        <f t="shared" si="12"/>
        <v>100</v>
      </c>
      <c r="X42" s="1355"/>
      <c r="Y42" s="3722"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2"/>
      <c r="Q43" s="1352">
        <f t="shared" si="14"/>
        <v>111</v>
      </c>
      <c r="R43" s="705" t="s">
        <v>14</v>
      </c>
      <c r="S43" s="706">
        <f t="shared" si="10"/>
        <v>100</v>
      </c>
      <c r="T43" s="705" t="s">
        <v>14</v>
      </c>
      <c r="U43" s="706">
        <f t="shared" si="11"/>
        <v>100</v>
      </c>
      <c r="V43" s="705" t="s">
        <v>14</v>
      </c>
      <c r="W43" s="706">
        <f t="shared" si="12"/>
        <v>100</v>
      </c>
      <c r="X43" s="1355"/>
      <c r="Y43" s="372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2"/>
      <c r="Q44" s="1352">
        <f t="shared" si="14"/>
        <v>111</v>
      </c>
      <c r="R44" s="705" t="s">
        <v>14</v>
      </c>
      <c r="S44" s="706">
        <f t="shared" si="10"/>
        <v>100</v>
      </c>
      <c r="T44" s="705" t="s">
        <v>14</v>
      </c>
      <c r="U44" s="706">
        <f t="shared" si="11"/>
        <v>100</v>
      </c>
      <c r="V44" s="705" t="s">
        <v>14</v>
      </c>
      <c r="W44" s="706">
        <f t="shared" si="12"/>
        <v>100</v>
      </c>
      <c r="X44" s="1355"/>
      <c r="Y44" s="3722"/>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2"/>
      <c r="Q45" s="1352">
        <f t="shared" si="14"/>
        <v>111</v>
      </c>
      <c r="R45" s="708" t="s">
        <v>14</v>
      </c>
      <c r="S45" s="709">
        <f t="shared" si="10"/>
        <v>100</v>
      </c>
      <c r="T45" s="708" t="s">
        <v>14</v>
      </c>
      <c r="U45" s="709">
        <f t="shared" si="11"/>
        <v>100</v>
      </c>
      <c r="V45" s="708" t="s">
        <v>14</v>
      </c>
      <c r="W45" s="709">
        <f t="shared" si="12"/>
        <v>100</v>
      </c>
      <c r="X45" s="710"/>
      <c r="Y45" s="3722"/>
      <c r="Z45" s="711">
        <f t="shared" si="13"/>
        <v>111</v>
      </c>
      <c r="AA45" s="1353">
        <f t="shared" si="3"/>
        <v>1</v>
      </c>
      <c r="AB45" s="1353">
        <f t="shared" si="4"/>
        <v>1</v>
      </c>
      <c r="AC45" s="1353">
        <f t="shared" si="5"/>
        <v>1</v>
      </c>
    </row>
    <row r="46" spans="1:29" ht="15">
      <c r="A46" s="430" t="s">
        <v>1839</v>
      </c>
      <c r="B46" s="1981" t="s">
        <v>1874</v>
      </c>
      <c r="C46" s="630" t="s">
        <v>0</v>
      </c>
      <c r="D46" s="432"/>
      <c r="E46" s="433"/>
      <c r="F46" s="434"/>
      <c r="G46" s="435"/>
      <c r="H46" s="436"/>
      <c r="I46" s="433"/>
      <c r="J46" s="436"/>
      <c r="K46" s="714"/>
      <c r="L46" s="2722"/>
      <c r="M46" s="2723"/>
      <c r="N46" s="2714"/>
      <c r="O46" s="2723"/>
      <c r="P46" s="3715" t="str">
        <f>A46</f>
        <v>成交单价</v>
      </c>
      <c r="Q46" s="3715"/>
      <c r="R46" s="3710">
        <f>E46</f>
        <v>0</v>
      </c>
      <c r="S46" s="3710"/>
      <c r="T46" s="3710">
        <f>G46</f>
        <v>0</v>
      </c>
      <c r="U46" s="3710"/>
      <c r="V46" s="3710">
        <f>I46</f>
        <v>0</v>
      </c>
      <c r="W46" s="3710"/>
      <c r="X46" s="690"/>
      <c r="Y46" s="712"/>
      <c r="Z46" s="690"/>
      <c r="AA46" s="690"/>
      <c r="AB46" s="690"/>
      <c r="AC46" s="690"/>
    </row>
    <row r="47" spans="1:29" ht="15.75" thickBot="1">
      <c r="A47" s="437" t="s">
        <v>1788</v>
      </c>
      <c r="B47" s="631"/>
      <c r="C47" s="440" t="e">
        <f>R48</f>
        <v>#DIV/0!</v>
      </c>
      <c r="D47" s="2316" t="s">
        <v>2133</v>
      </c>
      <c r="E47" s="440" t="e">
        <f>R47</f>
        <v>#DIV/0!</v>
      </c>
      <c r="F47" s="2317"/>
      <c r="G47" s="439" t="e">
        <f>T47</f>
        <v>#DIV/0!</v>
      </c>
      <c r="H47" s="2317"/>
      <c r="I47" s="440" t="e">
        <f>V47</f>
        <v>#DIV/0!</v>
      </c>
      <c r="J47" s="2317"/>
      <c r="K47" s="2319">
        <f>F47+H47+J47</f>
        <v>0</v>
      </c>
      <c r="L47" s="2722"/>
      <c r="M47" s="2723"/>
      <c r="N47" s="2723"/>
      <c r="O47" s="2723"/>
      <c r="P47" s="3715" t="str">
        <f>A47</f>
        <v>比较价值（元/平方米）</v>
      </c>
      <c r="Q47" s="3715"/>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1875</v>
      </c>
      <c r="B48" s="442"/>
      <c r="C48" s="443" t="e">
        <f>R48</f>
        <v>#DIV/0!</v>
      </c>
      <c r="D48" s="443"/>
      <c r="E48" s="443"/>
      <c r="F48" s="443"/>
      <c r="G48" s="443"/>
      <c r="H48" s="443"/>
      <c r="I48" s="443"/>
      <c r="J48" s="443"/>
      <c r="K48" s="715"/>
      <c r="L48" s="2722"/>
      <c r="M48" s="2723"/>
      <c r="N48" s="2723"/>
      <c r="O48" s="2723"/>
      <c r="P48" s="3712" t="str">
        <f>A48</f>
        <v>估价对象XX用房的比较价值（楼面单价，元/平方米）</v>
      </c>
      <c r="Q48" s="3713"/>
      <c r="R48" s="3744" t="e">
        <f>ROUND(IF(D47="简单平均",AVERAGE(R47:W47),R47*F47+T47*H47+V47*J47),0)</f>
        <v>#DIV/0!</v>
      </c>
      <c r="S48" s="3744"/>
      <c r="T48" s="3744"/>
      <c r="U48" s="3744"/>
      <c r="V48" s="3744"/>
      <c r="W48" s="3744"/>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1876</v>
      </c>
      <c r="B55" s="633" t="s">
        <v>1877</v>
      </c>
      <c r="C55" s="1982" t="s">
        <v>1878</v>
      </c>
      <c r="D55" s="1983" t="s">
        <v>1879</v>
      </c>
      <c r="E55" s="634" t="s">
        <v>1880</v>
      </c>
      <c r="F55" s="890" t="s">
        <v>1881</v>
      </c>
      <c r="G55" s="3698" t="s">
        <v>1882</v>
      </c>
      <c r="H55" s="3745"/>
      <c r="I55" s="135" t="s">
        <v>1883</v>
      </c>
      <c r="J55" s="1984">
        <f>项目基本情况!F35</f>
        <v>0</v>
      </c>
      <c r="K55" s="1985" t="s">
        <v>1884</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1885</v>
      </c>
      <c r="B56" s="637" t="e">
        <f>C48</f>
        <v>#DIV/0!</v>
      </c>
      <c r="C56" s="638">
        <v>1</v>
      </c>
      <c r="D56" s="944">
        <v>1</v>
      </c>
      <c r="E56" s="638">
        <f>'数据-汇总表'!E8+'数据-汇总表'!E9</f>
        <v>7666.58</v>
      </c>
      <c r="F56" s="886" t="e">
        <f t="shared" ref="F56:F64" si="15">ROUND(B56*E56/10000,0)</f>
        <v>#DIV/0!</v>
      </c>
      <c r="G56" s="3697"/>
      <c r="H56" s="371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1886</v>
      </c>
      <c r="B57" s="218" t="e">
        <f>ROUND($C$48*C57*D57,0)</f>
        <v>#DIV/0!</v>
      </c>
      <c r="C57" s="171">
        <f t="shared" ref="C57:C64" si="16">IF($C$55="北京市系数",I57,J57)</f>
        <v>0.5</v>
      </c>
      <c r="D57" s="945">
        <v>0.25</v>
      </c>
      <c r="E57" s="642"/>
      <c r="F57" s="886" t="e">
        <f t="shared" si="15"/>
        <v>#DIV/0!</v>
      </c>
      <c r="G57" s="3004" t="s">
        <v>1887</v>
      </c>
      <c r="H57" s="887" t="str">
        <f>项目基本情况!B37</f>
        <v>十一级</v>
      </c>
      <c r="I57" s="891">
        <f>SUMIF(修正!A57:A68,H57,修正!B57:B68)</f>
        <v>0.5</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1888</v>
      </c>
      <c r="B58" s="218" t="e">
        <f t="shared" ref="B58:B64" si="17">ROUND($C$48*C58*D58,0)</f>
        <v>#DIV/0!</v>
      </c>
      <c r="C58" s="171">
        <f t="shared" si="16"/>
        <v>0.2</v>
      </c>
      <c r="D58" s="945">
        <v>0.25</v>
      </c>
      <c r="E58" s="642"/>
      <c r="F58" s="886" t="e">
        <f t="shared" si="15"/>
        <v>#DIV/0!</v>
      </c>
      <c r="G58" s="3005"/>
      <c r="H58" s="887" t="str">
        <f>项目基本情况!B37</f>
        <v>十一级</v>
      </c>
      <c r="I58" s="891">
        <f>SUMIF(修正!A57:A68,H58,修正!C57:C68)</f>
        <v>0.2</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1889</v>
      </c>
      <c r="B59" s="218" t="e">
        <f t="shared" si="17"/>
        <v>#DIV/0!</v>
      </c>
      <c r="C59" s="171">
        <f t="shared" si="16"/>
        <v>0.2</v>
      </c>
      <c r="D59" s="945">
        <v>0.25</v>
      </c>
      <c r="E59" s="642"/>
      <c r="F59" s="886" t="e">
        <f t="shared" si="15"/>
        <v>#DIV/0!</v>
      </c>
      <c r="G59" s="3005"/>
      <c r="H59" s="887" t="str">
        <f>项目基本情况!B37</f>
        <v>十一级</v>
      </c>
      <c r="I59" s="891">
        <f>SUMIF(修正!A57:A68,H59,修正!D57:D68)</f>
        <v>0.2</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1890</v>
      </c>
      <c r="B60" s="218" t="e">
        <f t="shared" si="17"/>
        <v>#DIV/0!</v>
      </c>
      <c r="C60" s="171">
        <f t="shared" si="16"/>
        <v>0.2</v>
      </c>
      <c r="D60" s="945">
        <v>0.25</v>
      </c>
      <c r="E60" s="217">
        <f>'数据-汇总表'!E11</f>
        <v>0</v>
      </c>
      <c r="F60" s="886" t="e">
        <f t="shared" si="15"/>
        <v>#DIV/0!</v>
      </c>
      <c r="G60" s="1986" t="s">
        <v>1891</v>
      </c>
      <c r="H60" s="887" t="str">
        <f>项目基本情况!C37</f>
        <v>十一级</v>
      </c>
      <c r="I60" s="891">
        <f>SUMIF(修正!A57:A68,H60,修正!E57:E68)</f>
        <v>0.2</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1892</v>
      </c>
      <c r="B61" s="218" t="e">
        <f t="shared" si="17"/>
        <v>#DIV/0!</v>
      </c>
      <c r="C61" s="171">
        <f t="shared" si="16"/>
        <v>0.2</v>
      </c>
      <c r="D61" s="945">
        <v>0.25</v>
      </c>
      <c r="E61" s="217">
        <f>'数据-汇总表'!E12</f>
        <v>0</v>
      </c>
      <c r="F61" s="886" t="e">
        <f t="shared" si="15"/>
        <v>#DIV/0!</v>
      </c>
      <c r="G61" s="892" t="s">
        <v>1893</v>
      </c>
      <c r="H61" s="887" t="str">
        <f>IF(G61="商业",项目基本情况!B37,IF(G61="办公",项目基本情况!C37,IF(G61="住宅",项目基本情况!D37,项目基本情况!E37)))</f>
        <v>十一级</v>
      </c>
      <c r="I61" s="891">
        <f>SUMIF(修正!A57:A68,H61,修正!F57:F68)</f>
        <v>0.2</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1894</v>
      </c>
      <c r="B62" s="218" t="e">
        <f t="shared" si="17"/>
        <v>#DIV/0!</v>
      </c>
      <c r="C62" s="171">
        <f t="shared" si="16"/>
        <v>0.1</v>
      </c>
      <c r="D62" s="945">
        <v>0.25</v>
      </c>
      <c r="E62" s="217">
        <f>'数据-汇总表'!E13</f>
        <v>0</v>
      </c>
      <c r="F62" s="886" t="e">
        <f t="shared" si="15"/>
        <v>#DIV/0!</v>
      </c>
      <c r="G62" s="892" t="s">
        <v>1895</v>
      </c>
      <c r="H62" s="887" t="str">
        <f>IF(G62="商业",项目基本情况!B37,IF(G62="办公",项目基本情况!C37,IF(G62="住宅",项目基本情况!D37,项目基本情况!E37)))</f>
        <v>十一级</v>
      </c>
      <c r="I62" s="891">
        <f>SUMIF(修正!A57:A68,H62,修正!G57:G68)</f>
        <v>0.1</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1896</v>
      </c>
      <c r="B63" s="218" t="e">
        <f t="shared" si="17"/>
        <v>#DIV/0!</v>
      </c>
      <c r="C63" s="171">
        <f t="shared" si="16"/>
        <v>0.1</v>
      </c>
      <c r="D63" s="945">
        <v>0.25</v>
      </c>
      <c r="E63" s="217">
        <f>'数据-汇总表'!E14</f>
        <v>0</v>
      </c>
      <c r="F63" s="886" t="e">
        <f t="shared" si="15"/>
        <v>#DIV/0!</v>
      </c>
      <c r="G63" s="1986" t="s">
        <v>1887</v>
      </c>
      <c r="H63" s="887" t="str">
        <f>项目基本情况!B37</f>
        <v>十一级</v>
      </c>
      <c r="I63" s="891">
        <f>SUMIF(修正!A57:A68,H63,修正!G57:G68)</f>
        <v>0.1</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1897</v>
      </c>
      <c r="B64" s="218" t="e">
        <f t="shared" si="17"/>
        <v>#DIV/0!</v>
      </c>
      <c r="C64" s="171">
        <f t="shared" si="16"/>
        <v>0.1</v>
      </c>
      <c r="D64" s="945">
        <v>0.25</v>
      </c>
      <c r="E64" s="217">
        <f>'数据-汇总表'!E15</f>
        <v>0</v>
      </c>
      <c r="F64" s="886" t="e">
        <f t="shared" si="15"/>
        <v>#DIV/0!</v>
      </c>
      <c r="G64" s="1987" t="s">
        <v>1891</v>
      </c>
      <c r="H64" s="897" t="str">
        <f>项目基本情况!C37</f>
        <v>十一级</v>
      </c>
      <c r="I64" s="893">
        <f>SUMIF(修正!A57:A68,H64,修正!G57:G68)</f>
        <v>0.1</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1898</v>
      </c>
      <c r="B65" s="644" t="s">
        <v>22</v>
      </c>
      <c r="C65" s="644" t="s">
        <v>23</v>
      </c>
      <c r="D65" s="644" t="s">
        <v>392</v>
      </c>
      <c r="E65" s="644">
        <f>IF(B46="楼面地价",SUM(E56:E64),'数据-汇总表'!D3)</f>
        <v>7666.58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3"/>
      <c r="Q67" s="2723"/>
      <c r="R67" s="2723"/>
      <c r="S67" s="2723"/>
      <c r="T67" s="2723"/>
      <c r="U67" s="2723"/>
      <c r="V67" s="2723"/>
      <c r="W67" s="2723"/>
      <c r="X67" s="2723"/>
      <c r="Y67" s="2723"/>
      <c r="Z67" s="2723"/>
      <c r="AA67" s="2723"/>
      <c r="AB67" s="2723"/>
      <c r="AC67" s="2723"/>
    </row>
    <row r="68" spans="1:29" ht="21.75" thickBot="1">
      <c r="A68" s="694" t="s">
        <v>1793</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8" t="s">
        <v>1899</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9" t="s">
        <v>1900</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1711</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1676</v>
      </c>
      <c r="B72" s="459"/>
      <c r="C72" s="471" t="s">
        <v>1771</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1714</v>
      </c>
      <c r="B74" s="477" t="s">
        <v>1680</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1683</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1685</v>
      </c>
      <c r="B87" s="477" t="s">
        <v>1715</v>
      </c>
      <c r="C87" s="522" t="s">
        <v>1716</v>
      </c>
      <c r="D87" s="522" t="s">
        <v>1717</v>
      </c>
      <c r="E87" s="522" t="s">
        <v>1718</v>
      </c>
      <c r="F87" s="522" t="s">
        <v>1719</v>
      </c>
      <c r="G87" s="522" t="s">
        <v>1720</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1901</v>
      </c>
      <c r="C89" s="527" t="s">
        <v>1716</v>
      </c>
      <c r="D89" s="527" t="s">
        <v>1717</v>
      </c>
      <c r="E89" s="527" t="s">
        <v>1718</v>
      </c>
      <c r="F89" s="527" t="s">
        <v>1719</v>
      </c>
      <c r="G89" s="527" t="s">
        <v>1720</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1816</v>
      </c>
      <c r="C91" s="527" t="s">
        <v>1716</v>
      </c>
      <c r="D91" s="527" t="s">
        <v>1717</v>
      </c>
      <c r="E91" s="527" t="s">
        <v>1718</v>
      </c>
      <c r="F91" s="527" t="s">
        <v>1719</v>
      </c>
      <c r="G91" s="527" t="s">
        <v>1720</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1721</v>
      </c>
      <c r="C93" s="527" t="s">
        <v>1716</v>
      </c>
      <c r="D93" s="527" t="s">
        <v>1717</v>
      </c>
      <c r="E93" s="527" t="s">
        <v>1718</v>
      </c>
      <c r="F93" s="527" t="s">
        <v>1719</v>
      </c>
      <c r="G93" s="527" t="s">
        <v>1720</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1902</v>
      </c>
      <c r="C95" s="527" t="s">
        <v>1716</v>
      </c>
      <c r="D95" s="527" t="s">
        <v>1717</v>
      </c>
      <c r="E95" s="527" t="s">
        <v>1718</v>
      </c>
      <c r="F95" s="527" t="s">
        <v>1719</v>
      </c>
      <c r="G95" s="527" t="s">
        <v>1720</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1774</v>
      </c>
      <c r="C101" s="608" t="s">
        <v>1794</v>
      </c>
      <c r="D101" s="608" t="s">
        <v>1795</v>
      </c>
      <c r="E101" s="608" t="s">
        <v>1796</v>
      </c>
      <c r="F101" s="608" t="s">
        <v>1797</v>
      </c>
      <c r="G101" s="608" t="s">
        <v>1798</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1810</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1868</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1689</v>
      </c>
      <c r="B115" s="477" t="s">
        <v>1908</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1909</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1910</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1911</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1912</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1457</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1459</v>
      </c>
      <c r="B3" s="558" t="e">
        <f>ROUND(IF(D3="",B2*10000/'数据-汇总表'!E3,B2*10000/D3),0)</f>
        <v>#DIV/0!</v>
      </c>
      <c r="C3" s="203" t="s">
        <v>1864</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1764</v>
      </c>
      <c r="B4" s="356"/>
      <c r="C4" s="3698" t="s">
        <v>1765</v>
      </c>
      <c r="D4" s="3699"/>
      <c r="E4" s="3700" t="s">
        <v>1766</v>
      </c>
      <c r="F4" s="3701"/>
      <c r="G4" s="3698" t="s">
        <v>1767</v>
      </c>
      <c r="H4" s="3699"/>
      <c r="I4" s="3698" t="s">
        <v>1768</v>
      </c>
      <c r="J4" s="3699"/>
      <c r="K4" s="559" t="s">
        <v>1769</v>
      </c>
      <c r="L4" s="2713"/>
      <c r="M4" s="2714"/>
      <c r="N4" s="2714"/>
      <c r="O4" s="2714"/>
      <c r="P4" s="3702" t="s">
        <v>1770</v>
      </c>
      <c r="Q4" s="3703"/>
      <c r="R4" s="3685" t="s">
        <v>1766</v>
      </c>
      <c r="S4" s="3686"/>
      <c r="T4" s="3685" t="s">
        <v>1767</v>
      </c>
      <c r="U4" s="3686"/>
      <c r="V4" s="3710" t="s">
        <v>1768</v>
      </c>
      <c r="W4" s="3710"/>
      <c r="X4" s="1355"/>
      <c r="Y4" s="3685" t="s">
        <v>1770</v>
      </c>
      <c r="Z4" s="3686"/>
      <c r="AA4" s="3680" t="s">
        <v>1766</v>
      </c>
      <c r="AB4" s="3681" t="s">
        <v>1767</v>
      </c>
      <c r="AC4" s="3680" t="s">
        <v>1768</v>
      </c>
    </row>
    <row r="5" spans="1:29" ht="15">
      <c r="A5" s="358"/>
      <c r="B5" s="359"/>
      <c r="C5" s="3691" t="s">
        <v>1668</v>
      </c>
      <c r="D5" s="3692"/>
      <c r="E5" s="3689" t="s">
        <v>1669</v>
      </c>
      <c r="F5" s="3690"/>
      <c r="G5" s="3691" t="s">
        <v>1670</v>
      </c>
      <c r="H5" s="3692"/>
      <c r="I5" s="3691" t="s">
        <v>1671</v>
      </c>
      <c r="J5" s="3692"/>
      <c r="K5" s="559"/>
      <c r="L5" s="2713"/>
      <c r="M5" s="2714"/>
      <c r="N5" s="2714"/>
      <c r="O5" s="2714"/>
      <c r="P5" s="3704"/>
      <c r="Q5" s="3705"/>
      <c r="R5" s="3687"/>
      <c r="S5" s="3688"/>
      <c r="T5" s="3687"/>
      <c r="U5" s="3688"/>
      <c r="V5" s="3710"/>
      <c r="W5" s="3710"/>
      <c r="X5" s="1355"/>
      <c r="Y5" s="3687"/>
      <c r="Z5" s="3688"/>
      <c r="AA5" s="3681"/>
      <c r="AB5" s="3681"/>
      <c r="AC5" s="3681"/>
    </row>
    <row r="6" spans="1:29" ht="15.75" thickBot="1">
      <c r="A6" s="360"/>
      <c r="B6" s="361"/>
      <c r="C6" s="3746" t="s">
        <v>1914</v>
      </c>
      <c r="D6" s="3747"/>
      <c r="E6" s="3748" t="s">
        <v>1914</v>
      </c>
      <c r="F6" s="3749"/>
      <c r="G6" s="3746" t="s">
        <v>1914</v>
      </c>
      <c r="H6" s="3747"/>
      <c r="I6" s="3746" t="s">
        <v>1914</v>
      </c>
      <c r="J6" s="3747"/>
      <c r="K6" s="559" t="s">
        <v>1673</v>
      </c>
      <c r="L6" s="2713"/>
      <c r="M6" s="2714"/>
      <c r="N6" s="2714"/>
      <c r="O6" s="2714"/>
      <c r="P6" s="3706"/>
      <c r="Q6" s="3707"/>
      <c r="R6" s="3687"/>
      <c r="S6" s="3688"/>
      <c r="T6" s="3708"/>
      <c r="U6" s="3709"/>
      <c r="V6" s="3710"/>
      <c r="W6" s="3710"/>
      <c r="X6" s="1355"/>
      <c r="Y6" s="3708"/>
      <c r="Z6" s="3709"/>
      <c r="AA6" s="3682"/>
      <c r="AB6" s="3682"/>
      <c r="AC6" s="3682"/>
    </row>
    <row r="7" spans="1:29" s="108" customFormat="1" ht="15.75" thickBot="1">
      <c r="A7" s="362" t="s">
        <v>1674</v>
      </c>
      <c r="B7" s="363"/>
      <c r="C7" s="364">
        <f>'数据-取费表'!B2</f>
        <v>45217</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83" t="s">
        <v>1675</v>
      </c>
      <c r="Q7" s="3711"/>
      <c r="R7" s="701" t="s">
        <v>14</v>
      </c>
      <c r="S7" s="702">
        <f t="shared" ref="S7:S15" si="0">F7</f>
        <v>0</v>
      </c>
      <c r="T7" s="701" t="s">
        <v>14</v>
      </c>
      <c r="U7" s="702">
        <f t="shared" ref="U7:U15" si="1">H7</f>
        <v>0</v>
      </c>
      <c r="V7" s="701" t="s">
        <v>14</v>
      </c>
      <c r="W7" s="702">
        <f t="shared" ref="W7:W15" si="2">J7</f>
        <v>0</v>
      </c>
      <c r="X7" s="703"/>
      <c r="Y7" s="3683" t="s">
        <v>1675</v>
      </c>
      <c r="Z7" s="3684"/>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3" t="s">
        <v>1678</v>
      </c>
      <c r="Q8" s="3684"/>
      <c r="R8" s="701" t="s">
        <v>14</v>
      </c>
      <c r="S8" s="702">
        <f t="shared" si="0"/>
        <v>0</v>
      </c>
      <c r="T8" s="701" t="s">
        <v>14</v>
      </c>
      <c r="U8" s="702">
        <f t="shared" si="1"/>
        <v>0</v>
      </c>
      <c r="V8" s="701" t="s">
        <v>14</v>
      </c>
      <c r="W8" s="702">
        <f t="shared" si="2"/>
        <v>0</v>
      </c>
      <c r="X8" s="703"/>
      <c r="Y8" s="3683" t="s">
        <v>1678</v>
      </c>
      <c r="Z8" s="3684"/>
      <c r="AA8" s="704" t="e">
        <f t="shared" ref="AA8:AA40" si="3">D8/F8</f>
        <v>#DIV/0!</v>
      </c>
      <c r="AB8" s="704" t="e">
        <f t="shared" ref="AB8:AB40" si="4">D8/H8</f>
        <v>#DIV/0!</v>
      </c>
      <c r="AC8" s="704" t="e">
        <f t="shared" ref="AC8:AC40" si="5">D8/J8</f>
        <v>#DIV/0!</v>
      </c>
    </row>
    <row r="9" spans="1:29" s="108" customFormat="1">
      <c r="A9" s="369" t="s">
        <v>1679</v>
      </c>
      <c r="B9" s="63" t="s">
        <v>1680</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15" t="s">
        <v>1681</v>
      </c>
      <c r="Q9" s="1343" t="str">
        <f t="shared" ref="Q9:Q15" si="6">B9</f>
        <v>用途</v>
      </c>
      <c r="R9" s="701" t="s">
        <v>14</v>
      </c>
      <c r="S9" s="702">
        <f t="shared" si="0"/>
        <v>100</v>
      </c>
      <c r="T9" s="701" t="s">
        <v>14</v>
      </c>
      <c r="U9" s="702">
        <f t="shared" si="1"/>
        <v>100</v>
      </c>
      <c r="V9" s="701" t="s">
        <v>14</v>
      </c>
      <c r="W9" s="702">
        <f t="shared" si="2"/>
        <v>100</v>
      </c>
      <c r="X9" s="703"/>
      <c r="Y9" s="3627"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715"/>
      <c r="Q10" s="1343" t="str">
        <f t="shared" si="6"/>
        <v>土地使用年限（年）</v>
      </c>
      <c r="R10" s="701" t="s">
        <v>14</v>
      </c>
      <c r="S10" s="702">
        <f t="shared" si="0"/>
        <v>104</v>
      </c>
      <c r="T10" s="701" t="s">
        <v>14</v>
      </c>
      <c r="U10" s="702">
        <f t="shared" si="1"/>
        <v>104</v>
      </c>
      <c r="V10" s="701" t="s">
        <v>14</v>
      </c>
      <c r="W10" s="702">
        <f t="shared" si="2"/>
        <v>104</v>
      </c>
      <c r="X10" s="703"/>
      <c r="Y10" s="3627"/>
      <c r="Z10" s="52" t="str">
        <f t="shared" si="7"/>
        <v>土地使用年限（年）</v>
      </c>
      <c r="AA10" s="704">
        <f t="shared" si="3"/>
        <v>0.96153846153846156</v>
      </c>
      <c r="AB10" s="704">
        <f t="shared" si="4"/>
        <v>0.96153846153846156</v>
      </c>
      <c r="AC10" s="704">
        <f t="shared" si="5"/>
        <v>0.96153846153846156</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1685</v>
      </c>
      <c r="B15" s="577" t="s">
        <v>1915</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7" t="s">
        <v>1686</v>
      </c>
      <c r="Q15" s="1352" t="str">
        <f t="shared" si="6"/>
        <v>产业集聚程度</v>
      </c>
      <c r="R15" s="705" t="s">
        <v>14</v>
      </c>
      <c r="S15" s="706">
        <f t="shared" si="0"/>
        <v>100</v>
      </c>
      <c r="T15" s="705" t="s">
        <v>14</v>
      </c>
      <c r="U15" s="706">
        <f t="shared" si="1"/>
        <v>100</v>
      </c>
      <c r="V15" s="705" t="s">
        <v>14</v>
      </c>
      <c r="W15" s="706">
        <f t="shared" si="2"/>
        <v>100</v>
      </c>
      <c r="X15" s="1355"/>
      <c r="Y15" s="3717" t="s">
        <v>1686</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0"/>
      <c r="M16" s="2714"/>
      <c r="N16" s="2714"/>
      <c r="O16" s="2772"/>
      <c r="P16" s="3718"/>
      <c r="Q16" s="1352"/>
      <c r="R16" s="705"/>
      <c r="S16" s="706"/>
      <c r="T16" s="705"/>
      <c r="U16" s="706"/>
      <c r="V16" s="705"/>
      <c r="W16" s="706"/>
      <c r="X16" s="1355"/>
      <c r="Y16" s="3718"/>
      <c r="Z16" s="1356"/>
      <c r="AA16" s="1353">
        <v>1</v>
      </c>
      <c r="AB16" s="1353">
        <v>1</v>
      </c>
      <c r="AC16" s="1353">
        <v>1</v>
      </c>
    </row>
    <row r="17" spans="1:29" ht="85.5">
      <c r="A17" s="379"/>
      <c r="B17" s="579" t="s">
        <v>1828</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0"/>
      <c r="M18" s="2714"/>
      <c r="N18" s="2714"/>
      <c r="O18" s="2772"/>
      <c r="P18" s="3718"/>
      <c r="Q18" s="1352"/>
      <c r="R18" s="705"/>
      <c r="S18" s="706"/>
      <c r="T18" s="705"/>
      <c r="U18" s="706"/>
      <c r="V18" s="705"/>
      <c r="W18" s="706"/>
      <c r="X18" s="1355"/>
      <c r="Y18" s="3718"/>
      <c r="Z18" s="1356"/>
      <c r="AA18" s="1353">
        <v>1</v>
      </c>
      <c r="AB18" s="1353">
        <v>1</v>
      </c>
      <c r="AC18" s="1353">
        <v>1</v>
      </c>
    </row>
    <row r="19" spans="1:29" ht="15">
      <c r="A19" s="379"/>
      <c r="B19" s="579" t="s">
        <v>1866</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8"/>
      <c r="Q19" s="1352" t="str">
        <f t="shared" ref="Q19:Q33" si="8">B19</f>
        <v>区域土地利用方向</v>
      </c>
      <c r="R19" s="705" t="s">
        <v>14</v>
      </c>
      <c r="S19" s="706">
        <f>F19</f>
        <v>100</v>
      </c>
      <c r="T19" s="705" t="s">
        <v>14</v>
      </c>
      <c r="U19" s="706">
        <f>H19</f>
        <v>100</v>
      </c>
      <c r="V19" s="705" t="s">
        <v>14</v>
      </c>
      <c r="W19" s="706">
        <f>J19</f>
        <v>100</v>
      </c>
      <c r="X19" s="1355"/>
      <c r="Y19" s="3718"/>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0"/>
      <c r="M20" s="2714"/>
      <c r="N20" s="2714"/>
      <c r="O20" s="2772"/>
      <c r="P20" s="3718"/>
      <c r="Q20" s="1352"/>
      <c r="R20" s="705"/>
      <c r="S20" s="706"/>
      <c r="T20" s="705"/>
      <c r="U20" s="706"/>
      <c r="V20" s="705"/>
      <c r="W20" s="706"/>
      <c r="X20" s="1355"/>
      <c r="Y20" s="3718"/>
      <c r="Z20" s="1356"/>
      <c r="AA20" s="1353"/>
      <c r="AB20" s="1353"/>
      <c r="AC20" s="1353"/>
    </row>
    <row r="21" spans="1:29" ht="71.25">
      <c r="A21" s="358"/>
      <c r="B21" s="579" t="s">
        <v>1916</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8"/>
      <c r="Q21" s="1352" t="str">
        <f t="shared" si="8"/>
        <v>环境状况</v>
      </c>
      <c r="R21" s="705" t="s">
        <v>14</v>
      </c>
      <c r="S21" s="706">
        <f>F21</f>
        <v>100</v>
      </c>
      <c r="T21" s="705" t="s">
        <v>14</v>
      </c>
      <c r="U21" s="706">
        <f>H21</f>
        <v>100</v>
      </c>
      <c r="V21" s="705" t="s">
        <v>14</v>
      </c>
      <c r="W21" s="706">
        <f>J21</f>
        <v>100</v>
      </c>
      <c r="X21" s="1355"/>
      <c r="Y21" s="3718"/>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0"/>
      <c r="M22" s="2714"/>
      <c r="N22" s="2714"/>
      <c r="O22" s="2772"/>
      <c r="P22" s="3718"/>
      <c r="Q22" s="1352"/>
      <c r="R22" s="705"/>
      <c r="S22" s="706"/>
      <c r="T22" s="705"/>
      <c r="U22" s="706"/>
      <c r="V22" s="705"/>
      <c r="W22" s="706"/>
      <c r="X22" s="1355"/>
      <c r="Y22" s="3718"/>
      <c r="Z22" s="1356"/>
      <c r="AA22" s="1353">
        <v>1</v>
      </c>
      <c r="AB22" s="1353">
        <v>1</v>
      </c>
      <c r="AC22" s="1353">
        <v>1</v>
      </c>
    </row>
    <row r="23" spans="1:29" s="108" customFormat="1" ht="42.75">
      <c r="A23" s="597"/>
      <c r="B23" s="581" t="s">
        <v>1773</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8"/>
      <c r="Q23" s="1343" t="str">
        <f t="shared" si="8"/>
        <v>公共配套设施</v>
      </c>
      <c r="R23" s="701" t="s">
        <v>14</v>
      </c>
      <c r="S23" s="702">
        <f>F23</f>
        <v>100</v>
      </c>
      <c r="T23" s="701" t="s">
        <v>14</v>
      </c>
      <c r="U23" s="702">
        <f>H23</f>
        <v>100</v>
      </c>
      <c r="V23" s="701" t="s">
        <v>14</v>
      </c>
      <c r="W23" s="702">
        <f>J23</f>
        <v>100</v>
      </c>
      <c r="X23" s="703"/>
      <c r="Y23" s="3718"/>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5"/>
      <c r="M24" s="2716"/>
      <c r="N24" s="2716"/>
      <c r="O24" s="2770"/>
      <c r="P24" s="3718"/>
      <c r="Q24" s="1343"/>
      <c r="R24" s="701"/>
      <c r="S24" s="702"/>
      <c r="T24" s="701"/>
      <c r="U24" s="702"/>
      <c r="V24" s="701"/>
      <c r="W24" s="702"/>
      <c r="X24" s="703"/>
      <c r="Y24" s="3718"/>
      <c r="Z24" s="52"/>
      <c r="AA24" s="704">
        <v>1</v>
      </c>
      <c r="AB24" s="704">
        <v>1</v>
      </c>
      <c r="AC24" s="704">
        <v>1</v>
      </c>
    </row>
    <row r="25" spans="1:29" s="108" customFormat="1" ht="28.5">
      <c r="A25" s="597"/>
      <c r="B25" s="581" t="s">
        <v>1774</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8"/>
      <c r="Q25" s="1343" t="str">
        <f t="shared" ref="Q25" si="9">B25</f>
        <v>基础设施水平</v>
      </c>
      <c r="R25" s="701" t="s">
        <v>14</v>
      </c>
      <c r="S25" s="702">
        <f>F25</f>
        <v>100</v>
      </c>
      <c r="T25" s="701" t="s">
        <v>14</v>
      </c>
      <c r="U25" s="702">
        <f>H25</f>
        <v>100</v>
      </c>
      <c r="V25" s="701" t="s">
        <v>14</v>
      </c>
      <c r="W25" s="702">
        <f>J25</f>
        <v>100</v>
      </c>
      <c r="X25" s="703"/>
      <c r="Y25" s="3718"/>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718"/>
      <c r="Q26" s="1343"/>
      <c r="R26" s="701"/>
      <c r="S26" s="702"/>
      <c r="T26" s="701"/>
      <c r="U26" s="702"/>
      <c r="V26" s="701"/>
      <c r="W26" s="702"/>
      <c r="X26" s="703"/>
      <c r="Y26" s="3718"/>
      <c r="Z26" s="52"/>
      <c r="AA26" s="704">
        <v>1</v>
      </c>
      <c r="AB26" s="704">
        <v>1</v>
      </c>
      <c r="AC26" s="704">
        <v>1</v>
      </c>
    </row>
    <row r="27" spans="1:29" ht="15">
      <c r="A27" s="379"/>
      <c r="B27" s="580" t="s">
        <v>1775</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8"/>
      <c r="Z27" s="1356" t="str">
        <f t="shared" ref="Z27:Z40" si="13">Q27</f>
        <v>临街状况</v>
      </c>
      <c r="AA27" s="1353">
        <f t="shared" si="3"/>
        <v>1</v>
      </c>
      <c r="AB27" s="1353">
        <f t="shared" si="4"/>
        <v>1</v>
      </c>
      <c r="AC27" s="1353">
        <f t="shared" si="5"/>
        <v>1</v>
      </c>
    </row>
    <row r="28" spans="1:29" ht="27">
      <c r="A28" s="379"/>
      <c r="B28" s="581" t="s">
        <v>1810</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8"/>
      <c r="Q28" s="1352" t="str">
        <f t="shared" si="8"/>
        <v>毗邻道路的类型与等级</v>
      </c>
      <c r="R28" s="705" t="s">
        <v>14</v>
      </c>
      <c r="S28" s="706">
        <f t="shared" si="10"/>
        <v>100</v>
      </c>
      <c r="T28" s="705" t="s">
        <v>14</v>
      </c>
      <c r="U28" s="706">
        <f t="shared" si="11"/>
        <v>100</v>
      </c>
      <c r="V28" s="705" t="s">
        <v>14</v>
      </c>
      <c r="W28" s="706">
        <f t="shared" si="12"/>
        <v>100</v>
      </c>
      <c r="X28" s="1355"/>
      <c r="Y28" s="3718"/>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0"/>
      <c r="M29" s="2714"/>
      <c r="N29" s="2714"/>
      <c r="O29" s="2772"/>
      <c r="P29" s="3718"/>
      <c r="Q29" s="1352"/>
      <c r="R29" s="705"/>
      <c r="S29" s="706"/>
      <c r="T29" s="705"/>
      <c r="U29" s="706"/>
      <c r="V29" s="705"/>
      <c r="W29" s="706"/>
      <c r="X29" s="1355"/>
      <c r="Y29" s="3718"/>
      <c r="Z29" s="1356"/>
      <c r="AA29" s="1353">
        <v>1</v>
      </c>
      <c r="AB29" s="1353">
        <v>1</v>
      </c>
      <c r="AC29" s="1353">
        <v>1</v>
      </c>
    </row>
    <row r="30" spans="1:29" ht="15">
      <c r="A30" s="379"/>
      <c r="B30" s="602" t="s">
        <v>1868</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8"/>
      <c r="Q30" s="1352" t="str">
        <f t="shared" si="8"/>
        <v>土地级别</v>
      </c>
      <c r="R30" s="705" t="s">
        <v>14</v>
      </c>
      <c r="S30" s="706">
        <f t="shared" si="10"/>
        <v>100</v>
      </c>
      <c r="T30" s="705" t="s">
        <v>14</v>
      </c>
      <c r="U30" s="706">
        <f t="shared" si="11"/>
        <v>100</v>
      </c>
      <c r="V30" s="705" t="s">
        <v>14</v>
      </c>
      <c r="W30" s="706">
        <f t="shared" si="12"/>
        <v>100</v>
      </c>
      <c r="X30" s="1355"/>
      <c r="Y30" s="3718"/>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8"/>
      <c r="Q31" s="1352">
        <f t="shared" si="8"/>
        <v>111</v>
      </c>
      <c r="R31" s="705" t="s">
        <v>14</v>
      </c>
      <c r="S31" s="706">
        <f t="shared" si="10"/>
        <v>100</v>
      </c>
      <c r="T31" s="705" t="s">
        <v>14</v>
      </c>
      <c r="U31" s="706">
        <f t="shared" si="11"/>
        <v>100</v>
      </c>
      <c r="V31" s="705" t="s">
        <v>14</v>
      </c>
      <c r="W31" s="706">
        <f t="shared" si="12"/>
        <v>100</v>
      </c>
      <c r="X31" s="1355"/>
      <c r="Y31" s="3718"/>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1" t="s">
        <v>1691</v>
      </c>
      <c r="Q32" s="1352">
        <f t="shared" si="8"/>
        <v>111</v>
      </c>
      <c r="R32" s="705" t="s">
        <v>14</v>
      </c>
      <c r="S32" s="706">
        <f t="shared" si="10"/>
        <v>100</v>
      </c>
      <c r="T32" s="705" t="s">
        <v>14</v>
      </c>
      <c r="U32" s="706">
        <f t="shared" si="11"/>
        <v>100</v>
      </c>
      <c r="V32" s="705" t="s">
        <v>14</v>
      </c>
      <c r="W32" s="706">
        <f t="shared" si="12"/>
        <v>100</v>
      </c>
      <c r="X32" s="1355"/>
      <c r="Y32" s="3722" t="s">
        <v>1691</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2"/>
      <c r="Q33" s="1352">
        <f t="shared" si="8"/>
        <v>111</v>
      </c>
      <c r="R33" s="708" t="s">
        <v>14</v>
      </c>
      <c r="S33" s="709">
        <f t="shared" si="10"/>
        <v>100</v>
      </c>
      <c r="T33" s="708" t="s">
        <v>14</v>
      </c>
      <c r="U33" s="709">
        <f t="shared" si="11"/>
        <v>100</v>
      </c>
      <c r="V33" s="708" t="s">
        <v>14</v>
      </c>
      <c r="W33" s="709">
        <f t="shared" si="12"/>
        <v>100</v>
      </c>
      <c r="X33" s="710"/>
      <c r="Y33" s="3722"/>
      <c r="Z33" s="711">
        <f t="shared" si="13"/>
        <v>111</v>
      </c>
      <c r="AA33" s="1353">
        <f t="shared" si="3"/>
        <v>1</v>
      </c>
      <c r="AB33" s="1353">
        <f t="shared" si="4"/>
        <v>1</v>
      </c>
      <c r="AC33" s="1353">
        <f t="shared" si="5"/>
        <v>1</v>
      </c>
    </row>
    <row r="34" spans="1:31" ht="15">
      <c r="A34" s="391" t="s">
        <v>1689</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2"/>
      <c r="Q34" s="1352" t="str">
        <f>B34</f>
        <v>宗地面积</v>
      </c>
      <c r="R34" s="705" t="s">
        <v>14</v>
      </c>
      <c r="S34" s="706" t="e">
        <f t="shared" si="10"/>
        <v>#N/A</v>
      </c>
      <c r="T34" s="705" t="s">
        <v>14</v>
      </c>
      <c r="U34" s="706" t="e">
        <f t="shared" si="11"/>
        <v>#N/A</v>
      </c>
      <c r="V34" s="705" t="s">
        <v>14</v>
      </c>
      <c r="W34" s="706" t="e">
        <f t="shared" si="12"/>
        <v>#N/A</v>
      </c>
      <c r="X34" s="1355"/>
      <c r="Y34" s="3722"/>
      <c r="Z34" s="1356" t="str">
        <f t="shared" si="13"/>
        <v>宗地面积</v>
      </c>
      <c r="AA34" s="1353" t="e">
        <f t="shared" si="3"/>
        <v>#N/A</v>
      </c>
      <c r="AB34" s="1353" t="e">
        <f t="shared" si="4"/>
        <v>#N/A</v>
      </c>
      <c r="AC34" s="1353" t="e">
        <f t="shared" si="5"/>
        <v>#N/A</v>
      </c>
    </row>
    <row r="35" spans="1:31" ht="15">
      <c r="A35" s="423"/>
      <c r="B35" s="375" t="s">
        <v>1870</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22"/>
      <c r="Q35" s="1352" t="str">
        <f t="shared" ref="Q35:Q40" si="14">B35</f>
        <v>宗地形状</v>
      </c>
      <c r="R35" s="705" t="s">
        <v>14</v>
      </c>
      <c r="S35" s="706">
        <f t="shared" si="10"/>
        <v>100</v>
      </c>
      <c r="T35" s="705" t="s">
        <v>14</v>
      </c>
      <c r="U35" s="706">
        <f t="shared" si="11"/>
        <v>100</v>
      </c>
      <c r="V35" s="705" t="s">
        <v>14</v>
      </c>
      <c r="W35" s="706">
        <f t="shared" si="12"/>
        <v>100</v>
      </c>
      <c r="X35" s="1355"/>
      <c r="Y35" s="3722"/>
      <c r="Z35" s="1356" t="str">
        <f t="shared" si="13"/>
        <v>宗地形状</v>
      </c>
      <c r="AA35" s="1353">
        <f t="shared" si="3"/>
        <v>1</v>
      </c>
      <c r="AB35" s="1353">
        <f t="shared" si="4"/>
        <v>1</v>
      </c>
      <c r="AC35" s="1353">
        <f t="shared" si="5"/>
        <v>1</v>
      </c>
    </row>
    <row r="36" spans="1:31" s="108" customFormat="1" ht="15">
      <c r="A36" s="424"/>
      <c r="B36" s="375" t="s">
        <v>1872</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22"/>
      <c r="Q36" s="1352" t="str">
        <f t="shared" si="14"/>
        <v>宗地开发程度</v>
      </c>
      <c r="R36" s="701" t="s">
        <v>14</v>
      </c>
      <c r="S36" s="702">
        <f t="shared" si="10"/>
        <v>100</v>
      </c>
      <c r="T36" s="701" t="s">
        <v>14</v>
      </c>
      <c r="U36" s="702">
        <f t="shared" si="11"/>
        <v>100</v>
      </c>
      <c r="V36" s="701" t="s">
        <v>14</v>
      </c>
      <c r="W36" s="702">
        <f t="shared" si="12"/>
        <v>100</v>
      </c>
      <c r="X36" s="703"/>
      <c r="Y36" s="3722"/>
      <c r="Z36" s="52" t="str">
        <f t="shared" si="13"/>
        <v>宗地开发程度</v>
      </c>
      <c r="AA36" s="704">
        <f t="shared" si="3"/>
        <v>1</v>
      </c>
      <c r="AB36" s="704">
        <f t="shared" si="4"/>
        <v>1</v>
      </c>
      <c r="AC36" s="704">
        <f t="shared" si="5"/>
        <v>1</v>
      </c>
    </row>
    <row r="37" spans="1:31" ht="15">
      <c r="A37" s="423"/>
      <c r="B37" s="375" t="s">
        <v>1873</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22" t="s">
        <v>1691</v>
      </c>
      <c r="Q37" s="1352" t="str">
        <f t="shared" si="14"/>
        <v>工程地质条件</v>
      </c>
      <c r="R37" s="705" t="s">
        <v>14</v>
      </c>
      <c r="S37" s="706">
        <f t="shared" si="10"/>
        <v>100</v>
      </c>
      <c r="T37" s="705" t="s">
        <v>14</v>
      </c>
      <c r="U37" s="706">
        <f t="shared" si="11"/>
        <v>100</v>
      </c>
      <c r="V37" s="705" t="s">
        <v>14</v>
      </c>
      <c r="W37" s="706">
        <f t="shared" si="12"/>
        <v>100</v>
      </c>
      <c r="X37" s="1355"/>
      <c r="Y37" s="3722"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2"/>
      <c r="Q38" s="1352">
        <f t="shared" si="14"/>
        <v>111</v>
      </c>
      <c r="R38" s="705" t="s">
        <v>14</v>
      </c>
      <c r="S38" s="706">
        <f t="shared" si="10"/>
        <v>100</v>
      </c>
      <c r="T38" s="705" t="s">
        <v>14</v>
      </c>
      <c r="U38" s="706">
        <f t="shared" si="11"/>
        <v>100</v>
      </c>
      <c r="V38" s="705" t="s">
        <v>14</v>
      </c>
      <c r="W38" s="706">
        <f t="shared" si="12"/>
        <v>100</v>
      </c>
      <c r="X38" s="1355"/>
      <c r="Y38" s="372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2"/>
      <c r="Q39" s="1352">
        <f t="shared" si="14"/>
        <v>111</v>
      </c>
      <c r="R39" s="705" t="s">
        <v>14</v>
      </c>
      <c r="S39" s="706">
        <f t="shared" si="10"/>
        <v>100</v>
      </c>
      <c r="T39" s="705" t="s">
        <v>14</v>
      </c>
      <c r="U39" s="706">
        <f t="shared" si="11"/>
        <v>100</v>
      </c>
      <c r="V39" s="705" t="s">
        <v>14</v>
      </c>
      <c r="W39" s="706">
        <f t="shared" si="12"/>
        <v>100</v>
      </c>
      <c r="X39" s="1355"/>
      <c r="Y39" s="3722"/>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2"/>
      <c r="Q40" s="1352">
        <f t="shared" si="14"/>
        <v>111</v>
      </c>
      <c r="R40" s="708" t="s">
        <v>14</v>
      </c>
      <c r="S40" s="709">
        <f t="shared" si="10"/>
        <v>100</v>
      </c>
      <c r="T40" s="708" t="s">
        <v>14</v>
      </c>
      <c r="U40" s="709">
        <f t="shared" si="11"/>
        <v>100</v>
      </c>
      <c r="V40" s="708" t="s">
        <v>14</v>
      </c>
      <c r="W40" s="709">
        <f t="shared" si="12"/>
        <v>100</v>
      </c>
      <c r="X40" s="710"/>
      <c r="Y40" s="3722"/>
      <c r="Z40" s="711">
        <f t="shared" si="13"/>
        <v>111</v>
      </c>
      <c r="AA40" s="1353">
        <f t="shared" si="3"/>
        <v>1</v>
      </c>
      <c r="AB40" s="1353">
        <f t="shared" si="4"/>
        <v>1</v>
      </c>
      <c r="AC40" s="1353">
        <f t="shared" si="5"/>
        <v>1</v>
      </c>
    </row>
    <row r="41" spans="1:31" ht="15">
      <c r="A41" s="430" t="s">
        <v>1839</v>
      </c>
      <c r="B41" s="1981" t="s">
        <v>1917</v>
      </c>
      <c r="C41" s="630" t="s">
        <v>0</v>
      </c>
      <c r="D41" s="432"/>
      <c r="E41" s="433"/>
      <c r="F41" s="434"/>
      <c r="G41" s="435"/>
      <c r="H41" s="436"/>
      <c r="I41" s="433"/>
      <c r="J41" s="436"/>
      <c r="K41" s="714"/>
      <c r="L41" s="2722"/>
      <c r="M41" s="2714"/>
      <c r="N41" s="2714"/>
      <c r="O41" s="2723"/>
      <c r="P41" s="3715" t="str">
        <f>A41</f>
        <v>成交单价</v>
      </c>
      <c r="Q41" s="3715"/>
      <c r="R41" s="3710">
        <f>E41</f>
        <v>0</v>
      </c>
      <c r="S41" s="3710"/>
      <c r="T41" s="3710">
        <f>G41</f>
        <v>0</v>
      </c>
      <c r="U41" s="3710"/>
      <c r="V41" s="3710">
        <f>I41</f>
        <v>0</v>
      </c>
      <c r="W41" s="3710"/>
      <c r="X41" s="690"/>
      <c r="Y41" s="712"/>
      <c r="Z41" s="690"/>
      <c r="AA41" s="690"/>
      <c r="AB41" s="690"/>
      <c r="AC41" s="690"/>
    </row>
    <row r="42" spans="1:31" ht="15.75" thickBot="1">
      <c r="A42" s="437" t="s">
        <v>1788</v>
      </c>
      <c r="B42" s="631"/>
      <c r="C42" s="440" t="e">
        <f>R43</f>
        <v>#DIV/0!</v>
      </c>
      <c r="D42" s="2316" t="s">
        <v>2133</v>
      </c>
      <c r="E42" s="440" t="e">
        <f>R42</f>
        <v>#DIV/0!</v>
      </c>
      <c r="F42" s="2317"/>
      <c r="G42" s="439" t="e">
        <f>T42</f>
        <v>#DIV/0!</v>
      </c>
      <c r="H42" s="2317"/>
      <c r="I42" s="440" t="e">
        <f>V42</f>
        <v>#DIV/0!</v>
      </c>
      <c r="J42" s="2317"/>
      <c r="K42" s="2319">
        <f>F42+H42+J42</f>
        <v>0</v>
      </c>
      <c r="L42" s="2722"/>
      <c r="M42" s="2714"/>
      <c r="N42" s="2714"/>
      <c r="O42" s="2723"/>
      <c r="P42" s="3715" t="str">
        <f>A42</f>
        <v>比较价值（元/平方米）</v>
      </c>
      <c r="Q42" s="3715"/>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1789</v>
      </c>
      <c r="B43" s="442"/>
      <c r="C43" s="443" t="e">
        <f>R43</f>
        <v>#DIV/0!</v>
      </c>
      <c r="D43" s="443"/>
      <c r="E43" s="443"/>
      <c r="F43" s="443"/>
      <c r="G43" s="443"/>
      <c r="H43" s="443"/>
      <c r="I43" s="443"/>
      <c r="J43" s="443"/>
      <c r="K43" s="715"/>
      <c r="L43" s="2722"/>
      <c r="M43" s="2714"/>
      <c r="N43" s="2714"/>
      <c r="O43" s="2723"/>
      <c r="P43" s="3712" t="str">
        <f>A43</f>
        <v>估价对象XX用房的比较价值（楼面单价，元/平方米）</v>
      </c>
      <c r="Q43" s="3713"/>
      <c r="R43" s="3744" t="e">
        <f>ROUND(IF(D42="简单平均",AVERAGE(R42:W42),R42*F42+T42*H42+V42*J42),0)</f>
        <v>#DIV/0!</v>
      </c>
      <c r="S43" s="3744"/>
      <c r="T43" s="3744"/>
      <c r="U43" s="3744"/>
      <c r="V43" s="3744"/>
      <c r="W43" s="3744"/>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1876</v>
      </c>
      <c r="B50" s="633" t="s">
        <v>1877</v>
      </c>
      <c r="C50" s="1982" t="s">
        <v>1878</v>
      </c>
      <c r="D50" s="1983" t="s">
        <v>1879</v>
      </c>
      <c r="E50" s="634" t="s">
        <v>1880</v>
      </c>
      <c r="F50" s="635" t="s">
        <v>1881</v>
      </c>
      <c r="G50" s="3698" t="s">
        <v>1882</v>
      </c>
      <c r="H50" s="3745"/>
      <c r="I50" s="1356" t="s">
        <v>1918</v>
      </c>
      <c r="J50" s="1356">
        <f>项目基本情况!F35</f>
        <v>0</v>
      </c>
      <c r="K50" s="1985" t="s">
        <v>1884</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1885</v>
      </c>
      <c r="B51" s="637" t="e">
        <f>C43</f>
        <v>#DIV/0!</v>
      </c>
      <c r="C51" s="638">
        <v>1</v>
      </c>
      <c r="D51" s="944">
        <v>1</v>
      </c>
      <c r="E51" s="638">
        <f>'数据-汇总表'!E8+'数据-汇总表'!E9</f>
        <v>7666.58</v>
      </c>
      <c r="F51" s="639" t="e">
        <f t="shared" ref="F51:F60" si="15">ROUND(B51*E51/10000,0)</f>
        <v>#DIV/0!</v>
      </c>
      <c r="G51" s="3697"/>
      <c r="H51" s="371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1886</v>
      </c>
      <c r="B52" s="218" t="e">
        <f>ROUND($C$43*C52*D52,0)</f>
        <v>#DIV/0!</v>
      </c>
      <c r="C52" s="171">
        <f t="shared" ref="C52:C60" si="16">IF($C$50="北京市系数",I52,J52)</f>
        <v>0.5</v>
      </c>
      <c r="D52" s="945">
        <v>0.25</v>
      </c>
      <c r="E52" s="642"/>
      <c r="F52" s="639" t="e">
        <f t="shared" si="15"/>
        <v>#DIV/0!</v>
      </c>
      <c r="G52" s="3004" t="s">
        <v>1887</v>
      </c>
      <c r="H52" s="887" t="str">
        <f>项目基本情况!B37</f>
        <v>十一级</v>
      </c>
      <c r="I52" s="773">
        <f>SUMIF(修正!A57:A68,H52,修正!B57:B68)</f>
        <v>0.5</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1888</v>
      </c>
      <c r="B53" s="218" t="e">
        <f t="shared" ref="B53:B60" si="17">ROUND($C$43*C53*D53,0)</f>
        <v>#DIV/0!</v>
      </c>
      <c r="C53" s="171">
        <f t="shared" si="16"/>
        <v>0.2</v>
      </c>
      <c r="D53" s="945">
        <v>0.25</v>
      </c>
      <c r="E53" s="642"/>
      <c r="F53" s="639" t="e">
        <f t="shared" si="15"/>
        <v>#DIV/0!</v>
      </c>
      <c r="G53" s="3005"/>
      <c r="H53" s="887" t="str">
        <f>项目基本情况!B37</f>
        <v>十一级</v>
      </c>
      <c r="I53" s="773">
        <f>SUMIF(修正!A57:A68,H53,修正!C57:C68)</f>
        <v>0.2</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1889</v>
      </c>
      <c r="B54" s="218" t="e">
        <f t="shared" si="17"/>
        <v>#DIV/0!</v>
      </c>
      <c r="C54" s="171">
        <f t="shared" si="16"/>
        <v>0.2</v>
      </c>
      <c r="D54" s="945">
        <v>0.25</v>
      </c>
      <c r="E54" s="642"/>
      <c r="F54" s="639" t="e">
        <f t="shared" si="15"/>
        <v>#DIV/0!</v>
      </c>
      <c r="G54" s="3005"/>
      <c r="H54" s="887" t="str">
        <f>项目基本情况!B37</f>
        <v>十一级</v>
      </c>
      <c r="I54" s="773">
        <f>SUMIF(修正!A57:A68,H54,修正!D57:D68)</f>
        <v>0.2</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1890</v>
      </c>
      <c r="B56" s="218" t="e">
        <f t="shared" si="17"/>
        <v>#DIV/0!</v>
      </c>
      <c r="C56" s="171">
        <f t="shared" si="16"/>
        <v>0.2</v>
      </c>
      <c r="D56" s="945">
        <v>0.25</v>
      </c>
      <c r="E56" s="217">
        <f>'数据-汇总表'!E11</f>
        <v>0</v>
      </c>
      <c r="F56" s="639" t="e">
        <f t="shared" si="15"/>
        <v>#DIV/0!</v>
      </c>
      <c r="G56" s="1986" t="s">
        <v>1891</v>
      </c>
      <c r="H56" s="887" t="str">
        <f>项目基本情况!C37</f>
        <v>十一级</v>
      </c>
      <c r="I56" s="773">
        <f>SUMIF(修正!A57:A68,H56,修正!E57:E68)</f>
        <v>0.2</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1892</v>
      </c>
      <c r="B57" s="218" t="e">
        <f t="shared" si="17"/>
        <v>#DIV/0!</v>
      </c>
      <c r="C57" s="171">
        <f t="shared" si="16"/>
        <v>0.2</v>
      </c>
      <c r="D57" s="945">
        <v>0.25</v>
      </c>
      <c r="E57" s="217">
        <f>'数据-汇总表'!E12</f>
        <v>0</v>
      </c>
      <c r="F57" s="639" t="e">
        <f t="shared" si="15"/>
        <v>#DIV/0!</v>
      </c>
      <c r="G57" s="892" t="s">
        <v>1893</v>
      </c>
      <c r="H57" s="887" t="str">
        <f>IF(G57="商业",项目基本情况!B37,IF(G57="办公",项目基本情况!C37,IF(G57="住宅",项目基本情况!D37,项目基本情况!E37)))</f>
        <v>十一级</v>
      </c>
      <c r="I57" s="773">
        <f>SUMIF(修正!A57:A68,H57,修正!F57:F68)</f>
        <v>0.2</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1894</v>
      </c>
      <c r="B58" s="218" t="e">
        <f t="shared" si="17"/>
        <v>#DIV/0!</v>
      </c>
      <c r="C58" s="171">
        <f t="shared" si="16"/>
        <v>0.1</v>
      </c>
      <c r="D58" s="945">
        <v>0.25</v>
      </c>
      <c r="E58" s="217">
        <f>'数据-汇总表'!E13</f>
        <v>0</v>
      </c>
      <c r="F58" s="639" t="e">
        <f t="shared" si="15"/>
        <v>#DIV/0!</v>
      </c>
      <c r="G58" s="892" t="s">
        <v>1895</v>
      </c>
      <c r="H58" s="887" t="str">
        <f>IF(G58="商业",项目基本情况!B37,IF(G58="办公",项目基本情况!C37,IF(G58="住宅",项目基本情况!D37,项目基本情况!E37)))</f>
        <v>十一级</v>
      </c>
      <c r="I58" s="773">
        <f>SUMIF(修正!A57:A68,H58,修正!G57:G68)</f>
        <v>0.1</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1896</v>
      </c>
      <c r="B59" s="218" t="e">
        <f t="shared" si="17"/>
        <v>#DIV/0!</v>
      </c>
      <c r="C59" s="171">
        <f t="shared" si="16"/>
        <v>0.1</v>
      </c>
      <c r="D59" s="945">
        <v>0.25</v>
      </c>
      <c r="E59" s="217">
        <f>'数据-汇总表'!E14</f>
        <v>0</v>
      </c>
      <c r="F59" s="639" t="e">
        <f t="shared" si="15"/>
        <v>#DIV/0!</v>
      </c>
      <c r="G59" s="1986" t="s">
        <v>1887</v>
      </c>
      <c r="H59" s="887" t="str">
        <f>项目基本情况!B37</f>
        <v>十一级</v>
      </c>
      <c r="I59" s="773">
        <f>SUMIF(修正!A57:A68,H59,修正!G57:G68)</f>
        <v>0.1</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1897</v>
      </c>
      <c r="B60" s="218" t="e">
        <f t="shared" si="17"/>
        <v>#DIV/0!</v>
      </c>
      <c r="C60" s="171">
        <f t="shared" si="16"/>
        <v>0.1</v>
      </c>
      <c r="D60" s="945">
        <v>0.25</v>
      </c>
      <c r="E60" s="217">
        <f>'数据-汇总表'!E15</f>
        <v>0</v>
      </c>
      <c r="F60" s="639" t="e">
        <f t="shared" si="15"/>
        <v>#DIV/0!</v>
      </c>
      <c r="G60" s="1987" t="s">
        <v>1891</v>
      </c>
      <c r="H60" s="897" t="str">
        <f>项目基本情况!C37</f>
        <v>十一级</v>
      </c>
      <c r="I60" s="773">
        <f>SUMIF(修正!A57:A68,H60,修正!G57:G68)</f>
        <v>0.1</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1898</v>
      </c>
      <c r="B61" s="644" t="s">
        <v>22</v>
      </c>
      <c r="C61" s="644" t="s">
        <v>23</v>
      </c>
      <c r="D61" s="644" t="s">
        <v>392</v>
      </c>
      <c r="E61" s="644">
        <f>IF(B41="楼面地价",SUM(E51:E60),'数据-汇总表'!D3)</f>
        <v>7720.87</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3"/>
      <c r="Q63" s="2723"/>
      <c r="R63" s="2723"/>
      <c r="S63" s="2723"/>
      <c r="T63" s="2723"/>
      <c r="U63" s="2723"/>
      <c r="V63" s="2723"/>
      <c r="W63" s="2723"/>
      <c r="X63" s="2723"/>
      <c r="Y63" s="2723"/>
      <c r="Z63" s="2723"/>
      <c r="AA63" s="2723"/>
      <c r="AB63" s="2723"/>
      <c r="AC63" s="2723"/>
      <c r="AD63" s="2723"/>
      <c r="AE63" s="2723"/>
    </row>
    <row r="64" spans="1:31" ht="21.75" thickBot="1">
      <c r="A64" s="694" t="s">
        <v>1793</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8" t="s">
        <v>1899</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1919</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1711</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1676</v>
      </c>
      <c r="B68" s="459"/>
      <c r="C68" s="471" t="s">
        <v>1771</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1714</v>
      </c>
      <c r="B70" s="477" t="s">
        <v>1680</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1683</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1685</v>
      </c>
      <c r="B83" s="477" t="s">
        <v>1824</v>
      </c>
      <c r="C83" s="522" t="s">
        <v>1716</v>
      </c>
      <c r="D83" s="522" t="s">
        <v>1717</v>
      </c>
      <c r="E83" s="522" t="s">
        <v>1718</v>
      </c>
      <c r="F83" s="522" t="s">
        <v>1719</v>
      </c>
      <c r="G83" s="522" t="s">
        <v>1720</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1721</v>
      </c>
      <c r="C85" s="527" t="s">
        <v>1716</v>
      </c>
      <c r="D85" s="527" t="s">
        <v>1717</v>
      </c>
      <c r="E85" s="527" t="s">
        <v>1718</v>
      </c>
      <c r="F85" s="527" t="s">
        <v>1719</v>
      </c>
      <c r="G85" s="527" t="s">
        <v>1720</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1902</v>
      </c>
      <c r="C87" s="522" t="s">
        <v>1716</v>
      </c>
      <c r="D87" s="522" t="s">
        <v>1717</v>
      </c>
      <c r="E87" s="522" t="s">
        <v>1718</v>
      </c>
      <c r="F87" s="522" t="s">
        <v>1719</v>
      </c>
      <c r="G87" s="522" t="s">
        <v>1720</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1920</v>
      </c>
      <c r="C93" s="608" t="s">
        <v>1794</v>
      </c>
      <c r="D93" s="608" t="s">
        <v>1795</v>
      </c>
      <c r="E93" s="608" t="s">
        <v>1796</v>
      </c>
      <c r="F93" s="608" t="s">
        <v>1797</v>
      </c>
      <c r="G93" s="608" t="s">
        <v>1798</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1810</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1868</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1689</v>
      </c>
      <c r="B107" s="477" t="s">
        <v>1908</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1909</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1911</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1912</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2078</v>
      </c>
      <c r="C1" s="3753" t="s">
        <v>2079</v>
      </c>
      <c r="D1" s="3754"/>
      <c r="E1" s="3754"/>
      <c r="F1" s="3754"/>
      <c r="G1" s="3754"/>
      <c r="H1" s="3754"/>
      <c r="I1" s="3754"/>
      <c r="J1" s="3754"/>
      <c r="K1" s="3754"/>
      <c r="L1" s="3754"/>
      <c r="M1" s="3754"/>
      <c r="N1" s="3754"/>
      <c r="O1" s="3754"/>
      <c r="P1" s="3754"/>
      <c r="Q1" s="3754"/>
      <c r="R1" s="3754"/>
      <c r="S1" s="3755"/>
      <c r="T1" s="983" t="s">
        <v>2080</v>
      </c>
    </row>
    <row r="2" spans="1:45" s="655" customFormat="1">
      <c r="A2" s="984"/>
      <c r="B2" s="651" t="s">
        <v>2081</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2082</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2083</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2084</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2085</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2086</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2087</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2088</v>
      </c>
      <c r="B17" s="2148" t="s">
        <v>2089</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2090</v>
      </c>
      <c r="E19" s="1340"/>
      <c r="F19" s="1340"/>
      <c r="G19" s="1340"/>
      <c r="H19" s="1059"/>
      <c r="I19" s="159"/>
      <c r="J19" s="159"/>
      <c r="K19" s="159"/>
      <c r="L19" s="159"/>
      <c r="M19" s="159"/>
      <c r="N19" s="159"/>
      <c r="O19" s="159"/>
      <c r="P19" s="159"/>
      <c r="Q19" s="159"/>
      <c r="R19" s="718"/>
      <c r="S19" s="129"/>
    </row>
    <row r="20" spans="1:45" ht="16.5" thickBot="1">
      <c r="A20" s="662" t="s">
        <v>2091</v>
      </c>
      <c r="B20" s="294" t="e">
        <f ca="1">IF(D20="——",S22,S22-F20)</f>
        <v>#REF!</v>
      </c>
      <c r="C20" s="159"/>
      <c r="D20" s="2150"/>
      <c r="E20" s="1341"/>
      <c r="F20" s="983" t="e">
        <f ca="1">SUMIF(INDIRECT("'"&amp;H20&amp;"'"&amp;"!A:A"),"承租人权益价值",INDIRECT("'"&amp;H20&amp;"'"&amp;"!c:c"))</f>
        <v>#REF!</v>
      </c>
      <c r="G20" s="983" t="s">
        <v>2092</v>
      </c>
      <c r="H20" s="2151"/>
      <c r="I20" s="159"/>
      <c r="J20" s="159"/>
      <c r="K20" s="159"/>
      <c r="L20" s="159"/>
      <c r="M20" s="159"/>
      <c r="N20" s="159"/>
      <c r="O20" s="159"/>
      <c r="P20" s="159"/>
      <c r="Q20" s="159"/>
      <c r="R20" s="718"/>
      <c r="S20" s="129"/>
    </row>
    <row r="21" spans="1:45" ht="15.75">
      <c r="A21" s="662" t="s">
        <v>2093</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2094</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4" t="s">
        <v>2098</v>
      </c>
      <c r="S23" s="8" t="s">
        <v>2099</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2100</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2076</v>
      </c>
      <c r="B1" s="2146"/>
      <c r="C1" s="2146"/>
      <c r="D1" s="2146"/>
      <c r="E1" s="2146"/>
      <c r="F1" s="2791"/>
      <c r="G1" s="2791"/>
      <c r="H1" s="2791"/>
      <c r="I1" s="2791"/>
      <c r="J1" s="2791"/>
      <c r="K1" s="2791"/>
      <c r="L1" s="2791"/>
      <c r="M1" s="2791"/>
      <c r="N1" s="2791"/>
      <c r="O1" s="2791"/>
      <c r="P1" s="2791"/>
    </row>
    <row r="2" spans="1:16" ht="15.75">
      <c r="A2" s="2144" t="s">
        <v>2068</v>
      </c>
      <c r="B2" s="2600">
        <f ca="1">SUMIF(B6:B13,"&lt;&gt;#ref!",B6:B13)</f>
        <v>2256</v>
      </c>
      <c r="C2" s="2144" t="s">
        <v>2069</v>
      </c>
      <c r="D2" s="2144" t="s">
        <v>2070</v>
      </c>
      <c r="E2" s="2610">
        <f ca="1">SUMIF(E6:E13,"&lt;&gt;#ref!",E6:E13)</f>
        <v>7666.58</v>
      </c>
      <c r="F2" s="2791"/>
      <c r="G2" s="2791"/>
      <c r="H2" s="2791"/>
      <c r="I2" s="2791"/>
      <c r="J2" s="2791"/>
      <c r="K2" s="2791"/>
      <c r="L2" s="2791"/>
      <c r="M2" s="2791"/>
      <c r="N2" s="2791"/>
      <c r="O2" s="2791"/>
      <c r="P2" s="2791"/>
    </row>
    <row r="3" spans="1:16" ht="15.75">
      <c r="A3" s="2144" t="s">
        <v>2071</v>
      </c>
      <c r="B3" s="2600">
        <f ca="1">ROUND(B2*10000/E2,0)</f>
        <v>2943</v>
      </c>
      <c r="C3" s="2144" t="s">
        <v>2077</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2072</v>
      </c>
      <c r="B5" s="2608" t="s">
        <v>2073</v>
      </c>
      <c r="C5" s="2145"/>
      <c r="D5" s="2791"/>
      <c r="E5" s="2609" t="s">
        <v>2074</v>
      </c>
      <c r="F5" s="2791"/>
      <c r="G5" s="2791"/>
      <c r="H5" s="2791"/>
      <c r="I5" s="2791"/>
      <c r="J5" s="2791"/>
      <c r="K5" s="2791"/>
      <c r="L5" s="2791"/>
      <c r="M5" s="2791"/>
      <c r="N5" s="2791"/>
      <c r="O5" s="2791"/>
      <c r="P5" s="2791"/>
    </row>
    <row r="6" spans="1:16" ht="15.75">
      <c r="A6" s="2607" t="s">
        <v>2075</v>
      </c>
      <c r="B6" s="2600">
        <f ca="1">SUMIF(INDIRECT("'"&amp;A6&amp;"'"&amp;"!A:A"),"总价",INDIRECT("'"&amp;A6&amp;"'"&amp;"!B:B"))</f>
        <v>2256</v>
      </c>
      <c r="C6" s="2144" t="s">
        <v>2069</v>
      </c>
      <c r="D6" s="2791"/>
      <c r="E6" s="2610">
        <f ca="1">SUMIF(INDIRECT("'"&amp;A6&amp;"'"&amp;"!C:C"),"建筑面积",INDIRECT("'"&amp;A6&amp;"'"&amp;"!D:D"))</f>
        <v>7666.58</v>
      </c>
      <c r="F6" s="2791"/>
      <c r="G6" s="2791"/>
      <c r="H6" s="2791"/>
      <c r="I6" s="2791"/>
      <c r="J6" s="2791"/>
      <c r="K6" s="2791"/>
      <c r="L6" s="2791"/>
      <c r="M6" s="2791"/>
      <c r="N6" s="2791"/>
      <c r="O6" s="2791"/>
      <c r="P6" s="2791"/>
    </row>
    <row r="7" spans="1:16" ht="15.75">
      <c r="A7" s="2607"/>
      <c r="B7" s="2600" t="e">
        <f ca="1">SUMIF(INDIRECT("'"&amp;A7&amp;"'"&amp;"!A:A"),"总价",INDIRECT("'"&amp;A7&amp;"'"&amp;"!B:B"))</f>
        <v>#REF!</v>
      </c>
      <c r="C7" s="2144" t="s">
        <v>2069</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4" t="s">
        <v>2069</v>
      </c>
      <c r="D8" s="2791"/>
      <c r="E8" s="2610" t="e">
        <f t="shared" ca="1" si="0"/>
        <v>#REF!</v>
      </c>
      <c r="F8" s="2791"/>
      <c r="G8" s="2791"/>
      <c r="H8" s="2791"/>
      <c r="I8" s="2791"/>
      <c r="J8" s="2791"/>
      <c r="K8" s="2791"/>
      <c r="L8" s="2791"/>
      <c r="M8" s="2791"/>
      <c r="N8" s="2791"/>
      <c r="O8" s="2791"/>
      <c r="P8" s="2791"/>
    </row>
    <row r="9" spans="1:16" ht="15.75">
      <c r="A9" s="2607"/>
      <c r="B9" s="2600" t="e">
        <f t="shared" ca="1" si="1"/>
        <v>#REF!</v>
      </c>
      <c r="C9" s="2144" t="s">
        <v>2069</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4" t="s">
        <v>2069</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4" t="s">
        <v>2069</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4" t="s">
        <v>2069</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4" t="s">
        <v>2069</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85" zoomScaleNormal="80" zoomScaleSheetLayoutView="85" workbookViewId="0">
      <selection activeCell="C58" sqref="C5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1921</v>
      </c>
      <c r="B1" s="197"/>
      <c r="C1" s="201" t="s">
        <v>1922</v>
      </c>
      <c r="D1" s="342">
        <f>SUM(D33:D34,D37:D42)</f>
        <v>7666.58</v>
      </c>
      <c r="E1" s="1994"/>
      <c r="F1" s="1994"/>
      <c r="G1" s="1994"/>
      <c r="H1" s="1994"/>
      <c r="I1" s="1994"/>
      <c r="J1" s="1994"/>
      <c r="K1" s="1119"/>
      <c r="L1" s="1995" t="s">
        <v>1923</v>
      </c>
      <c r="M1" s="863">
        <f>SUMPRODUCT((区片价!B5:B9=I2)*(区片价!C3:G3=E2)*(区片价!C5:G9))</f>
        <v>0</v>
      </c>
      <c r="N1" s="866">
        <f>SUMPRODUCT((因素修正幅度!B5:B9=I2)*(因素修正幅度!C3:G3=E2)*(因素修正幅度!C5:G9))</f>
        <v>0</v>
      </c>
      <c r="O1" s="1996"/>
      <c r="P1" s="1996"/>
      <c r="Q1" s="1119"/>
      <c r="R1" s="1212" t="s">
        <v>1924</v>
      </c>
      <c r="S1" s="1212" t="s">
        <v>1925</v>
      </c>
      <c r="T1" s="1212" t="s">
        <v>1926</v>
      </c>
      <c r="U1" s="1212" t="s">
        <v>1927</v>
      </c>
      <c r="V1" s="1212" t="s">
        <v>1928</v>
      </c>
      <c r="W1" s="1216"/>
      <c r="X1" s="1216"/>
      <c r="Y1" s="1216"/>
      <c r="Z1" s="1216"/>
      <c r="AA1" s="1216"/>
      <c r="AB1" s="1216"/>
      <c r="AC1" s="1217"/>
      <c r="AD1" s="1218"/>
      <c r="AE1" s="1218"/>
      <c r="AF1" s="1218"/>
      <c r="AG1" s="1218"/>
      <c r="AH1" s="1218"/>
      <c r="AI1" s="1218"/>
      <c r="AJ1" s="1219"/>
    </row>
    <row r="2" spans="1:36" ht="15.75">
      <c r="A2" s="201" t="s">
        <v>1929</v>
      </c>
      <c r="B2" s="204">
        <f>C30</f>
        <v>2256</v>
      </c>
      <c r="C2" s="1998" t="s">
        <v>1930</v>
      </c>
      <c r="D2" s="1999" t="s">
        <v>1931</v>
      </c>
      <c r="E2" s="3418" t="s">
        <v>669</v>
      </c>
      <c r="F2" s="1999" t="s">
        <v>1932</v>
      </c>
      <c r="G2" s="2000" t="str">
        <f>IF(E2="商业",项目基本情况!B37,IF(E2="办公",项目基本情况!C37,IF(E2="住宅",项目基本情况!D37,IF(E2="工业",项目基本情况!E37,项目基本情况!F37))))</f>
        <v>十一级</v>
      </c>
      <c r="H2" s="1999" t="s">
        <v>1933</v>
      </c>
      <c r="I2" s="2000" t="str">
        <f>IF(E2="商业",项目基本情况!B38,IF(E2="办公",项目基本情况!C38,IF(E2="住宅",项目基本情况!D38,IF(E2="工业",项目基本情况!E38,项目基本情况!F38))))</f>
        <v>Ⅺ-平4</v>
      </c>
      <c r="J2" s="2001"/>
      <c r="K2" s="1119"/>
      <c r="L2" s="2002" t="s">
        <v>1934</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1.5418000000000001</v>
      </c>
      <c r="T2" s="3357">
        <f t="shared" ref="T2:T16" si="0">ROUND($C$5*$C$22*$C$23*$C$24*S2*$C$28,0)</f>
        <v>3691</v>
      </c>
      <c r="U2" s="1213"/>
      <c r="V2" s="3357">
        <f>ROUND(T2*U2/10000,0)</f>
        <v>0</v>
      </c>
      <c r="W2" s="1216"/>
      <c r="X2" s="1216"/>
      <c r="Y2" s="1216"/>
      <c r="Z2" s="1216"/>
      <c r="AA2" s="1216"/>
      <c r="AB2" s="1216"/>
      <c r="AC2" s="1217"/>
      <c r="AD2" s="1218"/>
      <c r="AE2" s="1218"/>
      <c r="AF2" s="1218"/>
      <c r="AG2" s="1218"/>
      <c r="AH2" s="1218"/>
      <c r="AI2" s="1218"/>
      <c r="AJ2" s="1219"/>
    </row>
    <row r="3" spans="1:36" ht="15.75">
      <c r="A3" s="203" t="s">
        <v>1935</v>
      </c>
      <c r="B3" s="204">
        <f>ROUND(B2*10000/D1,0)</f>
        <v>2943</v>
      </c>
      <c r="C3" s="1998" t="s">
        <v>1936</v>
      </c>
      <c r="D3" s="1999" t="s">
        <v>1937</v>
      </c>
      <c r="E3" s="3416" t="s">
        <v>2438</v>
      </c>
      <c r="F3" s="2003" t="s">
        <v>3406</v>
      </c>
      <c r="G3" s="752">
        <f>IF(F3="宗地容积率",'数据-汇总表'!I4,IF(F3="估价对象容积率",'数据-汇总表'!I6,'数据-汇总表'!I7))</f>
        <v>1.01</v>
      </c>
      <c r="H3" s="170" t="s">
        <v>1938</v>
      </c>
      <c r="I3" s="775"/>
      <c r="J3" s="2001" t="s">
        <v>1939</v>
      </c>
      <c r="K3" s="1119"/>
      <c r="L3" s="2002" t="s">
        <v>1940</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1.1883999999999999</v>
      </c>
      <c r="T3" s="3357">
        <f t="shared" si="0"/>
        <v>2845</v>
      </c>
      <c r="U3" s="1213"/>
      <c r="V3" s="3357">
        <f t="shared" ref="V3:V16" si="1">ROUND(T3*U3/10000,0)</f>
        <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2" t="s">
        <v>1941</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0.96940000000000004</v>
      </c>
      <c r="T4" s="3357">
        <f t="shared" si="0"/>
        <v>2321</v>
      </c>
      <c r="U4" s="1213"/>
      <c r="V4" s="3357">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1942</v>
      </c>
      <c r="C5" s="753">
        <f>ROUND(IF(E2="商业",C6*C7*C17+C20,(IF(E2="住宅",C6*C13*C17+C20,IF(E2="办公",C6*C12*C17+C20,C6+C20)))),0)</f>
        <v>2437</v>
      </c>
      <c r="D5" s="1339">
        <f>ROUND(C6*C17+C20,0)</f>
        <v>2437</v>
      </c>
      <c r="E5" s="1339"/>
      <c r="F5" s="2006"/>
      <c r="G5" s="2007"/>
      <c r="H5" s="2007"/>
      <c r="I5" s="2007"/>
      <c r="J5" s="2008"/>
      <c r="K5" s="2009"/>
      <c r="L5" s="2002" t="s">
        <v>1943</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0.82299999999999995</v>
      </c>
      <c r="T5" s="3357">
        <f t="shared" si="0"/>
        <v>1970</v>
      </c>
      <c r="U5" s="1213"/>
      <c r="V5" s="3357">
        <f t="shared" si="1"/>
        <v>0</v>
      </c>
      <c r="W5" s="1216"/>
      <c r="X5" s="1216"/>
      <c r="Y5" s="1216"/>
      <c r="Z5" s="1216"/>
      <c r="AA5" s="1216"/>
      <c r="AB5" s="1216"/>
      <c r="AC5" s="2010"/>
      <c r="AD5" s="2011"/>
      <c r="AE5" s="2011"/>
      <c r="AF5" s="2011"/>
      <c r="AG5" s="2011"/>
      <c r="AH5" s="2011"/>
      <c r="AI5" s="2011"/>
      <c r="AJ5" s="2012"/>
    </row>
    <row r="6" spans="1:36" ht="15.75" thickBot="1">
      <c r="A6" s="2014" t="s">
        <v>1944</v>
      </c>
      <c r="B6" s="2015" t="s">
        <v>1945</v>
      </c>
      <c r="C6" s="754">
        <f>SUMIF(L1:L12,G2,M1:M12)</f>
        <v>2460</v>
      </c>
      <c r="D6" s="2016"/>
      <c r="E6" s="2017"/>
      <c r="F6" s="2017"/>
      <c r="G6" s="2018"/>
      <c r="H6" s="2018"/>
      <c r="I6" s="2018"/>
      <c r="J6" s="2019"/>
      <c r="K6" s="1384"/>
      <c r="L6" s="2002" t="s">
        <v>1946</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0.74980000000000002</v>
      </c>
      <c r="T6" s="3357">
        <f t="shared" si="0"/>
        <v>1795</v>
      </c>
      <c r="U6" s="1213"/>
      <c r="V6" s="3357">
        <f t="shared" si="1"/>
        <v>0</v>
      </c>
      <c r="W6" s="1216"/>
      <c r="X6" s="1216"/>
      <c r="Y6" s="1216"/>
      <c r="Z6" s="1216"/>
      <c r="AA6" s="1216"/>
      <c r="AB6" s="1216"/>
      <c r="AC6" s="2010"/>
      <c r="AD6" s="2011"/>
      <c r="AE6" s="2011"/>
      <c r="AF6" s="2011"/>
      <c r="AG6" s="2011"/>
      <c r="AH6" s="2011"/>
      <c r="AI6" s="2011"/>
      <c r="AJ6" s="2012"/>
    </row>
    <row r="7" spans="1:36" ht="24.75" thickBot="1">
      <c r="A7" s="3302" t="s">
        <v>3238</v>
      </c>
      <c r="B7" s="2020" t="s">
        <v>1947</v>
      </c>
      <c r="C7" s="755">
        <f>IF(C8="不临65条商业街",1,ROUND(1+(1.6*E8+1.2*E9+0.8*E10+0.4*E11)*C9,4))</f>
        <v>1</v>
      </c>
      <c r="D7" s="2021" t="s">
        <v>1948</v>
      </c>
      <c r="E7" s="776"/>
      <c r="F7" s="2022"/>
      <c r="G7" s="2023"/>
      <c r="H7" s="2023"/>
      <c r="I7" s="2023"/>
      <c r="J7" s="2024"/>
      <c r="K7" s="1384"/>
      <c r="L7" s="2002" t="s">
        <v>1949</v>
      </c>
      <c r="M7" s="864">
        <f>SUMPRODUCT((区片价!B190:B233=I2)*(区片价!C3:G3=E2)*(区片价!C190:G233))</f>
        <v>0</v>
      </c>
      <c r="N7" s="866">
        <f>SUMPRODUCT((因素修正幅度!B190:B233=I2)*(因素修正幅度!C3:G3=E2)*(因素修正幅度!C190:G233))</f>
        <v>0</v>
      </c>
      <c r="O7" s="1119"/>
      <c r="P7" s="1119"/>
      <c r="Q7" s="1119"/>
      <c r="R7" s="1212">
        <v>6</v>
      </c>
      <c r="S7" s="3415"/>
      <c r="T7" s="3357">
        <f t="shared" si="0"/>
        <v>0</v>
      </c>
      <c r="U7" s="1213"/>
      <c r="V7" s="3357">
        <f t="shared" si="1"/>
        <v>0</v>
      </c>
      <c r="W7" s="1358" t="s">
        <v>1950</v>
      </c>
      <c r="X7" s="1214" t="str">
        <f>G2</f>
        <v>十一级</v>
      </c>
      <c r="Y7" s="1214" t="s">
        <v>1951</v>
      </c>
      <c r="Z7" s="1215">
        <f>G3</f>
        <v>1.01</v>
      </c>
      <c r="AA7" s="1216"/>
      <c r="AB7" s="1216"/>
      <c r="AC7" s="1217"/>
      <c r="AD7" s="1218"/>
      <c r="AE7" s="1218"/>
      <c r="AF7" s="1218"/>
      <c r="AG7" s="1218"/>
      <c r="AH7" s="1218"/>
      <c r="AI7" s="1218"/>
      <c r="AJ7" s="1219"/>
    </row>
    <row r="8" spans="1:36" ht="25.5">
      <c r="A8" s="3297"/>
      <c r="B8" s="170" t="s">
        <v>1952</v>
      </c>
      <c r="C8" s="2025" t="s">
        <v>3407</v>
      </c>
      <c r="D8" s="756" t="s">
        <v>112</v>
      </c>
      <c r="E8" s="757" t="e">
        <f>ROUND(C11/E7,4)</f>
        <v>#DIV/0!</v>
      </c>
      <c r="F8" s="2026" t="s">
        <v>1953</v>
      </c>
      <c r="G8" s="2027"/>
      <c r="H8" s="2027"/>
      <c r="I8" s="2027"/>
      <c r="J8" s="2028"/>
      <c r="K8" s="1119"/>
      <c r="L8" s="2002" t="s">
        <v>1954</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60" t="s">
        <v>1955</v>
      </c>
      <c r="X8" s="3761"/>
      <c r="Y8" s="1220" t="s">
        <v>1956</v>
      </c>
      <c r="Z8" s="1220" t="s">
        <v>1957</v>
      </c>
      <c r="AA8" s="1220" t="s">
        <v>1958</v>
      </c>
      <c r="AB8" s="1220" t="s">
        <v>1959</v>
      </c>
      <c r="AC8" s="1220" t="s">
        <v>1960</v>
      </c>
      <c r="AD8" s="1220" t="s">
        <v>1961</v>
      </c>
      <c r="AE8" s="1220" t="s">
        <v>1962</v>
      </c>
      <c r="AF8" s="1220" t="s">
        <v>1963</v>
      </c>
      <c r="AG8" s="1220" t="s">
        <v>1964</v>
      </c>
      <c r="AH8" s="1220" t="s">
        <v>1965</v>
      </c>
      <c r="AI8" s="1220" t="s">
        <v>1966</v>
      </c>
      <c r="AJ8" s="1220" t="s">
        <v>1967</v>
      </c>
    </row>
    <row r="9" spans="1:36" ht="15">
      <c r="A9" s="3297"/>
      <c r="B9" s="170" t="s">
        <v>1968</v>
      </c>
      <c r="C9" s="758">
        <f>SUMIF(修正!C71:C138,C8,修正!E71:E138)</f>
        <v>0</v>
      </c>
      <c r="D9" s="171" t="s">
        <v>113</v>
      </c>
      <c r="E9" s="171" t="e">
        <f>ROUND(C11/E7,4)</f>
        <v>#DIV/0!</v>
      </c>
      <c r="F9" s="2026" t="s">
        <v>1969</v>
      </c>
      <c r="G9" s="2027"/>
      <c r="H9" s="2027"/>
      <c r="I9" s="2027"/>
      <c r="J9" s="2028"/>
      <c r="K9" s="1119"/>
      <c r="L9" s="2002" t="s">
        <v>1970</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62"/>
      <c r="X9" s="3358" t="s">
        <v>3268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7"/>
      <c r="B10" s="170" t="s">
        <v>1971</v>
      </c>
      <c r="C10" s="171">
        <f>SUMIF(修正!C71:C138,C8,修正!F71:F138)</f>
        <v>0</v>
      </c>
      <c r="D10" s="171" t="s">
        <v>114</v>
      </c>
      <c r="E10" s="171" t="e">
        <f>ROUND(C11/E7,4)</f>
        <v>#DIV/0!</v>
      </c>
      <c r="F10" s="2026" t="s">
        <v>1972</v>
      </c>
      <c r="G10" s="2027"/>
      <c r="H10" s="2027"/>
      <c r="I10" s="2027"/>
      <c r="J10" s="2028"/>
      <c r="K10" s="1119"/>
      <c r="L10" s="2002" t="s">
        <v>1973</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6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301"/>
      <c r="B11" s="2029" t="s">
        <v>1974</v>
      </c>
      <c r="C11" s="759">
        <f>C10/4</f>
        <v>0</v>
      </c>
      <c r="D11" s="759" t="s">
        <v>115</v>
      </c>
      <c r="E11" s="759" t="e">
        <f>ROUND(C11/E7,4)</f>
        <v>#DIV/0!</v>
      </c>
      <c r="F11" s="2030" t="s">
        <v>1975</v>
      </c>
      <c r="G11" s="2031"/>
      <c r="H11" s="2031"/>
      <c r="I11" s="2031"/>
      <c r="J11" s="2032"/>
      <c r="K11" s="1119"/>
      <c r="L11" s="2002" t="s">
        <v>1976</v>
      </c>
      <c r="M11" s="864">
        <f>SUMPRODUCT((区片价!B358:B377=I2)*(区片价!C3:G3=E2)*(区片价!C358:G377))</f>
        <v>2460</v>
      </c>
      <c r="N11" s="866">
        <f>SUMPRODUCT((因素修正幅度!B358:B377=I2)*(因素修正幅度!C3:G3=E2)*(因素修正幅度!C358:G377))</f>
        <v>0.15</v>
      </c>
      <c r="O11" s="1119"/>
      <c r="P11" s="1119"/>
      <c r="Q11" s="1119"/>
      <c r="R11" s="1212">
        <v>10</v>
      </c>
      <c r="S11" s="1213"/>
      <c r="T11" s="3357">
        <f t="shared" si="0"/>
        <v>0</v>
      </c>
      <c r="U11" s="1213"/>
      <c r="V11" s="3357">
        <f t="shared" si="1"/>
        <v>0</v>
      </c>
      <c r="W11" s="1216"/>
      <c r="X11" s="1216"/>
      <c r="Y11" s="1216"/>
      <c r="Z11" s="1216"/>
      <c r="AA11" s="1216"/>
      <c r="AB11" s="1216"/>
      <c r="AC11" s="1217"/>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8" t="s">
        <v>1979</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7"/>
      <c r="AE12" s="2787"/>
      <c r="AF12" s="2787"/>
      <c r="AG12" s="2787"/>
      <c r="AH12" s="2787"/>
      <c r="AI12" s="2787"/>
      <c r="AJ12" s="2788"/>
    </row>
    <row r="13" spans="1:36" ht="15.75" thickBot="1">
      <c r="A13" s="3302" t="s">
        <v>3243</v>
      </c>
      <c r="B13" s="2033" t="s">
        <v>1977</v>
      </c>
      <c r="C13" s="755">
        <f>ROUND(C16*D16*E16*F16*G16*H16*I16*J16,4)</f>
        <v>0</v>
      </c>
      <c r="D13" s="2034" t="s">
        <v>1978</v>
      </c>
      <c r="E13" s="2035"/>
      <c r="F13" s="2035"/>
      <c r="G13" s="2036"/>
      <c r="H13" s="2036"/>
      <c r="I13" s="2036"/>
      <c r="J13" s="2037"/>
      <c r="K13" s="1119"/>
      <c r="L13" s="3298"/>
      <c r="M13" s="3299"/>
      <c r="N13" s="3300"/>
      <c r="O13" s="1119"/>
      <c r="P13" s="1119"/>
      <c r="Q13" s="1119"/>
      <c r="R13" s="1212">
        <v>12</v>
      </c>
      <c r="S13" s="1213"/>
      <c r="T13" s="3357">
        <f t="shared" si="0"/>
        <v>0</v>
      </c>
      <c r="U13" s="1213"/>
      <c r="V13" s="3357">
        <f t="shared" si="1"/>
        <v>0</v>
      </c>
      <c r="W13" s="1216"/>
      <c r="X13" s="1216"/>
      <c r="Y13" s="1216"/>
      <c r="Z13" s="1216"/>
      <c r="AA13" s="1216"/>
      <c r="AB13" s="1216"/>
      <c r="AC13" s="1217"/>
      <c r="AD13" s="2787"/>
      <c r="AE13" s="2787"/>
      <c r="AF13" s="2787"/>
      <c r="AG13" s="2787"/>
      <c r="AH13" s="2787"/>
      <c r="AI13" s="2787"/>
      <c r="AJ13" s="2788"/>
    </row>
    <row r="14" spans="1:36" ht="15">
      <c r="A14" s="3296"/>
      <c r="B14" s="2039" t="s">
        <v>1980</v>
      </c>
      <c r="C14" s="2040" t="s">
        <v>1981</v>
      </c>
      <c r="D14" s="1350" t="s">
        <v>1982</v>
      </c>
      <c r="E14" s="27" t="s">
        <v>1983</v>
      </c>
      <c r="F14" s="3310" t="s">
        <v>3244</v>
      </c>
      <c r="G14" s="3310" t="s">
        <v>3244</v>
      </c>
      <c r="H14" s="3310" t="s">
        <v>3244</v>
      </c>
      <c r="I14" s="3310" t="s">
        <v>3244</v>
      </c>
      <c r="J14" s="3310" t="s">
        <v>3244</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7"/>
      <c r="AE14" s="2787"/>
      <c r="AF14" s="2787"/>
      <c r="AG14" s="2787"/>
      <c r="AH14" s="2787"/>
      <c r="AI14" s="2787"/>
      <c r="AJ14" s="2788"/>
    </row>
    <row r="15" spans="1:36" ht="15">
      <c r="A15" s="3296"/>
      <c r="B15" s="2041"/>
      <c r="C15" s="2042"/>
      <c r="D15" s="2043"/>
      <c r="E15" s="2044"/>
      <c r="F15" s="3311" t="s">
        <v>3245</v>
      </c>
      <c r="G15" s="3312"/>
      <c r="H15" s="3313"/>
      <c r="I15" s="3314"/>
      <c r="J15" s="3315"/>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1984</v>
      </c>
      <c r="C16" s="3316"/>
      <c r="D16" s="3316"/>
      <c r="E16" s="3316"/>
      <c r="F16" s="3316">
        <v>1</v>
      </c>
      <c r="G16" s="3316">
        <v>1</v>
      </c>
      <c r="H16" s="3316">
        <v>1</v>
      </c>
      <c r="I16" s="3316">
        <v>1</v>
      </c>
      <c r="J16" s="3317">
        <v>1</v>
      </c>
      <c r="K16" s="1119"/>
      <c r="L16" s="1996"/>
      <c r="M16" s="1996"/>
      <c r="N16" s="1996"/>
      <c r="O16" s="1996"/>
      <c r="P16" s="1996"/>
      <c r="Q16" s="1119"/>
      <c r="R16" s="1212">
        <v>15</v>
      </c>
      <c r="S16" s="1213"/>
      <c r="T16" s="3357">
        <f t="shared" si="0"/>
        <v>0</v>
      </c>
      <c r="U16" s="1213"/>
      <c r="V16" s="3357">
        <f t="shared" si="1"/>
        <v>0</v>
      </c>
      <c r="W16" s="1216"/>
      <c r="X16" s="1216"/>
      <c r="Y16" s="1216"/>
      <c r="Z16" s="1216"/>
      <c r="AA16" s="1216"/>
      <c r="AB16" s="1216"/>
      <c r="AC16" s="1217"/>
      <c r="AD16" s="2787"/>
      <c r="AE16" s="2787"/>
      <c r="AF16" s="2787"/>
      <c r="AG16" s="2787"/>
      <c r="AH16" s="2787"/>
      <c r="AI16" s="2787"/>
      <c r="AJ16" s="2788"/>
    </row>
    <row r="17" spans="1:37">
      <c r="A17" s="3326" t="s">
        <v>3246</v>
      </c>
      <c r="B17" s="3319" t="s">
        <v>3247</v>
      </c>
      <c r="C17" s="3327">
        <f>ROUND(IF(OR(E2="工业",E2="公共服务"),1,IF(AND(E18=0,E19=0),1,IF(AND(E18=J24,E19=G19),0.8,IF(E19=0,1+E17*(-0.2),1+E17*G17*(-0.2))))),4)</f>
        <v>1</v>
      </c>
      <c r="D17" s="3320" t="s">
        <v>3248</v>
      </c>
      <c r="E17" s="3327">
        <f>ROUND(G18/I18,2)</f>
        <v>0</v>
      </c>
      <c r="F17" s="3320" t="s">
        <v>3251</v>
      </c>
      <c r="G17" s="3327" t="e">
        <f>ROUND(E19/G19,2)</f>
        <v>#DIV/0!</v>
      </c>
      <c r="H17" s="3327"/>
      <c r="I17" s="3327"/>
      <c r="J17" s="3328"/>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9"/>
      <c r="B18" s="3008"/>
      <c r="C18" s="3324"/>
      <c r="D18" s="3321" t="s">
        <v>3249</v>
      </c>
      <c r="E18" s="3325"/>
      <c r="F18" s="3322" t="s">
        <v>3252</v>
      </c>
      <c r="G18" s="3324">
        <f>ROUND(1-(1/(POWER(1+G24,E18))),4)</f>
        <v>0</v>
      </c>
      <c r="H18" s="3322" t="s">
        <v>3254</v>
      </c>
      <c r="I18" s="3324">
        <f>ROUND(1-(1/(POWER(1+G24,J24))),4)</f>
        <v>0.88249999999999995</v>
      </c>
      <c r="J18" s="3330"/>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5" thickBot="1">
      <c r="A19" s="3331"/>
      <c r="B19" s="3332"/>
      <c r="C19" s="3333"/>
      <c r="D19" s="3333" t="s">
        <v>3250</v>
      </c>
      <c r="E19" s="3334"/>
      <c r="F19" s="3335" t="s">
        <v>3253</v>
      </c>
      <c r="G19" s="3334"/>
      <c r="H19" s="3333"/>
      <c r="I19" s="3333"/>
      <c r="J19" s="3336"/>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4.25">
      <c r="A20" s="3767" t="s">
        <v>3255</v>
      </c>
      <c r="B20" s="167" t="s">
        <v>1989</v>
      </c>
      <c r="C20" s="3323">
        <f>ROUND(IF(F21="与级别开发程度一致",0,(G21-E21)/C21),0)</f>
        <v>-23</v>
      </c>
      <c r="D20" s="3337" t="s">
        <v>1993</v>
      </c>
      <c r="E20" s="3338"/>
      <c r="F20" s="3773" t="s">
        <v>1990</v>
      </c>
      <c r="G20" s="3774"/>
      <c r="H20" s="3458" t="s">
        <v>3409</v>
      </c>
      <c r="I20" s="3458" t="s">
        <v>3410</v>
      </c>
      <c r="J20" s="3459" t="s">
        <v>3411</v>
      </c>
      <c r="K20" s="3460" t="s">
        <v>3412</v>
      </c>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6.25" thickBot="1">
      <c r="A21" s="3768"/>
      <c r="B21" s="2163" t="s">
        <v>1992</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3408</v>
      </c>
      <c r="G21" s="2156">
        <f>SUM(H21:O21)</f>
        <v>140</v>
      </c>
      <c r="H21" s="2164">
        <f>SUMPRODUCT((七通一平=H20)*(修正!B1:M1=G2)*(修正!B8:M16))</f>
        <v>60</v>
      </c>
      <c r="I21" s="2164">
        <f>SUMPRODUCT((七通一平=I20)*(修正!B1:M1=G2)*(修正!B8:M16))</f>
        <v>50</v>
      </c>
      <c r="J21" s="2165">
        <f>SUMPRODUCT((七通一平=J20)*(修正!B1:M1=G2)*(修正!B8:M16))</f>
        <v>20</v>
      </c>
      <c r="K21" s="2164">
        <f>SUMPRODUCT((七通一平=K20)*(修正!B1:M1=G2)*(修正!B8:M16))</f>
        <v>10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7" t="s">
        <v>363</v>
      </c>
      <c r="B22" s="2158" t="s">
        <v>1995</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9" t="s">
        <v>364</v>
      </c>
      <c r="B23" s="2050" t="s">
        <v>1996</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3" t="s">
        <v>1997</v>
      </c>
      <c r="E23" s="761">
        <v>44197</v>
      </c>
      <c r="F23" s="2053" t="s">
        <v>1998</v>
      </c>
      <c r="G23" s="762">
        <f>'数据-取费表'!B2</f>
        <v>45217</v>
      </c>
      <c r="H23" s="3339" t="s">
        <v>3256</v>
      </c>
      <c r="I23" s="3340" t="str">
        <f>IF(H23="季度增幅（自定义）",SUMIF(N25:N28,E2,O25:O28),"")</f>
        <v/>
      </c>
      <c r="J23" s="3442" t="s">
        <v>3413</v>
      </c>
      <c r="K23" s="1125"/>
      <c r="L23" s="2054" t="s">
        <v>1999</v>
      </c>
      <c r="M23" s="1328">
        <f>ROUND(SUMIF(地价!B2:G2,E2,地价!B16:G16),0)</f>
        <v>350</v>
      </c>
      <c r="N23" s="2055" t="s">
        <v>2000</v>
      </c>
      <c r="O23" s="763">
        <f>ROUNDDOWN(DATEDIF(E23,G23,"M")/3,0)</f>
        <v>11</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2001</v>
      </c>
      <c r="C24" s="764">
        <f>ROUND(POWER(1+G24,J24-I24)*(POWER(1+G24,I24)-1)/(POWER(1+G24,J24)-1),4)</f>
        <v>0.96389999999999998</v>
      </c>
      <c r="D24" s="2059" t="s">
        <v>2002</v>
      </c>
      <c r="E24" s="1335">
        <f>存贷款利率!E24/100</f>
        <v>4.3499999999999997E-2</v>
      </c>
      <c r="F24" s="2059" t="s">
        <v>1994</v>
      </c>
      <c r="G24" s="768">
        <f>SUMIF(M30:Q30,E2,M33:Q33)</f>
        <v>5.5E-2</v>
      </c>
      <c r="H24" s="2059" t="s">
        <v>2003</v>
      </c>
      <c r="I24" s="769">
        <f>SUMIF('数据-取费表'!C6:C15,E2,'数据-取费表'!F6:F15)/COUNTIF('数据-取费表'!C6:C15,E2)</f>
        <v>35.520000000000003</v>
      </c>
      <c r="J24" s="770">
        <f>IF(E2="住宅",70,IF(E2="商业",40,50))</f>
        <v>40</v>
      </c>
      <c r="K24" s="1125"/>
      <c r="L24" s="2060" t="s">
        <v>2004</v>
      </c>
      <c r="M24" s="1329">
        <f>ROUND(SUMPRODUCT((地价!A4:A16=YEAR(G23)&amp;"-"&amp;ROUNDUP(MONTH(G23)/3,0))*(地价!B2:G2=E2)*(地价!B4:G16)),0)</f>
        <v>0</v>
      </c>
      <c r="N24" s="2061" t="s">
        <v>2005</v>
      </c>
      <c r="O24" s="2062" t="s">
        <v>2006</v>
      </c>
      <c r="P24" s="2063" t="s">
        <v>2007</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4" t="s">
        <v>366</v>
      </c>
      <c r="B25" s="2065" t="s">
        <v>3335</v>
      </c>
      <c r="C25" s="771">
        <f>IF(B25="容积率修正",IF(G3&lt;10,D26,J26),C27)</f>
        <v>1.2290000000000001</v>
      </c>
      <c r="D25" s="2066"/>
      <c r="E25" s="2066"/>
      <c r="F25" s="2066"/>
      <c r="G25" s="2066"/>
      <c r="H25" s="2066"/>
      <c r="I25" s="2066"/>
      <c r="J25" s="2067"/>
      <c r="K25" s="1125"/>
      <c r="L25" s="2786"/>
      <c r="M25" s="2786"/>
      <c r="N25" s="2068" t="s">
        <v>2008</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2009</v>
      </c>
      <c r="B26" s="2069" t="s">
        <v>2010</v>
      </c>
      <c r="C26" s="3341" t="s">
        <v>3257</v>
      </c>
      <c r="D26" s="1352">
        <f>IF(E26=G26,F26,IF(G3&lt;10,ROUND(F26+(H26-F26)*(G3-E26)/(G26-E26),4),"——"))</f>
        <v>1.2290000000000001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2">
        <f>ROUNDUP(G3,1)</f>
        <v>1.1000000000000001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1.1899</v>
      </c>
      <c r="I26" s="3341" t="s">
        <v>3258</v>
      </c>
      <c r="J26" s="772" t="str">
        <f>IF(G3&gt;=10,D115,"——")</f>
        <v>——</v>
      </c>
      <c r="K26" s="1125"/>
      <c r="L26" s="2786"/>
      <c r="M26" s="2786"/>
      <c r="N26" s="2068" t="s">
        <v>2011</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2012</v>
      </c>
      <c r="B27" s="2070" t="s">
        <v>2013</v>
      </c>
      <c r="C27" s="841">
        <f>ROUND(IF(I3&lt;6,SUMPRODUCT((B106:B110=I3)*(C105:N105=G2)*(C106:N110)),SUMIF(C105:N105,G2,C112:N112)),4)</f>
        <v>0</v>
      </c>
      <c r="D27" s="2045"/>
      <c r="E27" s="2045"/>
      <c r="F27" s="2071"/>
      <c r="G27" s="2072"/>
      <c r="H27" s="2073"/>
      <c r="I27" s="2074"/>
      <c r="J27" s="2075"/>
      <c r="K27" s="1119"/>
      <c r="L27" s="1996"/>
      <c r="M27" s="1996"/>
      <c r="N27" s="2068" t="s">
        <v>2014</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2015</v>
      </c>
      <c r="C28" s="760">
        <f>SUMIF(A47:A101,E2,B47:B101)</f>
        <v>0.98040000000000005</v>
      </c>
      <c r="D28" s="2051"/>
      <c r="E28" s="2076"/>
      <c r="F28" s="2076"/>
      <c r="G28" s="2076"/>
      <c r="H28" s="2076"/>
      <c r="I28" s="2076"/>
      <c r="J28" s="2077"/>
      <c r="K28" s="1125"/>
      <c r="L28" s="2786"/>
      <c r="M28" s="2786"/>
      <c r="N28" s="2078" t="s">
        <v>2016</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2017</v>
      </c>
      <c r="C29" s="765"/>
      <c r="D29" s="2023"/>
      <c r="E29" s="2023"/>
      <c r="F29" s="2080"/>
      <c r="G29" s="2023"/>
      <c r="H29" s="2023"/>
      <c r="I29" s="2023"/>
      <c r="J29" s="2024"/>
      <c r="K29" s="1119"/>
      <c r="L29" s="1996"/>
      <c r="M29" s="1996"/>
      <c r="N29" s="2783" t="s">
        <v>2018</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2019</v>
      </c>
      <c r="C30" s="2320">
        <f>IF(B25="容积率修正",E33+SUM(E37:E42),SUM(V2:V16)+SUM(E37:E42))</f>
        <v>2256</v>
      </c>
      <c r="D30" s="2082"/>
      <c r="E30" s="2045"/>
      <c r="F30" s="2083"/>
      <c r="G30" s="2045"/>
      <c r="H30" s="2045"/>
      <c r="I30" s="2045"/>
      <c r="J30" s="2084"/>
      <c r="K30" s="1119"/>
      <c r="L30" s="3347" t="s">
        <v>1931</v>
      </c>
      <c r="M30" s="3348" t="s">
        <v>1985</v>
      </c>
      <c r="N30" s="3348" t="s">
        <v>1986</v>
      </c>
      <c r="O30" s="3348" t="s">
        <v>1987</v>
      </c>
      <c r="P30" s="3348" t="s">
        <v>1988</v>
      </c>
      <c r="Q30" s="3351"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2020</v>
      </c>
      <c r="C31" s="766">
        <f>E34+SUM(I37:I42)</f>
        <v>0</v>
      </c>
      <c r="D31" s="2086"/>
      <c r="E31" s="2087"/>
      <c r="F31" s="2088"/>
      <c r="G31" s="2087"/>
      <c r="H31" s="2087"/>
      <c r="I31" s="2087"/>
      <c r="J31" s="2089"/>
      <c r="K31" s="1119"/>
      <c r="L31" s="3349" t="s">
        <v>1991</v>
      </c>
      <c r="M31" s="1999">
        <v>0.25</v>
      </c>
      <c r="N31" s="1999">
        <v>0.2</v>
      </c>
      <c r="O31" s="1999">
        <v>0.15</v>
      </c>
      <c r="P31" s="1999">
        <v>0.1</v>
      </c>
      <c r="Q31" s="3344">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2021</v>
      </c>
      <c r="C32" s="2092" t="s">
        <v>2022</v>
      </c>
      <c r="D32" s="2092" t="s">
        <v>2023</v>
      </c>
      <c r="E32" s="2093" t="s">
        <v>2024</v>
      </c>
      <c r="F32" s="2094"/>
      <c r="G32" s="2036"/>
      <c r="H32" s="2036"/>
      <c r="I32" s="2036"/>
      <c r="J32" s="2037"/>
      <c r="K32" s="1119"/>
      <c r="L32" s="3350" t="s">
        <v>1994</v>
      </c>
      <c r="M32" s="2568">
        <f>ROUND($E$24*(1+M31),3)</f>
        <v>5.3999999999999999E-2</v>
      </c>
      <c r="N32" s="2568">
        <f>ROUND($E$24*(1+N31),3)</f>
        <v>5.1999999999999998E-2</v>
      </c>
      <c r="O32" s="2568">
        <f>ROUND($E$24*(1+O31),3)</f>
        <v>0.05</v>
      </c>
      <c r="P32" s="2568">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2025</v>
      </c>
      <c r="C33" s="175">
        <f>ROUND(C5*C22*C23*C24*C25*C28,0)</f>
        <v>2942</v>
      </c>
      <c r="D33" s="2097">
        <v>7666.58</v>
      </c>
      <c r="E33" s="773">
        <f>ROUND(C33*D33/10000,0)</f>
        <v>2256</v>
      </c>
      <c r="F33" s="3342" t="s">
        <v>3260</v>
      </c>
      <c r="G33" s="2098"/>
      <c r="H33" s="2098"/>
      <c r="I33" s="2098"/>
      <c r="J33" s="2099"/>
      <c r="K33" s="1119"/>
      <c r="L33" s="3345" t="s">
        <v>3263</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2026</v>
      </c>
      <c r="C34" s="187">
        <f>ROUND(IF(E2="工业",C33*M42,IF(B25="楼层修正",SUM(V2:V16)*M41*10000/D34,C33*M41)),0)</f>
        <v>736</v>
      </c>
      <c r="D34" s="2102"/>
      <c r="E34" s="773">
        <f>ROUND(IF(B25="楼层修正",SUM(V2:V16)*M40,C34*D34/10000),0)</f>
        <v>0</v>
      </c>
      <c r="F34" s="2103" t="s">
        <v>2027</v>
      </c>
      <c r="G34" s="2104"/>
      <c r="H34" s="2104"/>
      <c r="I34" s="2104"/>
      <c r="J34" s="2105"/>
      <c r="K34" s="1119"/>
      <c r="L34" s="3345" t="s">
        <v>3264</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2028</v>
      </c>
      <c r="C35" s="3343" t="s">
        <v>3261</v>
      </c>
      <c r="D35" s="2036"/>
      <c r="E35" s="2108"/>
      <c r="F35" s="2108"/>
      <c r="G35" s="2034" t="s">
        <v>2029</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2022</v>
      </c>
      <c r="D36" s="447" t="s">
        <v>2023</v>
      </c>
      <c r="E36" s="447" t="s">
        <v>2024</v>
      </c>
      <c r="F36" s="342" t="s">
        <v>2030</v>
      </c>
      <c r="G36" s="2111" t="s">
        <v>2022</v>
      </c>
      <c r="H36" s="2111" t="s">
        <v>2023</v>
      </c>
      <c r="I36" s="2111" t="s">
        <v>2024</v>
      </c>
      <c r="J36" s="243"/>
      <c r="K36" s="3353" t="s">
        <v>3265</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1"/>
      <c r="B37" s="2112" t="s">
        <v>2031</v>
      </c>
      <c r="C37" s="175">
        <f>ROUND(D5*C22*C23*C24*C28*F37,0)</f>
        <v>1197</v>
      </c>
      <c r="D37" s="2097"/>
      <c r="E37" s="171">
        <f>ROUND(C37*D37/10000,0)</f>
        <v>0</v>
      </c>
      <c r="F37" s="171">
        <f>SUMIF(修正!A57:A68,G2,修正!B57:B68)</f>
        <v>0.5</v>
      </c>
      <c r="G37" s="171">
        <f>ROUND(IF(E2="工业",C37*$M$42,C37*$M$41),0)</f>
        <v>299</v>
      </c>
      <c r="H37" s="171">
        <f>D37</f>
        <v>0</v>
      </c>
      <c r="I37" s="171">
        <f>ROUND(G37*H37/10000,0)</f>
        <v>0</v>
      </c>
      <c r="J37" s="3010"/>
      <c r="K37" s="3355" t="s">
        <v>3266</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2"/>
      <c r="B38" s="2040" t="s">
        <v>2032</v>
      </c>
      <c r="C38" s="175">
        <f>ROUND(D5*C22*C23*C24*C28*F38,0)</f>
        <v>479</v>
      </c>
      <c r="D38" s="2097"/>
      <c r="E38" s="171">
        <f t="shared" ref="E38:E42" si="4">ROUND(C38*D38/10000,0)</f>
        <v>0</v>
      </c>
      <c r="F38" s="171">
        <f>SUMIF(修正!A57:A68,G2,修正!C57:C68)</f>
        <v>0.2</v>
      </c>
      <c r="G38" s="171">
        <f>ROUND(IF(E2="工业",C38*$M$42,C38*$M$41),0)</f>
        <v>120</v>
      </c>
      <c r="H38" s="171">
        <f t="shared" ref="H38:H42" si="5">D38</f>
        <v>0</v>
      </c>
      <c r="I38" s="171">
        <f t="shared" ref="I38:I42" si="6">ROUND(G38*H38/10000,0)</f>
        <v>0</v>
      </c>
      <c r="J38" s="3009"/>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72"/>
      <c r="B39" s="2040" t="s">
        <v>3259</v>
      </c>
      <c r="C39" s="175">
        <f>ROUND(D5*C22*C23*C24*C28*F39,0)</f>
        <v>479</v>
      </c>
      <c r="D39" s="2097"/>
      <c r="E39" s="171">
        <f t="shared" si="4"/>
        <v>0</v>
      </c>
      <c r="F39" s="171">
        <f>SUMIF(修正!A57:A68,G2,修正!D57:D68)</f>
        <v>0.2</v>
      </c>
      <c r="G39" s="171">
        <f>ROUND(IF(E2="工业",C39*$M$42,C39*$M$41),0)</f>
        <v>120</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2033</v>
      </c>
      <c r="C40" s="171">
        <f>ROUND(D5*C22*C23*C24*C28*F40,0)</f>
        <v>479</v>
      </c>
      <c r="D40" s="2097"/>
      <c r="E40" s="171">
        <f t="shared" si="4"/>
        <v>0</v>
      </c>
      <c r="F40" s="175">
        <f>SUMIF(修正!A57:A68,G2,修正!E57:E68)</f>
        <v>0.2</v>
      </c>
      <c r="G40" s="171">
        <f>ROUND(IF(E2="工业",C40*$M$42,C40*$M$41),0)</f>
        <v>120</v>
      </c>
      <c r="H40" s="171">
        <f t="shared" si="5"/>
        <v>0</v>
      </c>
      <c r="I40" s="171">
        <f t="shared" si="6"/>
        <v>0</v>
      </c>
      <c r="J40" s="2113"/>
      <c r="L40" s="2115" t="s">
        <v>2034</v>
      </c>
      <c r="M40" s="2116"/>
      <c r="Z40" s="1120"/>
      <c r="AA40" s="1120"/>
      <c r="AB40" s="1120"/>
      <c r="AC40" s="1120"/>
      <c r="AD40" s="1120"/>
      <c r="AE40" s="1120"/>
      <c r="AF40" s="1120"/>
      <c r="AG40" s="1120"/>
      <c r="AH40" s="1120"/>
      <c r="AI40" s="1120"/>
      <c r="AJ40" s="1120"/>
    </row>
    <row r="41" spans="1:37" s="1119" customFormat="1">
      <c r="A41" s="2114"/>
      <c r="B41" s="2040" t="s">
        <v>2035</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6" t="s">
        <v>3267</v>
      </c>
      <c r="M41" s="2117">
        <v>0.25</v>
      </c>
      <c r="Z41" s="1120"/>
      <c r="AA41" s="1120"/>
      <c r="AB41" s="1120"/>
      <c r="AC41" s="1120"/>
      <c r="AD41" s="1120"/>
      <c r="AE41" s="1120"/>
      <c r="AF41" s="1120"/>
      <c r="AG41" s="1120"/>
      <c r="AH41" s="1120"/>
      <c r="AI41" s="1120"/>
      <c r="AJ41" s="1120"/>
    </row>
    <row r="42" spans="1:37" s="1119" customFormat="1" ht="13.5" thickBot="1">
      <c r="A42" s="2100"/>
      <c r="B42" s="2118" t="s">
        <v>2036</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1988</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2117</v>
      </c>
      <c r="C44" s="342">
        <f>ROUND(POWER(1+E44,H44-G44)*(POWER(1+E44,G44)-1)/(POWER(1+E44,H44)-1),4)</f>
        <v>0</v>
      </c>
      <c r="D44" s="171" t="s">
        <v>1994</v>
      </c>
      <c r="E44" s="2152">
        <f>G24</f>
        <v>5.5E-2</v>
      </c>
      <c r="F44" s="171" t="s">
        <v>2003</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2037</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2038</v>
      </c>
      <c r="B48" s="2126">
        <f>1+E50</f>
        <v>0.98040000000000005</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2039</v>
      </c>
      <c r="B49" s="1351" t="s">
        <v>2040</v>
      </c>
      <c r="C49" s="1351" t="s">
        <v>2041</v>
      </c>
      <c r="D49" s="1351" t="s">
        <v>2042</v>
      </c>
      <c r="E49" s="743" t="s">
        <v>2043</v>
      </c>
      <c r="F49" s="2130" t="s">
        <v>2044</v>
      </c>
      <c r="G49" s="1351" t="s">
        <v>310</v>
      </c>
      <c r="H49" s="2131" t="s">
        <v>2045</v>
      </c>
      <c r="I49" s="1351" t="s">
        <v>2046</v>
      </c>
      <c r="J49" s="552" t="s">
        <v>1716</v>
      </c>
      <c r="K49" s="552" t="s">
        <v>1717</v>
      </c>
      <c r="L49" s="552" t="s">
        <v>1718</v>
      </c>
      <c r="M49" s="552" t="s">
        <v>1719</v>
      </c>
      <c r="N49" s="552" t="s">
        <v>1720</v>
      </c>
      <c r="AA49" s="1120"/>
      <c r="AB49" s="1120"/>
      <c r="AC49" s="1120"/>
      <c r="AD49" s="1120"/>
      <c r="AE49" s="1120"/>
      <c r="AF49" s="1120"/>
      <c r="AG49" s="1120"/>
      <c r="AH49" s="1120"/>
      <c r="AI49" s="1120"/>
      <c r="AJ49" s="1120"/>
      <c r="AK49" s="1120"/>
    </row>
    <row r="50" spans="1:37" s="1119" customFormat="1" ht="38.25">
      <c r="A50" s="2129" t="s">
        <v>2047</v>
      </c>
      <c r="B50" s="2132" t="str">
        <f>估价对象房地状况!C4</f>
        <v>估价对象位于XX商圈，周边商业氛围成熟，人流量大，商业繁华度好</v>
      </c>
      <c r="C50" s="2043" t="s">
        <v>3414</v>
      </c>
      <c r="D50" s="1065">
        <f t="shared" ref="D50:D58" si="7">SUMIF($J$49:$N$49,C50,J50:N50)</f>
        <v>-2.2499999999999999E-2</v>
      </c>
      <c r="E50" s="744">
        <f>ROUND(SUM(D50:D58),4)</f>
        <v>-1.9599999999999999E-2</v>
      </c>
      <c r="F50" s="1813">
        <f>IF(E2="商业",SUMIF(L1:L12,G2,N1:N12),"——")</f>
        <v>0.15</v>
      </c>
      <c r="G50" s="1063">
        <v>2.2499999999999999E-2</v>
      </c>
      <c r="H50" s="1066">
        <f t="shared" ref="H50:H58" si="8">IFERROR(ROUNDDOWN($F$50*I50/2,4),"——")</f>
        <v>2.2499999999999999E-2</v>
      </c>
      <c r="I50" s="3363">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29" t="s">
        <v>2048</v>
      </c>
      <c r="B51" s="2133" t="str">
        <f>估价对象房地状况!C18</f>
        <v>估价对象周边道路状况、公共交通通达情况、停车便捷程度，综合评价交通便捷度较好</v>
      </c>
      <c r="C51" s="2043" t="s">
        <v>3414</v>
      </c>
      <c r="D51" s="1065">
        <f t="shared" si="7"/>
        <v>-1.6500000000000001E-2</v>
      </c>
      <c r="E51" s="745"/>
      <c r="F51" s="1813"/>
      <c r="G51" s="1063">
        <v>1.6500000000000001E-2</v>
      </c>
      <c r="H51" s="1066">
        <f t="shared" si="8"/>
        <v>1.6500000000000001E-2</v>
      </c>
      <c r="I51" s="3363">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5" t="s">
        <v>3269</v>
      </c>
      <c r="B52" s="2133">
        <f>估价对象房地状况!C19</f>
        <v>0</v>
      </c>
      <c r="C52" s="2043" t="s">
        <v>3415</v>
      </c>
      <c r="D52" s="1065">
        <f t="shared" si="7"/>
        <v>0</v>
      </c>
      <c r="E52" s="745"/>
      <c r="F52" s="1813"/>
      <c r="G52" s="1063">
        <v>8.9999999999999993E-3</v>
      </c>
      <c r="H52" s="1066">
        <f t="shared" si="8"/>
        <v>8.9999999999999993E-3</v>
      </c>
      <c r="I52" s="3363">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29" t="s">
        <v>2049</v>
      </c>
      <c r="B53" s="2134" t="s">
        <v>2050</v>
      </c>
      <c r="C53" s="2043" t="s">
        <v>3416</v>
      </c>
      <c r="D53" s="1065">
        <f t="shared" si="7"/>
        <v>3.7000000000000002E-3</v>
      </c>
      <c r="E53" s="745"/>
      <c r="F53" s="1813"/>
      <c r="G53" s="1063">
        <v>3.7000000000000002E-3</v>
      </c>
      <c r="H53" s="1066">
        <f t="shared" si="8"/>
        <v>3.7000000000000002E-3</v>
      </c>
      <c r="I53" s="3363">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29" t="s">
        <v>2051</v>
      </c>
      <c r="B54" s="2133">
        <f>估价对象房地状况!C24</f>
        <v>0</v>
      </c>
      <c r="C54" s="2043" t="s">
        <v>3415</v>
      </c>
      <c r="D54" s="1065">
        <f t="shared" si="7"/>
        <v>0</v>
      </c>
      <c r="E54" s="745"/>
      <c r="F54" s="1813"/>
      <c r="G54" s="1063">
        <v>6.0000000000000001E-3</v>
      </c>
      <c r="H54" s="1066">
        <f t="shared" si="8"/>
        <v>6.0000000000000001E-3</v>
      </c>
      <c r="I54" s="3363">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29" t="s">
        <v>2052</v>
      </c>
      <c r="B55" s="2135" t="s">
        <v>2053</v>
      </c>
      <c r="C55" s="2043" t="s">
        <v>3416</v>
      </c>
      <c r="D55" s="1065">
        <f t="shared" si="7"/>
        <v>3.7000000000000002E-3</v>
      </c>
      <c r="E55" s="745"/>
      <c r="F55" s="1813"/>
      <c r="G55" s="1063">
        <v>3.7000000000000002E-3</v>
      </c>
      <c r="H55" s="1066">
        <f t="shared" si="8"/>
        <v>3.7000000000000002E-3</v>
      </c>
      <c r="I55" s="3363">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6" t="s">
        <v>2054</v>
      </c>
      <c r="B56" s="1326" t="str">
        <f>估价对象房地状况!C21</f>
        <v>估价对象所在区域公共配套设施齐备情况</v>
      </c>
      <c r="C56" s="2043" t="s">
        <v>3414</v>
      </c>
      <c r="D56" s="1065">
        <f t="shared" si="7"/>
        <v>-3.7000000000000002E-3</v>
      </c>
      <c r="E56" s="745"/>
      <c r="F56" s="1813"/>
      <c r="G56" s="1063">
        <v>3.7000000000000002E-3</v>
      </c>
      <c r="H56" s="1066">
        <f t="shared" si="8"/>
        <v>3.7000000000000002E-3</v>
      </c>
      <c r="I56" s="3363">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6" t="s">
        <v>2055</v>
      </c>
      <c r="B57" s="2133" t="str">
        <f>估价对象房地状况!C22</f>
        <v>估价对象所在区域基础设施水平</v>
      </c>
      <c r="C57" s="2043" t="s">
        <v>3417</v>
      </c>
      <c r="D57" s="1065">
        <f t="shared" si="7"/>
        <v>1.2E-2</v>
      </c>
      <c r="E57" s="745"/>
      <c r="F57" s="1813"/>
      <c r="G57" s="1063">
        <v>6.0000000000000001E-3</v>
      </c>
      <c r="H57" s="1066">
        <f t="shared" si="8"/>
        <v>6.0000000000000001E-3</v>
      </c>
      <c r="I57" s="3363">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7" t="s">
        <v>2056</v>
      </c>
      <c r="B58" s="2138" t="str">
        <f>估价对象房地状况!C20</f>
        <v>区域自然环境：；人文环境；综合评价环境状况一般</v>
      </c>
      <c r="C58" s="2043" t="s">
        <v>3416</v>
      </c>
      <c r="D58" s="1065">
        <f t="shared" si="7"/>
        <v>3.7000000000000002E-3</v>
      </c>
      <c r="E58" s="746"/>
      <c r="F58" s="1813"/>
      <c r="G58" s="1063">
        <v>3.7000000000000002E-3</v>
      </c>
      <c r="H58" s="1066">
        <f t="shared" si="8"/>
        <v>3.7000000000000002E-3</v>
      </c>
      <c r="I58" s="3364">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5" t="s">
        <v>2057</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2039</v>
      </c>
      <c r="B60" s="1351"/>
      <c r="C60" s="1351" t="s">
        <v>2041</v>
      </c>
      <c r="D60" s="1351" t="s">
        <v>2042</v>
      </c>
      <c r="E60" s="743" t="s">
        <v>2043</v>
      </c>
      <c r="F60" s="2130" t="s">
        <v>2058</v>
      </c>
      <c r="G60" s="1351" t="s">
        <v>310</v>
      </c>
      <c r="H60" s="2131" t="s">
        <v>2045</v>
      </c>
      <c r="I60" s="1351" t="s">
        <v>2046</v>
      </c>
      <c r="J60" s="552" t="s">
        <v>1716</v>
      </c>
      <c r="K60" s="552" t="s">
        <v>1717</v>
      </c>
      <c r="L60" s="552" t="s">
        <v>1718</v>
      </c>
      <c r="M60" s="552" t="s">
        <v>1719</v>
      </c>
      <c r="N60" s="552" t="s">
        <v>1720</v>
      </c>
      <c r="AA60" s="1120"/>
      <c r="AB60" s="1120"/>
      <c r="AC60" s="1120"/>
      <c r="AD60" s="1120"/>
      <c r="AE60" s="1120"/>
      <c r="AF60" s="1120"/>
      <c r="AG60" s="1120"/>
      <c r="AH60" s="1120"/>
      <c r="AI60" s="1120"/>
      <c r="AJ60" s="1120"/>
      <c r="AK60" s="1120"/>
    </row>
    <row r="61" spans="1:37" s="1119" customFormat="1" ht="38.25">
      <c r="A61" s="2129" t="s">
        <v>2059</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2048</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3269</v>
      </c>
      <c r="B63" s="2133">
        <f>估价对象房地状况!C19</f>
        <v>0</v>
      </c>
      <c r="C63" s="2043"/>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2049</v>
      </c>
      <c r="B64" s="2134" t="s">
        <v>2050</v>
      </c>
      <c r="C64" s="2043"/>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2051</v>
      </c>
      <c r="B65" s="2133">
        <f>估价对象房地状况!C24</f>
        <v>0</v>
      </c>
      <c r="C65" s="2043"/>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2052</v>
      </c>
      <c r="B66" s="2135" t="s">
        <v>2053</v>
      </c>
      <c r="C66" s="2043"/>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2054</v>
      </c>
      <c r="B67" s="1326" t="str">
        <f>估价对象房地状况!C21</f>
        <v>估价对象所在区域公共配套设施齐备情况</v>
      </c>
      <c r="C67" s="2043"/>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2055</v>
      </c>
      <c r="B68" s="1326" t="str">
        <f>估价对象房地状况!C22</f>
        <v>估价对象所在区域基础设施水平</v>
      </c>
      <c r="C68" s="2043"/>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2056</v>
      </c>
      <c r="B69" s="2139" t="str">
        <f>估价对象房地状况!C20</f>
        <v>区域自然环境：；人文环境；综合评价环境状况一般</v>
      </c>
      <c r="C69" s="2043"/>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2060</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2039</v>
      </c>
      <c r="B71" s="1351"/>
      <c r="C71" s="1351" t="s">
        <v>2041</v>
      </c>
      <c r="D71" s="1351" t="s">
        <v>2042</v>
      </c>
      <c r="E71" s="743" t="s">
        <v>2043</v>
      </c>
      <c r="F71" s="2130" t="s">
        <v>2058</v>
      </c>
      <c r="G71" s="1351" t="s">
        <v>310</v>
      </c>
      <c r="H71" s="2131" t="s">
        <v>2045</v>
      </c>
      <c r="I71" s="1351" t="s">
        <v>2046</v>
      </c>
      <c r="J71" s="552" t="s">
        <v>1716</v>
      </c>
      <c r="K71" s="552" t="s">
        <v>1717</v>
      </c>
      <c r="L71" s="552" t="s">
        <v>1718</v>
      </c>
      <c r="M71" s="552" t="s">
        <v>1719</v>
      </c>
      <c r="N71" s="552" t="s">
        <v>1720</v>
      </c>
      <c r="AA71" s="1120"/>
      <c r="AB71" s="1120"/>
      <c r="AC71" s="1120"/>
      <c r="AD71" s="1120"/>
      <c r="AE71" s="1120"/>
      <c r="AF71" s="1120"/>
      <c r="AG71" s="1120"/>
      <c r="AH71" s="1120"/>
      <c r="AI71" s="1120"/>
      <c r="AJ71" s="1120"/>
      <c r="AK71" s="1120"/>
    </row>
    <row r="72" spans="1:37" s="1119" customFormat="1" ht="51">
      <c r="A72" s="2129" t="s">
        <v>2061</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2048</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5" t="s">
        <v>3269</v>
      </c>
      <c r="B74" s="2133">
        <f>估价对象房地状况!C19</f>
        <v>0</v>
      </c>
      <c r="C74" s="2043"/>
      <c r="D74" s="1065">
        <f t="shared" si="17"/>
        <v>0</v>
      </c>
      <c r="E74" s="747"/>
      <c r="F74" s="1813"/>
      <c r="G74" s="1063"/>
      <c r="H74" s="1066" t="str">
        <f t="shared" si="18"/>
        <v>——</v>
      </c>
      <c r="I74" s="336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2062</v>
      </c>
      <c r="B75" s="2133">
        <f>估价对象房地状况!C24</f>
        <v>0</v>
      </c>
      <c r="C75" s="2043"/>
      <c r="D75" s="1065">
        <f t="shared" si="17"/>
        <v>0</v>
      </c>
      <c r="E75" s="747"/>
      <c r="F75" s="1813"/>
      <c r="G75" s="1063"/>
      <c r="H75" s="1066" t="str">
        <f t="shared" si="18"/>
        <v>——</v>
      </c>
      <c r="I75" s="3363">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2054</v>
      </c>
      <c r="B76" s="1326" t="str">
        <f>估价对象房地状况!C21</f>
        <v>估价对象所在区域公共配套设施齐备情况</v>
      </c>
      <c r="C76" s="2043"/>
      <c r="D76" s="1065">
        <f t="shared" si="17"/>
        <v>0</v>
      </c>
      <c r="E76" s="747"/>
      <c r="F76" s="1813"/>
      <c r="G76" s="1063"/>
      <c r="H76" s="1066" t="str">
        <f t="shared" si="18"/>
        <v>——</v>
      </c>
      <c r="I76" s="3363">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2055</v>
      </c>
      <c r="B77" s="1326" t="str">
        <f>估价对象房地状况!C22</f>
        <v>估价对象所在区域基础设施水平</v>
      </c>
      <c r="C77" s="2043"/>
      <c r="D77" s="1065">
        <f t="shared" si="17"/>
        <v>0</v>
      </c>
      <c r="E77" s="747"/>
      <c r="F77" s="1813"/>
      <c r="G77" s="1063"/>
      <c r="H77" s="1066" t="str">
        <f t="shared" si="18"/>
        <v>——</v>
      </c>
      <c r="I77" s="3363">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2052</v>
      </c>
      <c r="B78" s="2135" t="s">
        <v>2053</v>
      </c>
      <c r="C78" s="2043"/>
      <c r="D78" s="1065">
        <f t="shared" si="17"/>
        <v>0</v>
      </c>
      <c r="E78" s="747"/>
      <c r="F78" s="1813"/>
      <c r="G78" s="1063"/>
      <c r="H78" s="1066" t="str">
        <f t="shared" si="18"/>
        <v>——</v>
      </c>
      <c r="I78" s="3363">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2056</v>
      </c>
      <c r="B79" s="2132" t="str">
        <f>估价对象房地状况!C20</f>
        <v>区域自然环境：；人文环境；综合评价环境状况一般</v>
      </c>
      <c r="C79" s="2043"/>
      <c r="D79" s="1065">
        <f t="shared" si="17"/>
        <v>0</v>
      </c>
      <c r="E79" s="747"/>
      <c r="F79" s="1813"/>
      <c r="G79" s="1063"/>
      <c r="H79" s="1066" t="str">
        <f t="shared" si="18"/>
        <v>——</v>
      </c>
      <c r="I79" s="3363">
        <v>0.12</v>
      </c>
      <c r="J79" s="1064">
        <f t="shared" si="19"/>
        <v>0</v>
      </c>
      <c r="K79" s="1064">
        <f t="shared" si="20"/>
        <v>0</v>
      </c>
      <c r="L79" s="1064">
        <v>0</v>
      </c>
      <c r="M79" s="1064">
        <f t="shared" si="21"/>
        <v>0</v>
      </c>
      <c r="N79" s="1064">
        <f t="shared" si="21"/>
        <v>0</v>
      </c>
      <c r="Z79" s="1997"/>
      <c r="AA79" s="2052"/>
      <c r="AG79" s="1121"/>
      <c r="AK79" s="2052"/>
    </row>
    <row r="80" spans="1:37" ht="24.75" thickBot="1">
      <c r="A80" s="2137" t="s">
        <v>2063</v>
      </c>
      <c r="B80" s="2141"/>
      <c r="C80" s="2043"/>
      <c r="D80" s="1065">
        <f t="shared" si="17"/>
        <v>0</v>
      </c>
      <c r="E80" s="748"/>
      <c r="F80" s="1813"/>
      <c r="G80" s="1063"/>
      <c r="H80" s="1066" t="str">
        <f t="shared" si="18"/>
        <v>——</v>
      </c>
      <c r="I80" s="3364">
        <v>0.05</v>
      </c>
      <c r="J80" s="1064">
        <f t="shared" si="19"/>
        <v>0</v>
      </c>
      <c r="K80" s="1064">
        <f t="shared" si="20"/>
        <v>0</v>
      </c>
      <c r="L80" s="1064">
        <v>0</v>
      </c>
      <c r="M80" s="1064">
        <f t="shared" si="21"/>
        <v>0</v>
      </c>
      <c r="N80" s="1064">
        <f t="shared" si="21"/>
        <v>0</v>
      </c>
      <c r="Z80" s="1997"/>
      <c r="AA80" s="2052"/>
      <c r="AG80" s="1121"/>
      <c r="AK80" s="2052"/>
    </row>
    <row r="81" spans="1:37" ht="15">
      <c r="A81" s="2125" t="s">
        <v>2064</v>
      </c>
      <c r="B81" s="2126">
        <f>1+E83</f>
        <v>1</v>
      </c>
      <c r="C81" s="741"/>
      <c r="D81" s="741"/>
      <c r="E81" s="742"/>
      <c r="F81" s="2128"/>
      <c r="G81" s="3"/>
      <c r="H81" s="3"/>
      <c r="I81" s="3"/>
      <c r="J81" s="4"/>
      <c r="K81" s="4"/>
      <c r="L81" s="4"/>
      <c r="M81" s="4"/>
      <c r="N81" s="4"/>
      <c r="Z81" s="1997"/>
      <c r="AA81" s="2052"/>
      <c r="AG81" s="1121"/>
      <c r="AK81" s="2052"/>
    </row>
    <row r="82" spans="1:37" ht="24.75">
      <c r="A82" s="2129" t="s">
        <v>2039</v>
      </c>
      <c r="B82" s="1351"/>
      <c r="C82" s="1351" t="s">
        <v>2041</v>
      </c>
      <c r="D82" s="1351" t="s">
        <v>2042</v>
      </c>
      <c r="E82" s="743" t="s">
        <v>2043</v>
      </c>
      <c r="F82" s="2130" t="s">
        <v>2058</v>
      </c>
      <c r="G82" s="1351" t="s">
        <v>310</v>
      </c>
      <c r="H82" s="2131" t="s">
        <v>2045</v>
      </c>
      <c r="I82" s="1351" t="s">
        <v>2046</v>
      </c>
      <c r="J82" s="552" t="s">
        <v>1716</v>
      </c>
      <c r="K82" s="552" t="s">
        <v>1717</v>
      </c>
      <c r="L82" s="552" t="s">
        <v>1718</v>
      </c>
      <c r="M82" s="552" t="s">
        <v>1719</v>
      </c>
      <c r="N82" s="552" t="s">
        <v>1720</v>
      </c>
      <c r="Z82" s="1997"/>
      <c r="AA82" s="2052"/>
      <c r="AG82" s="1121"/>
      <c r="AK82" s="2052"/>
    </row>
    <row r="83" spans="1:37" ht="38.25">
      <c r="A83" s="2129" t="s">
        <v>2065</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2048</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7"/>
      <c r="AA84" s="2052"/>
      <c r="AG84" s="1121"/>
      <c r="AK84" s="2052"/>
    </row>
    <row r="85" spans="1:37" ht="36">
      <c r="A85" s="3365" t="s">
        <v>3270</v>
      </c>
      <c r="B85" s="2133">
        <f>估价对象房地状况!G17</f>
        <v>0</v>
      </c>
      <c r="C85" s="2043"/>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7"/>
      <c r="AA85" s="2052"/>
      <c r="AG85" s="1121"/>
      <c r="AK85" s="2052"/>
    </row>
    <row r="86" spans="1:37" ht="14.25">
      <c r="A86" s="2129" t="s">
        <v>2062</v>
      </c>
      <c r="B86" s="2133">
        <f>估价对象房地状况!G22</f>
        <v>0</v>
      </c>
      <c r="C86" s="2043"/>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7"/>
      <c r="AA86" s="2052"/>
      <c r="AG86" s="1121"/>
      <c r="AK86" s="2052"/>
    </row>
    <row r="87" spans="1:37" ht="25.5">
      <c r="A87" s="2129" t="s">
        <v>2054</v>
      </c>
      <c r="B87" s="1326" t="str">
        <f>估价对象房地状况!G19</f>
        <v>估价对象所在区域公共配套设施齐备情况</v>
      </c>
      <c r="C87" s="2043"/>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c r="A88" s="2129" t="s">
        <v>2055</v>
      </c>
      <c r="B88" s="1326" t="str">
        <f>估价对象房地状况!G20</f>
        <v>估价对象所在区域基础设施水平</v>
      </c>
      <c r="C88" s="2043"/>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c r="A89" s="2129" t="s">
        <v>2052</v>
      </c>
      <c r="B89" s="2135" t="s">
        <v>2066</v>
      </c>
      <c r="C89" s="2043"/>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thickBot="1">
      <c r="A90" s="2137" t="s">
        <v>2067</v>
      </c>
      <c r="B90" s="2142" t="str">
        <f>估价对象房地状况!G18</f>
        <v>该园区内是否有污染型企业，绿化情况，卫生条件，整体环境状况判断</v>
      </c>
      <c r="C90" s="2043"/>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2611</v>
      </c>
      <c r="B91" s="3374">
        <f>1+E93</f>
        <v>1</v>
      </c>
      <c r="C91" s="3367"/>
      <c r="D91" s="3368"/>
      <c r="E91" s="1813"/>
      <c r="F91" s="1813"/>
      <c r="G91" s="3369"/>
      <c r="H91" s="3370"/>
      <c r="I91" s="3371"/>
      <c r="J91" s="3372"/>
      <c r="K91" s="3372"/>
      <c r="L91" s="3372"/>
      <c r="M91" s="3372"/>
      <c r="N91" s="3372"/>
    </row>
    <row r="92" spans="1:37" ht="24.75">
      <c r="A92" s="3375" t="s">
        <v>3271</v>
      </c>
      <c r="B92" s="3362"/>
      <c r="C92" s="3362" t="s">
        <v>3280</v>
      </c>
      <c r="D92" s="3362" t="s">
        <v>3281</v>
      </c>
      <c r="E92" s="3344" t="s">
        <v>3282</v>
      </c>
      <c r="F92" s="3377" t="s">
        <v>3283</v>
      </c>
      <c r="G92" s="3362" t="s">
        <v>3284</v>
      </c>
      <c r="H92" s="3384" t="s">
        <v>3287</v>
      </c>
      <c r="I92" s="3362" t="s">
        <v>3288</v>
      </c>
      <c r="J92" s="3385" t="s">
        <v>3289</v>
      </c>
      <c r="K92" s="3385" t="s">
        <v>3290</v>
      </c>
      <c r="L92" s="3385" t="s">
        <v>3291</v>
      </c>
      <c r="M92" s="3385" t="s">
        <v>3292</v>
      </c>
      <c r="N92" s="3385" t="s">
        <v>3293</v>
      </c>
    </row>
    <row r="93" spans="1:37" ht="24">
      <c r="A93" s="3365" t="s">
        <v>3272</v>
      </c>
      <c r="B93" s="1306"/>
      <c r="C93" s="2043"/>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3273</v>
      </c>
      <c r="B94" s="3366" t="str">
        <f>估价对象房地状况!C18</f>
        <v>估价对象周边道路状况、公共交通通达情况、停车便捷程度，综合评价交通便捷度较好</v>
      </c>
      <c r="C94" s="2043"/>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3269</v>
      </c>
      <c r="B95" s="3366">
        <f>估价对象房地状况!C19</f>
        <v>0</v>
      </c>
      <c r="C95" s="2043"/>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3274</v>
      </c>
      <c r="B96" s="3381" t="s">
        <v>3285</v>
      </c>
      <c r="C96" s="2043"/>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3275</v>
      </c>
      <c r="B97" s="3366">
        <f>估价对象房地状况!C24</f>
        <v>0</v>
      </c>
      <c r="C97" s="2043"/>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3276</v>
      </c>
      <c r="B98" s="3382" t="s">
        <v>3286</v>
      </c>
      <c r="C98" s="2043"/>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3277</v>
      </c>
      <c r="B99" s="3366" t="str">
        <f>估价对象房地状况!C21</f>
        <v>估价对象所在区域公共配套设施齐备情况</v>
      </c>
      <c r="C99" s="2043"/>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3278</v>
      </c>
      <c r="B100" s="3366" t="str">
        <f>估价对象房地状况!C22</f>
        <v>估价对象所在区域基础设施水平</v>
      </c>
      <c r="C100" s="2043"/>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3279</v>
      </c>
      <c r="B101" s="3383" t="str">
        <f>估价对象房地状况!C20</f>
        <v>区域自然环境：；人文环境；综合评价环境状况一般</v>
      </c>
      <c r="C101" s="2043"/>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69" t="s">
        <v>3294</v>
      </c>
      <c r="B103" s="3769"/>
      <c r="C103" s="3769"/>
      <c r="D103" s="3769"/>
      <c r="E103" s="3769"/>
      <c r="F103" s="3769"/>
      <c r="G103" s="3769"/>
      <c r="H103" s="3769"/>
      <c r="I103" s="3769"/>
      <c r="J103" s="3769"/>
      <c r="K103" s="3386"/>
      <c r="L103" s="3386"/>
      <c r="M103" s="3386"/>
      <c r="N103" s="3386"/>
    </row>
    <row r="104" spans="1:14">
      <c r="A104" s="3770" t="s">
        <v>3295</v>
      </c>
      <c r="B104" s="3770" t="s">
        <v>3296</v>
      </c>
      <c r="C104" s="3387" t="s">
        <v>3297</v>
      </c>
      <c r="D104" s="3388"/>
      <c r="E104" s="3388"/>
      <c r="F104" s="3388"/>
      <c r="G104" s="3388"/>
      <c r="H104" s="3388"/>
      <c r="I104" s="3388"/>
      <c r="J104" s="3389"/>
      <c r="K104" s="3390"/>
      <c r="L104" s="3390"/>
      <c r="M104" s="3390"/>
      <c r="N104" s="3390"/>
    </row>
    <row r="105" spans="1:14">
      <c r="A105" s="3770"/>
      <c r="B105" s="3770"/>
      <c r="C105" s="3391" t="s">
        <v>3298</v>
      </c>
      <c r="D105" s="3391" t="s">
        <v>3299</v>
      </c>
      <c r="E105" s="3391" t="s">
        <v>3300</v>
      </c>
      <c r="F105" s="3391" t="s">
        <v>3301</v>
      </c>
      <c r="G105" s="3391" t="s">
        <v>3302</v>
      </c>
      <c r="H105" s="3391" t="s">
        <v>3303</v>
      </c>
      <c r="I105" s="3391" t="s">
        <v>3304</v>
      </c>
      <c r="J105" s="3391" t="s">
        <v>3305</v>
      </c>
      <c r="K105" s="3391" t="s">
        <v>3306</v>
      </c>
      <c r="L105" s="3391" t="s">
        <v>3307</v>
      </c>
      <c r="M105" s="3391" t="s">
        <v>3308</v>
      </c>
      <c r="N105" s="3391" t="s">
        <v>3309</v>
      </c>
    </row>
    <row r="106" spans="1:14">
      <c r="A106" s="3756" t="s">
        <v>3310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5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5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5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5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57"/>
      <c r="B111" s="3391" t="s">
        <v>3268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58"/>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59" t="s">
        <v>3311</v>
      </c>
      <c r="B113" s="3759"/>
      <c r="C113" s="3759"/>
      <c r="D113" s="3759"/>
      <c r="E113" s="3759"/>
      <c r="F113" s="3759"/>
      <c r="G113" s="3759"/>
      <c r="H113" s="3759"/>
      <c r="I113" s="3759"/>
      <c r="J113" s="375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3312</v>
      </c>
      <c r="B116" s="3412">
        <f>G3</f>
        <v>1.01</v>
      </c>
      <c r="C116" s="3396" t="s">
        <v>3313</v>
      </c>
      <c r="D116" s="3397">
        <f>SUMPRODUCT((A118:A122=F116)*(B117:M117=H116)*B118:M122)</f>
        <v>0.83040000000000003</v>
      </c>
      <c r="E116" s="1999" t="s">
        <v>3314</v>
      </c>
      <c r="F116" s="3398" t="str">
        <f>E2</f>
        <v>商业</v>
      </c>
      <c r="G116" s="1999" t="s">
        <v>3315</v>
      </c>
      <c r="H116" s="3398" t="str">
        <f>G2</f>
        <v>十一级</v>
      </c>
      <c r="I116" s="1999"/>
      <c r="J116" s="3399"/>
      <c r="K116" s="3399"/>
      <c r="L116" s="3399"/>
      <c r="M116" s="3399"/>
      <c r="N116" s="3394"/>
    </row>
    <row r="117" spans="1:14">
      <c r="A117" s="3400"/>
      <c r="B117" s="3401" t="s">
        <v>3316</v>
      </c>
      <c r="C117" s="3401" t="s">
        <v>3317</v>
      </c>
      <c r="D117" s="3401" t="s">
        <v>3318</v>
      </c>
      <c r="E117" s="3402" t="s">
        <v>3319</v>
      </c>
      <c r="F117" s="3402" t="s">
        <v>3320</v>
      </c>
      <c r="G117" s="3402" t="s">
        <v>3321</v>
      </c>
      <c r="H117" s="3403" t="s">
        <v>3322</v>
      </c>
      <c r="I117" s="3403" t="s">
        <v>3323</v>
      </c>
      <c r="J117" s="3404" t="s">
        <v>3324</v>
      </c>
      <c r="K117" s="3404" t="s">
        <v>3325</v>
      </c>
      <c r="L117" s="3404" t="s">
        <v>3326</v>
      </c>
      <c r="M117" s="3405" t="s">
        <v>3327</v>
      </c>
      <c r="N117" s="3394"/>
    </row>
    <row r="118" spans="1:14">
      <c r="A118" s="3406" t="s">
        <v>3328</v>
      </c>
      <c r="B118" s="3384">
        <f>ROUND(0.9968-0.011*B116,4)</f>
        <v>0.98570000000000002</v>
      </c>
      <c r="C118" s="3384">
        <f>B118</f>
        <v>0.98570000000000002</v>
      </c>
      <c r="D118" s="3384">
        <f>ROUND(0.949-0.014*B116,4)</f>
        <v>0.93489999999999995</v>
      </c>
      <c r="E118" s="3384">
        <f>D118</f>
        <v>0.93489999999999995</v>
      </c>
      <c r="F118" s="3384">
        <f>E118</f>
        <v>0.93489999999999995</v>
      </c>
      <c r="G118" s="3384">
        <f>F118</f>
        <v>0.93489999999999995</v>
      </c>
      <c r="H118" s="3384">
        <f>G118</f>
        <v>0.93489999999999995</v>
      </c>
      <c r="I118" s="3384">
        <f>ROUND(0.8486-0.018*B116,4)</f>
        <v>0.83040000000000003</v>
      </c>
      <c r="J118" s="3384">
        <f t="shared" ref="J118:M122" si="35">I118</f>
        <v>0.83040000000000003</v>
      </c>
      <c r="K118" s="3384">
        <f t="shared" si="35"/>
        <v>0.83040000000000003</v>
      </c>
      <c r="L118" s="3384">
        <f t="shared" si="35"/>
        <v>0.83040000000000003</v>
      </c>
      <c r="M118" s="3407">
        <f t="shared" si="35"/>
        <v>0.83040000000000003</v>
      </c>
      <c r="N118" s="3394"/>
    </row>
    <row r="119" spans="1:14">
      <c r="A119" s="3406" t="s">
        <v>3329</v>
      </c>
      <c r="B119" s="3384">
        <f>ROUND(0.993-0.0112*B116,4)</f>
        <v>0.98170000000000002</v>
      </c>
      <c r="C119" s="3384">
        <f>B119</f>
        <v>0.98170000000000002</v>
      </c>
      <c r="D119" s="3384">
        <f>ROUND(0.9415-0.0142*B116,4)</f>
        <v>0.92720000000000002</v>
      </c>
      <c r="E119" s="3384">
        <f t="shared" ref="E119:H120" si="36">D119</f>
        <v>0.92720000000000002</v>
      </c>
      <c r="F119" s="3384">
        <f t="shared" si="36"/>
        <v>0.92720000000000002</v>
      </c>
      <c r="G119" s="3384">
        <f t="shared" si="36"/>
        <v>0.92720000000000002</v>
      </c>
      <c r="H119" s="3384">
        <f t="shared" si="36"/>
        <v>0.92720000000000002</v>
      </c>
      <c r="I119" s="3384">
        <f>ROUND(0.838-0.0182*B116,4)</f>
        <v>0.8196</v>
      </c>
      <c r="J119" s="3384">
        <f t="shared" si="35"/>
        <v>0.8196</v>
      </c>
      <c r="K119" s="3384">
        <f t="shared" si="35"/>
        <v>0.8196</v>
      </c>
      <c r="L119" s="3384">
        <f t="shared" si="35"/>
        <v>0.8196</v>
      </c>
      <c r="M119" s="3407">
        <f t="shared" si="35"/>
        <v>0.8196</v>
      </c>
      <c r="N119" s="3394"/>
    </row>
    <row r="120" spans="1:14">
      <c r="A120" s="3406" t="s">
        <v>3330</v>
      </c>
      <c r="B120" s="3384">
        <f>ROUND(0.9448-0.0115*B116,4)</f>
        <v>0.93320000000000003</v>
      </c>
      <c r="C120" s="3384">
        <f>B120</f>
        <v>0.93320000000000003</v>
      </c>
      <c r="D120" s="3384">
        <f>ROUND(0.937-0.0145*B116,4)</f>
        <v>0.9224</v>
      </c>
      <c r="E120" s="3384">
        <f t="shared" si="36"/>
        <v>0.9224</v>
      </c>
      <c r="F120" s="3384">
        <f t="shared" si="36"/>
        <v>0.9224</v>
      </c>
      <c r="G120" s="3384">
        <f t="shared" si="36"/>
        <v>0.9224</v>
      </c>
      <c r="H120" s="3384">
        <f t="shared" si="36"/>
        <v>0.9224</v>
      </c>
      <c r="I120" s="3384">
        <f>ROUND(0.7965-0.0185*B116,4)</f>
        <v>0.77780000000000005</v>
      </c>
      <c r="J120" s="3384">
        <f t="shared" si="35"/>
        <v>0.77780000000000005</v>
      </c>
      <c r="K120" s="3384">
        <f t="shared" si="35"/>
        <v>0.77780000000000005</v>
      </c>
      <c r="L120" s="3384">
        <f t="shared" si="35"/>
        <v>0.77780000000000005</v>
      </c>
      <c r="M120" s="3407">
        <f t="shared" si="35"/>
        <v>0.77780000000000005</v>
      </c>
      <c r="N120" s="3394"/>
    </row>
    <row r="121" spans="1:14" ht="13.5" thickBot="1">
      <c r="A121" s="3408" t="s">
        <v>3331</v>
      </c>
      <c r="B121" s="3409">
        <f>ROUND(0.7836-0.012*B116,4)</f>
        <v>0.77149999999999996</v>
      </c>
      <c r="C121" s="3409">
        <f>B121</f>
        <v>0.77149999999999996</v>
      </c>
      <c r="D121" s="3409">
        <f>ROUND(0.753-0.015*B116,4)</f>
        <v>0.7379</v>
      </c>
      <c r="E121" s="3409">
        <f>D121</f>
        <v>0.7379</v>
      </c>
      <c r="F121" s="3409">
        <f>E121</f>
        <v>0.7379</v>
      </c>
      <c r="G121" s="3409">
        <f>ROUND(0.6612-0.018*B116,4)</f>
        <v>0.64300000000000002</v>
      </c>
      <c r="H121" s="3409">
        <f>G121</f>
        <v>0.64300000000000002</v>
      </c>
      <c r="I121" s="3409">
        <f>ROUND(0.5905-0.019*B116,4)</f>
        <v>0.57130000000000003</v>
      </c>
      <c r="J121" s="3409">
        <f t="shared" si="35"/>
        <v>0.57130000000000003</v>
      </c>
      <c r="K121" s="3409">
        <f t="shared" si="35"/>
        <v>0.57130000000000003</v>
      </c>
      <c r="L121" s="3409">
        <f t="shared" si="35"/>
        <v>0.57130000000000003</v>
      </c>
      <c r="M121" s="3410">
        <f t="shared" si="35"/>
        <v>0.57130000000000003</v>
      </c>
      <c r="N121" s="3394"/>
    </row>
    <row r="122" spans="1:14">
      <c r="A122" s="3411" t="s">
        <v>2611</v>
      </c>
      <c r="B122" s="3384">
        <f>ROUND(0.9404-0.0106*B116,4)</f>
        <v>0.92969999999999997</v>
      </c>
      <c r="C122" s="3384">
        <f>B122</f>
        <v>0.92969999999999997</v>
      </c>
      <c r="D122" s="3384">
        <f>ROUND(0.8955-0.0135*B116,4)</f>
        <v>0.88190000000000002</v>
      </c>
      <c r="E122" s="3384">
        <f t="shared" ref="E122:H122" si="37">D122</f>
        <v>0.88190000000000002</v>
      </c>
      <c r="F122" s="3384">
        <f t="shared" si="37"/>
        <v>0.88190000000000002</v>
      </c>
      <c r="G122" s="3384">
        <f t="shared" si="37"/>
        <v>0.88190000000000002</v>
      </c>
      <c r="H122" s="3384">
        <f t="shared" si="37"/>
        <v>0.88190000000000002</v>
      </c>
      <c r="I122" s="3384">
        <f>ROUND(0.7632-0.0166*B116,4)</f>
        <v>0.74639999999999995</v>
      </c>
      <c r="J122" s="3384">
        <f t="shared" si="35"/>
        <v>0.74639999999999995</v>
      </c>
      <c r="K122" s="3384">
        <f t="shared" si="35"/>
        <v>0.74639999999999995</v>
      </c>
      <c r="L122" s="3384">
        <f t="shared" si="35"/>
        <v>0.74639999999999995</v>
      </c>
      <c r="M122" s="3407">
        <f t="shared" si="35"/>
        <v>0.74639999999999995</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782" t="s">
        <v>2606</v>
      </c>
      <c r="B20" s="3775" t="s">
        <v>2627</v>
      </c>
      <c r="C20" s="3101" t="s">
        <v>2438</v>
      </c>
      <c r="D20" s="3102"/>
      <c r="E20" s="3103">
        <v>1</v>
      </c>
      <c r="F20" s="3104" t="s">
        <v>2439</v>
      </c>
      <c r="G20" s="3104"/>
    </row>
    <row r="21" spans="1:13" ht="19.5" customHeight="1">
      <c r="A21" s="3783"/>
      <c r="B21" s="3776"/>
      <c r="C21" s="3105" t="s">
        <v>2440</v>
      </c>
      <c r="D21" s="3106"/>
      <c r="E21" s="3107">
        <v>1</v>
      </c>
      <c r="F21" s="3104" t="s">
        <v>2441</v>
      </c>
      <c r="G21" s="3104"/>
    </row>
    <row r="22" spans="1:13" ht="19.5" customHeight="1">
      <c r="A22" s="3783"/>
      <c r="B22" s="3776"/>
      <c r="C22" s="3105" t="s">
        <v>2442</v>
      </c>
      <c r="D22" s="3106"/>
      <c r="E22" s="3107">
        <v>0.9</v>
      </c>
      <c r="F22" s="3104" t="s">
        <v>2443</v>
      </c>
      <c r="G22" s="3104"/>
    </row>
    <row r="23" spans="1:13" ht="19.5" customHeight="1">
      <c r="A23" s="3783"/>
      <c r="B23" s="3776"/>
      <c r="C23" s="3105" t="s">
        <v>2444</v>
      </c>
      <c r="D23" s="3106"/>
      <c r="E23" s="3107">
        <v>0.9</v>
      </c>
      <c r="F23" s="3104" t="s">
        <v>2445</v>
      </c>
      <c r="G23" s="3104"/>
    </row>
    <row r="24" spans="1:13" ht="19.5" customHeight="1">
      <c r="A24" s="3783"/>
      <c r="B24" s="3776"/>
      <c r="C24" s="3105" t="s">
        <v>2446</v>
      </c>
      <c r="D24" s="3106"/>
      <c r="E24" s="3107">
        <v>0.8</v>
      </c>
      <c r="F24" s="3104" t="s">
        <v>2447</v>
      </c>
      <c r="G24" s="3104"/>
    </row>
    <row r="25" spans="1:13" ht="19.5" customHeight="1" thickBot="1">
      <c r="A25" s="3784"/>
      <c r="B25" s="3777"/>
      <c r="C25" s="3108" t="s">
        <v>2448</v>
      </c>
      <c r="D25" s="3109"/>
      <c r="E25" s="3110">
        <v>0.8</v>
      </c>
      <c r="F25" s="3104" t="s">
        <v>2449</v>
      </c>
      <c r="G25" s="3104"/>
    </row>
    <row r="26" spans="1:13" ht="19.5" customHeight="1" thickBot="1">
      <c r="A26" s="3111" t="s">
        <v>2628</v>
      </c>
      <c r="B26" s="3112" t="s">
        <v>2627</v>
      </c>
      <c r="C26" s="3113" t="s">
        <v>2629</v>
      </c>
      <c r="D26" s="3114"/>
      <c r="E26" s="3115">
        <v>1</v>
      </c>
      <c r="F26" s="3104" t="s">
        <v>2450</v>
      </c>
      <c r="G26" s="3104"/>
    </row>
    <row r="27" spans="1:13" ht="19.5" customHeight="1">
      <c r="A27" s="3778" t="s">
        <v>2630</v>
      </c>
      <c r="B27" s="3775" t="s">
        <v>2611</v>
      </c>
      <c r="C27" s="3101" t="s">
        <v>2451</v>
      </c>
      <c r="D27" s="3102"/>
      <c r="E27" s="3103">
        <v>1</v>
      </c>
      <c r="F27" s="3104" t="s">
        <v>2452</v>
      </c>
      <c r="G27" s="3104"/>
    </row>
    <row r="28" spans="1:13" ht="19.5" customHeight="1">
      <c r="A28" s="3779"/>
      <c r="B28" s="3776"/>
      <c r="C28" s="3105" t="s">
        <v>2453</v>
      </c>
      <c r="D28" s="3106"/>
      <c r="E28" s="3107">
        <v>1</v>
      </c>
      <c r="F28" s="3104" t="s">
        <v>2454</v>
      </c>
      <c r="G28" s="3104"/>
    </row>
    <row r="29" spans="1:13" ht="19.5" customHeight="1">
      <c r="A29" s="3779"/>
      <c r="B29" s="3776"/>
      <c r="C29" s="3105" t="s">
        <v>2455</v>
      </c>
      <c r="D29" s="3106"/>
      <c r="E29" s="3107">
        <v>0.8</v>
      </c>
      <c r="F29" s="3104" t="s">
        <v>2456</v>
      </c>
      <c r="G29" s="3104"/>
    </row>
    <row r="30" spans="1:13" ht="19.5" customHeight="1">
      <c r="A30" s="3779"/>
      <c r="B30" s="3776"/>
      <c r="C30" s="3105" t="s">
        <v>2457</v>
      </c>
      <c r="D30" s="3106"/>
      <c r="E30" s="3107">
        <v>0.8</v>
      </c>
      <c r="F30" s="3104" t="s">
        <v>2458</v>
      </c>
      <c r="G30" s="3104"/>
    </row>
    <row r="31" spans="1:13" ht="19.5" customHeight="1">
      <c r="A31" s="3779"/>
      <c r="B31" s="3776"/>
      <c r="C31" s="3105" t="s">
        <v>2459</v>
      </c>
      <c r="D31" s="3106"/>
      <c r="E31" s="3107">
        <v>0.8</v>
      </c>
      <c r="F31" s="3104" t="s">
        <v>2460</v>
      </c>
      <c r="G31" s="3104"/>
    </row>
    <row r="32" spans="1:13" ht="19.5" customHeight="1">
      <c r="A32" s="3779"/>
      <c r="B32" s="3776"/>
      <c r="C32" s="3105" t="s">
        <v>2461</v>
      </c>
      <c r="D32" s="3106"/>
      <c r="E32" s="3107">
        <v>0.7</v>
      </c>
      <c r="F32" s="3104" t="s">
        <v>2462</v>
      </c>
      <c r="G32" s="3104"/>
    </row>
    <row r="33" spans="1:7" ht="19.5" customHeight="1">
      <c r="A33" s="3779"/>
      <c r="B33" s="3776"/>
      <c r="C33" s="3105" t="s">
        <v>2463</v>
      </c>
      <c r="D33" s="3106"/>
      <c r="E33" s="3107">
        <v>0.8</v>
      </c>
      <c r="F33" s="3104" t="s">
        <v>2464</v>
      </c>
      <c r="G33" s="3104"/>
    </row>
    <row r="34" spans="1:7" ht="19.5" customHeight="1">
      <c r="A34" s="3779"/>
      <c r="B34" s="3776"/>
      <c r="C34" s="3105" t="s">
        <v>2465</v>
      </c>
      <c r="D34" s="3106"/>
      <c r="E34" s="3107">
        <v>0.6</v>
      </c>
      <c r="F34" s="3104" t="s">
        <v>2466</v>
      </c>
      <c r="G34" s="3104"/>
    </row>
    <row r="35" spans="1:7" ht="19.5" customHeight="1">
      <c r="A35" s="3779"/>
      <c r="B35" s="3776"/>
      <c r="C35" s="3105" t="s">
        <v>2467</v>
      </c>
      <c r="D35" s="3106"/>
      <c r="E35" s="3107">
        <v>0.2</v>
      </c>
      <c r="F35" s="3104" t="s">
        <v>2468</v>
      </c>
      <c r="G35" s="3104"/>
    </row>
    <row r="36" spans="1:7" ht="19.5" customHeight="1">
      <c r="A36" s="3779"/>
      <c r="B36" s="3776"/>
      <c r="C36" s="3105" t="s">
        <v>2469</v>
      </c>
      <c r="D36" s="3106"/>
      <c r="E36" s="3107">
        <v>0.2</v>
      </c>
      <c r="F36" s="3104" t="s">
        <v>2470</v>
      </c>
      <c r="G36" s="3104"/>
    </row>
    <row r="37" spans="1:7" ht="19.5" customHeight="1">
      <c r="A37" s="3779"/>
      <c r="B37" s="3781" t="s">
        <v>2631</v>
      </c>
      <c r="C37" s="3105" t="s">
        <v>2471</v>
      </c>
      <c r="D37" s="3106"/>
      <c r="E37" s="3107">
        <v>0.6</v>
      </c>
      <c r="F37" s="3104" t="s">
        <v>2472</v>
      </c>
      <c r="G37" s="3104"/>
    </row>
    <row r="38" spans="1:7" ht="19.5" customHeight="1">
      <c r="A38" s="3779"/>
      <c r="B38" s="3776"/>
      <c r="C38" s="3105" t="s">
        <v>2473</v>
      </c>
      <c r="D38" s="3106"/>
      <c r="E38" s="3107">
        <v>0.6</v>
      </c>
      <c r="F38" s="3104" t="s">
        <v>2474</v>
      </c>
      <c r="G38" s="3104"/>
    </row>
    <row r="39" spans="1:7" ht="19.5" customHeight="1" thickBot="1">
      <c r="A39" s="3780"/>
      <c r="B39" s="3777"/>
      <c r="C39" s="3108" t="s">
        <v>2475</v>
      </c>
      <c r="D39" s="3109"/>
      <c r="E39" s="3110">
        <v>0.6</v>
      </c>
      <c r="F39" s="3104" t="s">
        <v>2476</v>
      </c>
      <c r="G39" s="3104"/>
    </row>
    <row r="40" spans="1:7" ht="19.5" customHeight="1" thickBot="1">
      <c r="A40" s="3111" t="s">
        <v>2608</v>
      </c>
      <c r="B40" s="3112" t="s">
        <v>2608</v>
      </c>
      <c r="C40" s="3113" t="s">
        <v>2632</v>
      </c>
      <c r="D40" s="3114"/>
      <c r="E40" s="3115">
        <v>1</v>
      </c>
      <c r="F40" s="3104" t="s">
        <v>2477</v>
      </c>
      <c r="G40" s="3104"/>
    </row>
    <row r="41" spans="1:7" ht="19.5" customHeight="1">
      <c r="A41" s="3782" t="s">
        <v>2609</v>
      </c>
      <c r="B41" s="3775" t="s">
        <v>2633</v>
      </c>
      <c r="C41" s="3101" t="s">
        <v>2478</v>
      </c>
      <c r="D41" s="3102"/>
      <c r="E41" s="3103">
        <v>1</v>
      </c>
      <c r="F41" s="3104" t="s">
        <v>2479</v>
      </c>
      <c r="G41" s="3104"/>
    </row>
    <row r="42" spans="1:7" ht="19.5" customHeight="1">
      <c r="A42" s="3783"/>
      <c r="B42" s="3776"/>
      <c r="C42" s="3105" t="s">
        <v>2480</v>
      </c>
      <c r="D42" s="3106"/>
      <c r="E42" s="3107">
        <v>1</v>
      </c>
      <c r="F42" s="3104" t="s">
        <v>2481</v>
      </c>
      <c r="G42" s="3104"/>
    </row>
    <row r="43" spans="1:7" ht="19.5" customHeight="1">
      <c r="A43" s="3783"/>
      <c r="B43" s="3785"/>
      <c r="C43" s="3105" t="s">
        <v>2482</v>
      </c>
      <c r="D43" s="3106"/>
      <c r="E43" s="3107">
        <v>1.5</v>
      </c>
      <c r="F43" s="3104" t="s">
        <v>2483</v>
      </c>
      <c r="G43" s="3104"/>
    </row>
    <row r="44" spans="1:7" ht="19.5" customHeight="1">
      <c r="A44" s="3783"/>
      <c r="B44" s="3116" t="s">
        <v>2634</v>
      </c>
      <c r="C44" s="3105" t="s">
        <v>2635</v>
      </c>
      <c r="D44" s="3106"/>
      <c r="E44" s="3107">
        <v>2</v>
      </c>
      <c r="F44" s="3104" t="s">
        <v>2484</v>
      </c>
      <c r="G44" s="3104"/>
    </row>
    <row r="45" spans="1:7" ht="19.5" customHeight="1">
      <c r="A45" s="3783"/>
      <c r="B45" s="3781" t="s">
        <v>2636</v>
      </c>
      <c r="C45" s="3105" t="s">
        <v>2485</v>
      </c>
      <c r="D45" s="3106"/>
      <c r="E45" s="3107">
        <v>1</v>
      </c>
      <c r="F45" s="3104" t="s">
        <v>2486</v>
      </c>
      <c r="G45" s="3104"/>
    </row>
    <row r="46" spans="1:7" ht="19.5" customHeight="1">
      <c r="A46" s="3783"/>
      <c r="B46" s="3776"/>
      <c r="C46" s="3105" t="s">
        <v>2487</v>
      </c>
      <c r="D46" s="3106"/>
      <c r="E46" s="3107">
        <v>1</v>
      </c>
      <c r="F46" s="3104" t="s">
        <v>2488</v>
      </c>
      <c r="G46" s="3104"/>
    </row>
    <row r="47" spans="1:7" ht="19.5" customHeight="1">
      <c r="A47" s="3783"/>
      <c r="B47" s="3776"/>
      <c r="C47" s="3105" t="s">
        <v>2489</v>
      </c>
      <c r="D47" s="3106"/>
      <c r="E47" s="3107">
        <v>1</v>
      </c>
      <c r="F47" s="3104" t="s">
        <v>2490</v>
      </c>
      <c r="G47" s="3104"/>
    </row>
    <row r="48" spans="1:7" ht="19.5" customHeight="1">
      <c r="A48" s="3783"/>
      <c r="B48" s="3776"/>
      <c r="C48" s="3105" t="s">
        <v>2491</v>
      </c>
      <c r="D48" s="3106"/>
      <c r="E48" s="3107">
        <v>1</v>
      </c>
      <c r="F48" s="3104" t="s">
        <v>2492</v>
      </c>
      <c r="G48" s="3104"/>
    </row>
    <row r="49" spans="1:7" ht="19.5" customHeight="1">
      <c r="A49" s="3783"/>
      <c r="B49" s="3776"/>
      <c r="C49" s="3105" t="s">
        <v>2493</v>
      </c>
      <c r="D49" s="3106"/>
      <c r="E49" s="3107">
        <v>1</v>
      </c>
      <c r="F49" s="3104" t="s">
        <v>2494</v>
      </c>
      <c r="G49" s="3104"/>
    </row>
    <row r="50" spans="1:7" ht="19.5" customHeight="1">
      <c r="A50" s="3783"/>
      <c r="B50" s="3776"/>
      <c r="C50" s="3105" t="s">
        <v>2495</v>
      </c>
      <c r="D50" s="3106"/>
      <c r="E50" s="3107">
        <v>1</v>
      </c>
      <c r="F50" s="3104" t="s">
        <v>2496</v>
      </c>
      <c r="G50" s="3104"/>
    </row>
    <row r="51" spans="1:7" ht="19.5" customHeight="1" thickBot="1">
      <c r="A51" s="3784"/>
      <c r="B51" s="3777"/>
      <c r="C51" s="3108" t="s">
        <v>2497</v>
      </c>
      <c r="D51" s="3109"/>
      <c r="E51" s="3110">
        <v>1</v>
      </c>
      <c r="F51" s="3104" t="s">
        <v>2498</v>
      </c>
      <c r="G51" s="3104"/>
    </row>
    <row r="52" spans="1:7" ht="19.5" customHeight="1">
      <c r="A52" s="3117"/>
      <c r="B52" s="3117"/>
      <c r="C52" s="3117"/>
      <c r="D52" s="3117"/>
      <c r="E52" s="3117"/>
      <c r="F52" s="3117"/>
      <c r="G52" s="3117"/>
    </row>
    <row r="54" spans="1:7" ht="19.5" customHeight="1">
      <c r="A54" s="3118"/>
      <c r="B54" s="3090" t="s">
        <v>2637</v>
      </c>
      <c r="C54" s="3090" t="s">
        <v>2637</v>
      </c>
      <c r="D54" s="3090" t="s">
        <v>2637</v>
      </c>
      <c r="E54" s="3093" t="s">
        <v>2637</v>
      </c>
      <c r="F54" s="3093" t="s">
        <v>2638</v>
      </c>
      <c r="G54" s="3093" t="s">
        <v>2639</v>
      </c>
    </row>
    <row r="55" spans="1:7" ht="19.5" customHeight="1">
      <c r="A55" s="3119"/>
      <c r="B55" s="3093" t="s">
        <v>2606</v>
      </c>
      <c r="C55" s="3093" t="s">
        <v>2606</v>
      </c>
      <c r="D55" s="3093" t="s">
        <v>2606</v>
      </c>
      <c r="E55" s="3090" t="s">
        <v>2607</v>
      </c>
      <c r="F55" s="3090" t="s">
        <v>2609</v>
      </c>
      <c r="G55" s="3090" t="s">
        <v>2640</v>
      </c>
    </row>
    <row r="56" spans="1:7" ht="19.5" customHeight="1">
      <c r="A56" s="3120"/>
      <c r="B56" s="3090">
        <v>1</v>
      </c>
      <c r="C56" s="3090">
        <v>2</v>
      </c>
      <c r="D56" s="3090">
        <v>3</v>
      </c>
      <c r="E56" s="3121" t="s">
        <v>2641</v>
      </c>
      <c r="F56" s="3121" t="s">
        <v>2641</v>
      </c>
      <c r="G56" s="3121" t="s">
        <v>2641</v>
      </c>
    </row>
    <row r="57" spans="1:7" ht="19.5" customHeight="1">
      <c r="A57" s="3122" t="s">
        <v>2594</v>
      </c>
      <c r="B57" s="3090">
        <v>0.7</v>
      </c>
      <c r="C57" s="3090">
        <v>0.4</v>
      </c>
      <c r="D57" s="3090">
        <v>0.3</v>
      </c>
      <c r="E57" s="3121">
        <v>0.3</v>
      </c>
      <c r="F57" s="3090">
        <v>0.3</v>
      </c>
      <c r="G57" s="3090">
        <v>0.2</v>
      </c>
    </row>
    <row r="58" spans="1:7" ht="19.5" customHeight="1">
      <c r="A58" s="3122" t="s">
        <v>2595</v>
      </c>
      <c r="B58" s="3090">
        <v>0.7</v>
      </c>
      <c r="C58" s="3090">
        <v>0.4</v>
      </c>
      <c r="D58" s="3090">
        <v>0.3</v>
      </c>
      <c r="E58" s="3090">
        <v>0.3</v>
      </c>
      <c r="F58" s="3090">
        <v>0.3</v>
      </c>
      <c r="G58" s="3090">
        <v>0.2</v>
      </c>
    </row>
    <row r="59" spans="1:7" ht="19.5" customHeight="1">
      <c r="A59" s="3122" t="s">
        <v>2596</v>
      </c>
      <c r="B59" s="3090">
        <v>0.6</v>
      </c>
      <c r="C59" s="3090">
        <v>0.3</v>
      </c>
      <c r="D59" s="3090">
        <v>0.25</v>
      </c>
      <c r="E59" s="3090">
        <v>0.25</v>
      </c>
      <c r="F59" s="3090">
        <v>0.25</v>
      </c>
      <c r="G59" s="3090">
        <v>0.15</v>
      </c>
    </row>
    <row r="60" spans="1:7" ht="19.5" customHeight="1">
      <c r="A60" s="3122" t="s">
        <v>2597</v>
      </c>
      <c r="B60" s="3090">
        <v>0.6</v>
      </c>
      <c r="C60" s="3090">
        <v>0.3</v>
      </c>
      <c r="D60" s="3090">
        <v>0.25</v>
      </c>
      <c r="E60" s="3090">
        <v>0.25</v>
      </c>
      <c r="F60" s="3090">
        <v>0.25</v>
      </c>
      <c r="G60" s="3090">
        <v>0.15</v>
      </c>
    </row>
    <row r="61" spans="1:7" ht="19.5" customHeight="1">
      <c r="A61" s="3122" t="s">
        <v>2598</v>
      </c>
      <c r="B61" s="3090">
        <v>0.6</v>
      </c>
      <c r="C61" s="3090">
        <v>0.3</v>
      </c>
      <c r="D61" s="3090">
        <v>0.25</v>
      </c>
      <c r="E61" s="3090">
        <v>0.25</v>
      </c>
      <c r="F61" s="3090">
        <v>0.25</v>
      </c>
      <c r="G61" s="3090">
        <v>0.15</v>
      </c>
    </row>
    <row r="62" spans="1:7" ht="19.5" customHeight="1">
      <c r="A62" s="3122" t="s">
        <v>2599</v>
      </c>
      <c r="B62" s="3090">
        <v>0.6</v>
      </c>
      <c r="C62" s="3090">
        <v>0.3</v>
      </c>
      <c r="D62" s="3090">
        <v>0.25</v>
      </c>
      <c r="E62" s="3090">
        <v>0.25</v>
      </c>
      <c r="F62" s="3090">
        <v>0.25</v>
      </c>
      <c r="G62" s="3090">
        <v>0.15</v>
      </c>
    </row>
    <row r="63" spans="1:7" ht="19.5" customHeight="1">
      <c r="A63" s="3122" t="s">
        <v>2600</v>
      </c>
      <c r="B63" s="3090">
        <v>0.6</v>
      </c>
      <c r="C63" s="3090">
        <v>0.3</v>
      </c>
      <c r="D63" s="3090">
        <v>0.25</v>
      </c>
      <c r="E63" s="3090">
        <v>0.25</v>
      </c>
      <c r="F63" s="3090">
        <v>0.25</v>
      </c>
      <c r="G63" s="3090">
        <v>0.15</v>
      </c>
    </row>
    <row r="64" spans="1:7" ht="19.5" customHeight="1">
      <c r="A64" s="3122" t="s">
        <v>2601</v>
      </c>
      <c r="B64" s="3090">
        <v>0.5</v>
      </c>
      <c r="C64" s="3090">
        <v>0.2</v>
      </c>
      <c r="D64" s="3090">
        <v>0.2</v>
      </c>
      <c r="E64" s="3090">
        <v>0.2</v>
      </c>
      <c r="F64" s="3090">
        <v>0.2</v>
      </c>
      <c r="G64" s="3090">
        <v>0.1</v>
      </c>
    </row>
    <row r="65" spans="1:7" ht="19.5" customHeight="1">
      <c r="A65" s="3122" t="s">
        <v>2602</v>
      </c>
      <c r="B65" s="3090">
        <v>0.5</v>
      </c>
      <c r="C65" s="3090">
        <v>0.2</v>
      </c>
      <c r="D65" s="3090">
        <v>0.2</v>
      </c>
      <c r="E65" s="3090">
        <v>0.2</v>
      </c>
      <c r="F65" s="3090">
        <v>0.2</v>
      </c>
      <c r="G65" s="3090">
        <v>0.1</v>
      </c>
    </row>
    <row r="66" spans="1:7" ht="19.5" customHeight="1">
      <c r="A66" s="3122" t="s">
        <v>2603</v>
      </c>
      <c r="B66" s="3090">
        <v>0.5</v>
      </c>
      <c r="C66" s="3090">
        <v>0.2</v>
      </c>
      <c r="D66" s="3090">
        <v>0.2</v>
      </c>
      <c r="E66" s="3090">
        <v>0.2</v>
      </c>
      <c r="F66" s="3090">
        <v>0.2</v>
      </c>
      <c r="G66" s="3090">
        <v>0.1</v>
      </c>
    </row>
    <row r="67" spans="1:7" ht="19.5" customHeight="1">
      <c r="A67" s="3122" t="s">
        <v>2604</v>
      </c>
      <c r="B67" s="3090">
        <v>0.5</v>
      </c>
      <c r="C67" s="3090">
        <v>0.2</v>
      </c>
      <c r="D67" s="3090">
        <v>0.2</v>
      </c>
      <c r="E67" s="3090">
        <v>0.2</v>
      </c>
      <c r="F67" s="3090">
        <v>0.2</v>
      </c>
      <c r="G67" s="3090">
        <v>0.1</v>
      </c>
    </row>
    <row r="68" spans="1:7" ht="19.5" customHeight="1">
      <c r="A68" s="3122" t="s">
        <v>2605</v>
      </c>
      <c r="B68" s="3090">
        <v>0.5</v>
      </c>
      <c r="C68" s="3090">
        <v>0.2</v>
      </c>
      <c r="D68" s="3090">
        <v>0.2</v>
      </c>
      <c r="E68" s="3090">
        <v>0.2</v>
      </c>
      <c r="F68" s="3090">
        <v>0.2</v>
      </c>
      <c r="G68" s="3090">
        <v>0.1</v>
      </c>
    </row>
    <row r="70" spans="1:7" ht="19.5" customHeight="1">
      <c r="A70" s="3123"/>
      <c r="B70" s="3124"/>
      <c r="C70" s="3124"/>
      <c r="D70" s="3124" t="s">
        <v>2642</v>
      </c>
      <c r="E70" s="3124"/>
      <c r="F70" s="3124"/>
    </row>
    <row r="71" spans="1:7" ht="19.5" customHeight="1">
      <c r="A71" s="3116" t="s">
        <v>2643</v>
      </c>
      <c r="B71" s="3116" t="s">
        <v>2644</v>
      </c>
      <c r="C71" s="3116" t="s">
        <v>2645</v>
      </c>
      <c r="D71" s="3116" t="s">
        <v>2646</v>
      </c>
      <c r="E71" s="3116" t="s">
        <v>2647</v>
      </c>
      <c r="F71" s="3116" t="s">
        <v>2648</v>
      </c>
    </row>
    <row r="72" spans="1:7" ht="13.5">
      <c r="A72" s="3116"/>
      <c r="B72" s="3116"/>
      <c r="C72" s="3116" t="s">
        <v>2649</v>
      </c>
      <c r="D72" s="3116"/>
      <c r="E72" s="3116" t="s">
        <v>2620</v>
      </c>
      <c r="F72" s="3116" t="s">
        <v>2620</v>
      </c>
    </row>
    <row r="73" spans="1:7" ht="13.5">
      <c r="A73" s="3116">
        <v>1</v>
      </c>
      <c r="B73" s="3781" t="s">
        <v>2650</v>
      </c>
      <c r="C73" s="3090" t="s">
        <v>2651</v>
      </c>
      <c r="D73" s="3090" t="s">
        <v>2652</v>
      </c>
      <c r="E73" s="3116">
        <v>0.2</v>
      </c>
      <c r="F73" s="3116">
        <v>25</v>
      </c>
    </row>
    <row r="74" spans="1:7" ht="24">
      <c r="A74" s="3116">
        <v>2</v>
      </c>
      <c r="B74" s="3776"/>
      <c r="C74" s="3090" t="s">
        <v>2653</v>
      </c>
      <c r="D74" s="3090" t="s">
        <v>2654</v>
      </c>
      <c r="E74" s="3116">
        <v>0.2</v>
      </c>
      <c r="F74" s="3116">
        <v>25</v>
      </c>
    </row>
    <row r="75" spans="1:7" ht="24">
      <c r="A75" s="3116">
        <v>3</v>
      </c>
      <c r="B75" s="3776"/>
      <c r="C75" s="3090" t="s">
        <v>2655</v>
      </c>
      <c r="D75" s="3090" t="s">
        <v>2656</v>
      </c>
      <c r="E75" s="3116">
        <v>0.2</v>
      </c>
      <c r="F75" s="3116">
        <v>25</v>
      </c>
    </row>
    <row r="76" spans="1:7" ht="13.5">
      <c r="A76" s="3116">
        <v>4</v>
      </c>
      <c r="B76" s="3776"/>
      <c r="C76" s="3090" t="s">
        <v>2657</v>
      </c>
      <c r="D76" s="3090" t="s">
        <v>2658</v>
      </c>
      <c r="E76" s="3116">
        <v>0.15</v>
      </c>
      <c r="F76" s="3116">
        <v>20</v>
      </c>
    </row>
    <row r="77" spans="1:7" ht="24">
      <c r="A77" s="3116">
        <v>5</v>
      </c>
      <c r="B77" s="3776"/>
      <c r="C77" s="3090" t="s">
        <v>2659</v>
      </c>
      <c r="D77" s="3090" t="s">
        <v>2660</v>
      </c>
      <c r="E77" s="3116">
        <v>0.15</v>
      </c>
      <c r="F77" s="3116">
        <v>20</v>
      </c>
    </row>
    <row r="78" spans="1:7" ht="24">
      <c r="A78" s="3116">
        <v>6</v>
      </c>
      <c r="B78" s="3776"/>
      <c r="C78" s="3090" t="s">
        <v>2661</v>
      </c>
      <c r="D78" s="3090" t="s">
        <v>2662</v>
      </c>
      <c r="E78" s="3116">
        <v>0.15</v>
      </c>
      <c r="F78" s="3116">
        <v>20</v>
      </c>
    </row>
    <row r="79" spans="1:7" ht="24">
      <c r="A79" s="3116">
        <v>7</v>
      </c>
      <c r="B79" s="3776"/>
      <c r="C79" s="3090" t="s">
        <v>2663</v>
      </c>
      <c r="D79" s="3090" t="s">
        <v>2664</v>
      </c>
      <c r="E79" s="3116">
        <v>0.15</v>
      </c>
      <c r="F79" s="3116">
        <v>20</v>
      </c>
    </row>
    <row r="80" spans="1:7" ht="24">
      <c r="A80" s="3116">
        <v>8</v>
      </c>
      <c r="B80" s="3776"/>
      <c r="C80" s="3090" t="s">
        <v>2665</v>
      </c>
      <c r="D80" s="3090" t="s">
        <v>2666</v>
      </c>
      <c r="E80" s="3116">
        <v>0.1</v>
      </c>
      <c r="F80" s="3116">
        <v>15</v>
      </c>
    </row>
    <row r="81" spans="1:6" ht="24">
      <c r="A81" s="3116">
        <v>9</v>
      </c>
      <c r="B81" s="3776"/>
      <c r="C81" s="3090" t="s">
        <v>2667</v>
      </c>
      <c r="D81" s="3090" t="s">
        <v>2668</v>
      </c>
      <c r="E81" s="3116">
        <v>0.1</v>
      </c>
      <c r="F81" s="3116">
        <v>15</v>
      </c>
    </row>
    <row r="82" spans="1:6" ht="24">
      <c r="A82" s="3116">
        <v>10</v>
      </c>
      <c r="B82" s="3776"/>
      <c r="C82" s="3090" t="s">
        <v>2669</v>
      </c>
      <c r="D82" s="3090" t="s">
        <v>2670</v>
      </c>
      <c r="E82" s="3116">
        <v>0.1</v>
      </c>
      <c r="F82" s="3116">
        <v>15</v>
      </c>
    </row>
    <row r="83" spans="1:6" ht="24">
      <c r="A83" s="3116">
        <v>11</v>
      </c>
      <c r="B83" s="3776"/>
      <c r="C83" s="3090" t="s">
        <v>2671</v>
      </c>
      <c r="D83" s="3090" t="s">
        <v>2672</v>
      </c>
      <c r="E83" s="3116">
        <v>0.1</v>
      </c>
      <c r="F83" s="3116">
        <v>15</v>
      </c>
    </row>
    <row r="84" spans="1:6" ht="24">
      <c r="A84" s="3116">
        <v>12</v>
      </c>
      <c r="B84" s="3776"/>
      <c r="C84" s="3090" t="s">
        <v>2673</v>
      </c>
      <c r="D84" s="3090" t="s">
        <v>2674</v>
      </c>
      <c r="E84" s="3116">
        <v>0.1</v>
      </c>
      <c r="F84" s="3116">
        <v>15</v>
      </c>
    </row>
    <row r="85" spans="1:6" ht="13.5">
      <c r="A85" s="3116">
        <v>13</v>
      </c>
      <c r="B85" s="3776"/>
      <c r="C85" s="3090" t="s">
        <v>2675</v>
      </c>
      <c r="D85" s="3090" t="s">
        <v>2676</v>
      </c>
      <c r="E85" s="3116">
        <v>0.1</v>
      </c>
      <c r="F85" s="3116">
        <v>15</v>
      </c>
    </row>
    <row r="86" spans="1:6" ht="13.5">
      <c r="A86" s="3116">
        <v>14</v>
      </c>
      <c r="B86" s="3776"/>
      <c r="C86" s="3090" t="s">
        <v>2677</v>
      </c>
      <c r="D86" s="3090" t="s">
        <v>2678</v>
      </c>
      <c r="E86" s="3116">
        <v>0.1</v>
      </c>
      <c r="F86" s="3116">
        <v>15</v>
      </c>
    </row>
    <row r="87" spans="1:6" ht="13.5">
      <c r="A87" s="3116">
        <v>15</v>
      </c>
      <c r="B87" s="3776"/>
      <c r="C87" s="3090" t="s">
        <v>2679</v>
      </c>
      <c r="D87" s="3090" t="s">
        <v>2680</v>
      </c>
      <c r="E87" s="3116">
        <v>0.1</v>
      </c>
      <c r="F87" s="3116">
        <v>15</v>
      </c>
    </row>
    <row r="88" spans="1:6" ht="24">
      <c r="A88" s="3116">
        <v>16</v>
      </c>
      <c r="B88" s="3776"/>
      <c r="C88" s="3090" t="s">
        <v>2681</v>
      </c>
      <c r="D88" s="3090" t="s">
        <v>2682</v>
      </c>
      <c r="E88" s="3116">
        <v>0.1</v>
      </c>
      <c r="F88" s="3116">
        <v>15</v>
      </c>
    </row>
    <row r="89" spans="1:6" ht="24">
      <c r="A89" s="3116">
        <v>17</v>
      </c>
      <c r="B89" s="3785"/>
      <c r="C89" s="3090" t="s">
        <v>2683</v>
      </c>
      <c r="D89" s="3090" t="s">
        <v>2684</v>
      </c>
      <c r="E89" s="3116">
        <v>0.1</v>
      </c>
      <c r="F89" s="3116">
        <v>15</v>
      </c>
    </row>
    <row r="90" spans="1:6" ht="13.5">
      <c r="A90" s="3116">
        <v>18</v>
      </c>
      <c r="B90" s="3781" t="s">
        <v>2685</v>
      </c>
      <c r="C90" s="3090" t="s">
        <v>2686</v>
      </c>
      <c r="D90" s="3090" t="s">
        <v>2687</v>
      </c>
      <c r="E90" s="3116">
        <v>0.2</v>
      </c>
      <c r="F90" s="3116">
        <v>25</v>
      </c>
    </row>
    <row r="91" spans="1:6" ht="24">
      <c r="A91" s="3116">
        <v>19</v>
      </c>
      <c r="B91" s="3776"/>
      <c r="C91" s="3090" t="s">
        <v>2688</v>
      </c>
      <c r="D91" s="3090" t="s">
        <v>2689</v>
      </c>
      <c r="E91" s="3116">
        <v>0.2</v>
      </c>
      <c r="F91" s="3116">
        <v>25</v>
      </c>
    </row>
    <row r="92" spans="1:6" ht="13.5">
      <c r="A92" s="3116">
        <v>20</v>
      </c>
      <c r="B92" s="3776"/>
      <c r="C92" s="3090" t="s">
        <v>2690</v>
      </c>
      <c r="D92" s="3090" t="s">
        <v>2691</v>
      </c>
      <c r="E92" s="3116">
        <v>0.15</v>
      </c>
      <c r="F92" s="3116">
        <v>20</v>
      </c>
    </row>
    <row r="93" spans="1:6" ht="13.5">
      <c r="A93" s="3116">
        <v>21</v>
      </c>
      <c r="B93" s="3776"/>
      <c r="C93" s="3090" t="s">
        <v>2692</v>
      </c>
      <c r="D93" s="3090" t="s">
        <v>2693</v>
      </c>
      <c r="E93" s="3116">
        <v>0.15</v>
      </c>
      <c r="F93" s="3116">
        <v>20</v>
      </c>
    </row>
    <row r="94" spans="1:6" ht="13.5">
      <c r="A94" s="3116">
        <v>22</v>
      </c>
      <c r="B94" s="3776"/>
      <c r="C94" s="3090" t="s">
        <v>2694</v>
      </c>
      <c r="D94" s="3090" t="s">
        <v>2695</v>
      </c>
      <c r="E94" s="3116">
        <v>0.15</v>
      </c>
      <c r="F94" s="3116">
        <v>20</v>
      </c>
    </row>
    <row r="95" spans="1:6" ht="36">
      <c r="A95" s="3116">
        <v>23</v>
      </c>
      <c r="B95" s="3776"/>
      <c r="C95" s="3090" t="s">
        <v>2696</v>
      </c>
      <c r="D95" s="3090" t="s">
        <v>2697</v>
      </c>
      <c r="E95" s="3116">
        <v>0.15</v>
      </c>
      <c r="F95" s="3116">
        <v>20</v>
      </c>
    </row>
    <row r="96" spans="1:6" ht="13.5">
      <c r="A96" s="3116">
        <v>24</v>
      </c>
      <c r="B96" s="3776"/>
      <c r="C96" s="3090" t="s">
        <v>2698</v>
      </c>
      <c r="D96" s="3090" t="s">
        <v>2699</v>
      </c>
      <c r="E96" s="3116">
        <v>0.1</v>
      </c>
      <c r="F96" s="3116">
        <v>15</v>
      </c>
    </row>
    <row r="97" spans="1:6" ht="13.5">
      <c r="A97" s="3116">
        <v>25</v>
      </c>
      <c r="B97" s="3776"/>
      <c r="C97" s="3090" t="s">
        <v>2700</v>
      </c>
      <c r="D97" s="3090" t="s">
        <v>2701</v>
      </c>
      <c r="E97" s="3116">
        <v>0.1</v>
      </c>
      <c r="F97" s="3116">
        <v>15</v>
      </c>
    </row>
    <row r="98" spans="1:6" ht="24">
      <c r="A98" s="3116">
        <v>26</v>
      </c>
      <c r="B98" s="3776"/>
      <c r="C98" s="3090" t="s">
        <v>2702</v>
      </c>
      <c r="D98" s="3090" t="s">
        <v>2703</v>
      </c>
      <c r="E98" s="3116">
        <v>0.1</v>
      </c>
      <c r="F98" s="3116">
        <v>15</v>
      </c>
    </row>
    <row r="99" spans="1:6" ht="24">
      <c r="A99" s="3116">
        <v>27</v>
      </c>
      <c r="B99" s="3776"/>
      <c r="C99" s="3090" t="s">
        <v>2704</v>
      </c>
      <c r="D99" s="3090" t="s">
        <v>2705</v>
      </c>
      <c r="E99" s="3116">
        <v>0.1</v>
      </c>
      <c r="F99" s="3116">
        <v>15</v>
      </c>
    </row>
    <row r="100" spans="1:6" ht="13.5">
      <c r="A100" s="3116">
        <v>28</v>
      </c>
      <c r="B100" s="3776"/>
      <c r="C100" s="3090" t="s">
        <v>2706</v>
      </c>
      <c r="D100" s="3090" t="s">
        <v>2707</v>
      </c>
      <c r="E100" s="3116">
        <v>0.1</v>
      </c>
      <c r="F100" s="3116">
        <v>15</v>
      </c>
    </row>
    <row r="101" spans="1:6" ht="13.5">
      <c r="A101" s="3116">
        <v>29</v>
      </c>
      <c r="B101" s="3776"/>
      <c r="C101" s="3090" t="s">
        <v>2708</v>
      </c>
      <c r="D101" s="3090" t="s">
        <v>2709</v>
      </c>
      <c r="E101" s="3116">
        <v>0.1</v>
      </c>
      <c r="F101" s="3116">
        <v>15</v>
      </c>
    </row>
    <row r="102" spans="1:6" ht="13.5">
      <c r="A102" s="3116">
        <v>30</v>
      </c>
      <c r="B102" s="3776"/>
      <c r="C102" s="3090" t="s">
        <v>2710</v>
      </c>
      <c r="D102" s="3090" t="s">
        <v>2711</v>
      </c>
      <c r="E102" s="3116">
        <v>0.1</v>
      </c>
      <c r="F102" s="3116">
        <v>15</v>
      </c>
    </row>
    <row r="103" spans="1:6" ht="24">
      <c r="A103" s="3116">
        <v>31</v>
      </c>
      <c r="B103" s="3776"/>
      <c r="C103" s="3090" t="s">
        <v>2712</v>
      </c>
      <c r="D103" s="3090" t="s">
        <v>2713</v>
      </c>
      <c r="E103" s="3116">
        <v>0.1</v>
      </c>
      <c r="F103" s="3116">
        <v>15</v>
      </c>
    </row>
    <row r="104" spans="1:6" ht="24">
      <c r="A104" s="3116">
        <v>32</v>
      </c>
      <c r="B104" s="3776"/>
      <c r="C104" s="3090" t="s">
        <v>2714</v>
      </c>
      <c r="D104" s="3090" t="s">
        <v>2715</v>
      </c>
      <c r="E104" s="3116">
        <v>0.1</v>
      </c>
      <c r="F104" s="3116">
        <v>15</v>
      </c>
    </row>
    <row r="105" spans="1:6" ht="24">
      <c r="A105" s="3116">
        <v>33</v>
      </c>
      <c r="B105" s="3776"/>
      <c r="C105" s="3090" t="s">
        <v>2716</v>
      </c>
      <c r="D105" s="3090" t="s">
        <v>2717</v>
      </c>
      <c r="E105" s="3116">
        <v>0.1</v>
      </c>
      <c r="F105" s="3116">
        <v>15</v>
      </c>
    </row>
    <row r="106" spans="1:6" ht="24">
      <c r="A106" s="3116">
        <v>34</v>
      </c>
      <c r="B106" s="3785"/>
      <c r="C106" s="3090" t="s">
        <v>2718</v>
      </c>
      <c r="D106" s="3090" t="s">
        <v>2719</v>
      </c>
      <c r="E106" s="3116">
        <v>0.1</v>
      </c>
      <c r="F106" s="3116">
        <v>15</v>
      </c>
    </row>
    <row r="107" spans="1:6" ht="24">
      <c r="A107" s="3116">
        <v>35</v>
      </c>
      <c r="B107" s="3781" t="s">
        <v>2720</v>
      </c>
      <c r="C107" s="3116" t="s">
        <v>2721</v>
      </c>
      <c r="D107" s="3090" t="s">
        <v>2722</v>
      </c>
      <c r="E107" s="3116">
        <v>0.15</v>
      </c>
      <c r="F107" s="3116">
        <v>20</v>
      </c>
    </row>
    <row r="108" spans="1:6" ht="13.5">
      <c r="A108" s="3116">
        <v>36</v>
      </c>
      <c r="B108" s="3776"/>
      <c r="C108" s="3116" t="s">
        <v>2723</v>
      </c>
      <c r="D108" s="3090" t="s">
        <v>2724</v>
      </c>
      <c r="E108" s="3116">
        <v>0.15</v>
      </c>
      <c r="F108" s="3116">
        <v>20</v>
      </c>
    </row>
    <row r="109" spans="1:6" ht="13.5">
      <c r="A109" s="3116">
        <v>37</v>
      </c>
      <c r="B109" s="3776"/>
      <c r="C109" s="3116" t="s">
        <v>2725</v>
      </c>
      <c r="D109" s="3090" t="s">
        <v>2726</v>
      </c>
      <c r="E109" s="3116">
        <v>0.15</v>
      </c>
      <c r="F109" s="3116">
        <v>20</v>
      </c>
    </row>
    <row r="110" spans="1:6" ht="13.5">
      <c r="A110" s="3116">
        <v>38</v>
      </c>
      <c r="B110" s="3776"/>
      <c r="C110" s="3116" t="s">
        <v>2727</v>
      </c>
      <c r="D110" s="3090" t="s">
        <v>2728</v>
      </c>
      <c r="E110" s="3116">
        <v>0.1</v>
      </c>
      <c r="F110" s="3116">
        <v>15</v>
      </c>
    </row>
    <row r="111" spans="1:6" ht="24">
      <c r="A111" s="3116">
        <v>39</v>
      </c>
      <c r="B111" s="3776"/>
      <c r="C111" s="3116" t="s">
        <v>2729</v>
      </c>
      <c r="D111" s="3090" t="s">
        <v>2730</v>
      </c>
      <c r="E111" s="3116">
        <v>0.1</v>
      </c>
      <c r="F111" s="3116">
        <v>15</v>
      </c>
    </row>
    <row r="112" spans="1:6" ht="24">
      <c r="A112" s="3116">
        <v>40</v>
      </c>
      <c r="B112" s="3785"/>
      <c r="C112" s="3116" t="s">
        <v>2731</v>
      </c>
      <c r="D112" s="3090" t="s">
        <v>2732</v>
      </c>
      <c r="E112" s="3116">
        <v>0.1</v>
      </c>
      <c r="F112" s="3116">
        <v>15</v>
      </c>
    </row>
    <row r="113" spans="1:6" ht="13.5">
      <c r="A113" s="3116">
        <v>41</v>
      </c>
      <c r="B113" s="3786" t="s">
        <v>2733</v>
      </c>
      <c r="C113" s="3116" t="s">
        <v>2734</v>
      </c>
      <c r="D113" s="3090" t="s">
        <v>2735</v>
      </c>
      <c r="E113" s="3116">
        <v>0.1</v>
      </c>
      <c r="F113" s="3116">
        <v>15</v>
      </c>
    </row>
    <row r="114" spans="1:6" ht="13.5">
      <c r="A114" s="3116">
        <v>42</v>
      </c>
      <c r="B114" s="3786"/>
      <c r="C114" s="3116" t="s">
        <v>2736</v>
      </c>
      <c r="D114" s="3090" t="s">
        <v>2737</v>
      </c>
      <c r="E114" s="3116">
        <v>0.1</v>
      </c>
      <c r="F114" s="3116">
        <v>15</v>
      </c>
    </row>
    <row r="115" spans="1:6" ht="24">
      <c r="A115" s="3116">
        <v>43</v>
      </c>
      <c r="B115" s="3786"/>
      <c r="C115" s="3116" t="s">
        <v>2738</v>
      </c>
      <c r="D115" s="3090" t="s">
        <v>2739</v>
      </c>
      <c r="E115" s="3116">
        <v>0.1</v>
      </c>
      <c r="F115" s="3116">
        <v>15</v>
      </c>
    </row>
    <row r="116" spans="1:6" ht="13.5">
      <c r="A116" s="3116">
        <v>44</v>
      </c>
      <c r="B116" s="3781" t="s">
        <v>2740</v>
      </c>
      <c r="C116" s="3116" t="s">
        <v>2741</v>
      </c>
      <c r="D116" s="3090" t="s">
        <v>2742</v>
      </c>
      <c r="E116" s="3116">
        <v>0.1</v>
      </c>
      <c r="F116" s="3116">
        <v>15</v>
      </c>
    </row>
    <row r="117" spans="1:6" ht="24">
      <c r="A117" s="3116">
        <v>45</v>
      </c>
      <c r="B117" s="3785"/>
      <c r="C117" s="3090" t="s">
        <v>2743</v>
      </c>
      <c r="D117" s="3090" t="s">
        <v>2744</v>
      </c>
      <c r="E117" s="3116">
        <v>0.1</v>
      </c>
      <c r="F117" s="3116">
        <v>15</v>
      </c>
    </row>
    <row r="118" spans="1:6" ht="24">
      <c r="A118" s="3116">
        <v>46</v>
      </c>
      <c r="B118" s="3781" t="s">
        <v>2745</v>
      </c>
      <c r="C118" s="3116" t="s">
        <v>2746</v>
      </c>
      <c r="D118" s="3090" t="s">
        <v>2747</v>
      </c>
      <c r="E118" s="3116">
        <v>0.1</v>
      </c>
      <c r="F118" s="3116">
        <v>15</v>
      </c>
    </row>
    <row r="119" spans="1:6" ht="24">
      <c r="A119" s="3116">
        <v>47</v>
      </c>
      <c r="B119" s="3785"/>
      <c r="C119" s="3116" t="s">
        <v>2748</v>
      </c>
      <c r="D119" s="3090" t="s">
        <v>2749</v>
      </c>
      <c r="E119" s="3116">
        <v>0.1</v>
      </c>
      <c r="F119" s="3116">
        <v>15</v>
      </c>
    </row>
    <row r="120" spans="1:6" ht="13.5">
      <c r="A120" s="3116">
        <v>48</v>
      </c>
      <c r="B120" s="3781" t="s">
        <v>2750</v>
      </c>
      <c r="C120" s="3116" t="s">
        <v>2751</v>
      </c>
      <c r="D120" s="3090" t="s">
        <v>2752</v>
      </c>
      <c r="E120" s="3116">
        <v>0.1</v>
      </c>
      <c r="F120" s="3116">
        <v>15</v>
      </c>
    </row>
    <row r="121" spans="1:6" ht="13.5">
      <c r="A121" s="3116">
        <v>49</v>
      </c>
      <c r="B121" s="3785"/>
      <c r="C121" s="3116" t="s">
        <v>2753</v>
      </c>
      <c r="D121" s="3090" t="s">
        <v>2754</v>
      </c>
      <c r="E121" s="3116">
        <v>0.1</v>
      </c>
      <c r="F121" s="3116">
        <v>15</v>
      </c>
    </row>
    <row r="122" spans="1:6" ht="24">
      <c r="A122" s="3116">
        <v>50</v>
      </c>
      <c r="B122" s="3786" t="s">
        <v>2755</v>
      </c>
      <c r="C122" s="3116" t="s">
        <v>2756</v>
      </c>
      <c r="D122" s="3090" t="s">
        <v>2757</v>
      </c>
      <c r="E122" s="3116">
        <v>0.1</v>
      </c>
      <c r="F122" s="3116">
        <v>15</v>
      </c>
    </row>
    <row r="123" spans="1:6" ht="24">
      <c r="A123" s="3116">
        <v>51</v>
      </c>
      <c r="B123" s="3786"/>
      <c r="C123" s="3116" t="s">
        <v>2758</v>
      </c>
      <c r="D123" s="3090" t="s">
        <v>2759</v>
      </c>
      <c r="E123" s="3116">
        <v>0.1</v>
      </c>
      <c r="F123" s="3116">
        <v>15</v>
      </c>
    </row>
    <row r="124" spans="1:6" ht="24">
      <c r="A124" s="3116">
        <v>52</v>
      </c>
      <c r="B124" s="3786" t="s">
        <v>2760</v>
      </c>
      <c r="C124" s="3116" t="s">
        <v>2761</v>
      </c>
      <c r="D124" s="3090" t="s">
        <v>2762</v>
      </c>
      <c r="E124" s="3116">
        <v>0.1</v>
      </c>
      <c r="F124" s="3116">
        <v>15</v>
      </c>
    </row>
    <row r="125" spans="1:6" ht="24">
      <c r="A125" s="3116">
        <v>53</v>
      </c>
      <c r="B125" s="3786"/>
      <c r="C125" s="3116" t="s">
        <v>2763</v>
      </c>
      <c r="D125" s="3090" t="s">
        <v>2764</v>
      </c>
      <c r="E125" s="3116">
        <v>0.1</v>
      </c>
      <c r="F125" s="3116">
        <v>15</v>
      </c>
    </row>
    <row r="126" spans="1:6" ht="13.5">
      <c r="A126" s="3116">
        <v>54</v>
      </c>
      <c r="B126" s="3116" t="s">
        <v>2765</v>
      </c>
      <c r="C126" s="3116" t="s">
        <v>2766</v>
      </c>
      <c r="D126" s="3090" t="s">
        <v>2767</v>
      </c>
      <c r="E126" s="3116">
        <v>0.1</v>
      </c>
      <c r="F126" s="3116">
        <v>15</v>
      </c>
    </row>
    <row r="127" spans="1:6" ht="13.5">
      <c r="A127" s="3116">
        <v>55</v>
      </c>
      <c r="B127" s="3786" t="s">
        <v>2768</v>
      </c>
      <c r="C127" s="3116" t="s">
        <v>2769</v>
      </c>
      <c r="D127" s="3090" t="s">
        <v>2770</v>
      </c>
      <c r="E127" s="3116">
        <v>0.1</v>
      </c>
      <c r="F127" s="3116">
        <v>15</v>
      </c>
    </row>
    <row r="128" spans="1:6" ht="13.5">
      <c r="A128" s="3116">
        <v>56</v>
      </c>
      <c r="B128" s="3786"/>
      <c r="C128" s="3116" t="s">
        <v>2771</v>
      </c>
      <c r="D128" s="3090" t="s">
        <v>2772</v>
      </c>
      <c r="E128" s="3116">
        <v>0.1</v>
      </c>
      <c r="F128" s="3116">
        <v>15</v>
      </c>
    </row>
    <row r="129" spans="1:6" ht="24">
      <c r="A129" s="3116">
        <v>57</v>
      </c>
      <c r="B129" s="3786"/>
      <c r="C129" s="3116" t="s">
        <v>2773</v>
      </c>
      <c r="D129" s="3090" t="s">
        <v>2774</v>
      </c>
      <c r="E129" s="3116">
        <v>0.1</v>
      </c>
      <c r="F129" s="3116">
        <v>15</v>
      </c>
    </row>
    <row r="130" spans="1:6" ht="24">
      <c r="A130" s="3116">
        <v>58</v>
      </c>
      <c r="B130" s="3786" t="s">
        <v>2775</v>
      </c>
      <c r="C130" s="3116" t="s">
        <v>2776</v>
      </c>
      <c r="D130" s="3090" t="s">
        <v>2777</v>
      </c>
      <c r="E130" s="3116">
        <v>0.1</v>
      </c>
      <c r="F130" s="3116">
        <v>15</v>
      </c>
    </row>
    <row r="131" spans="1:6" ht="13.5">
      <c r="A131" s="3116">
        <v>59</v>
      </c>
      <c r="B131" s="3786"/>
      <c r="C131" s="3116" t="s">
        <v>2778</v>
      </c>
      <c r="D131" s="3090" t="s">
        <v>2779</v>
      </c>
      <c r="E131" s="3116">
        <v>0.1</v>
      </c>
      <c r="F131" s="3116">
        <v>15</v>
      </c>
    </row>
    <row r="132" spans="1:6" ht="13.5">
      <c r="A132" s="3116">
        <v>60</v>
      </c>
      <c r="B132" s="3781" t="s">
        <v>2780</v>
      </c>
      <c r="C132" s="3116" t="s">
        <v>2781</v>
      </c>
      <c r="D132" s="3090" t="s">
        <v>2782</v>
      </c>
      <c r="E132" s="3116">
        <v>0.1</v>
      </c>
      <c r="F132" s="3116">
        <v>15</v>
      </c>
    </row>
    <row r="133" spans="1:6" ht="13.5">
      <c r="A133" s="3116">
        <v>61</v>
      </c>
      <c r="B133" s="3785"/>
      <c r="C133" s="3116" t="s">
        <v>2783</v>
      </c>
      <c r="D133" s="3090" t="s">
        <v>2784</v>
      </c>
      <c r="E133" s="3116">
        <v>0.1</v>
      </c>
      <c r="F133" s="3116">
        <v>15</v>
      </c>
    </row>
    <row r="134" spans="1:6" ht="24">
      <c r="A134" s="3116">
        <v>62</v>
      </c>
      <c r="B134" s="3116" t="s">
        <v>2785</v>
      </c>
      <c r="C134" s="3116" t="s">
        <v>2786</v>
      </c>
      <c r="D134" s="3090" t="s">
        <v>2787</v>
      </c>
      <c r="E134" s="3116">
        <v>0.1</v>
      </c>
      <c r="F134" s="3116">
        <v>15</v>
      </c>
    </row>
    <row r="135" spans="1:6" ht="13.5">
      <c r="A135" s="3116">
        <v>63</v>
      </c>
      <c r="B135" s="3786" t="s">
        <v>2788</v>
      </c>
      <c r="C135" s="3116" t="s">
        <v>2789</v>
      </c>
      <c r="D135" s="3090" t="s">
        <v>2790</v>
      </c>
      <c r="E135" s="3116">
        <v>0.1</v>
      </c>
      <c r="F135" s="3116">
        <v>15</v>
      </c>
    </row>
    <row r="136" spans="1:6" ht="13.5">
      <c r="A136" s="3116">
        <v>64</v>
      </c>
      <c r="B136" s="3786"/>
      <c r="C136" s="3116" t="s">
        <v>2791</v>
      </c>
      <c r="D136" s="3090" t="s">
        <v>2792</v>
      </c>
      <c r="E136" s="3116">
        <v>0.1</v>
      </c>
      <c r="F136" s="3116">
        <v>15</v>
      </c>
    </row>
    <row r="137" spans="1:6" ht="13.5">
      <c r="A137" s="3116">
        <v>65</v>
      </c>
      <c r="B137" s="3116" t="s">
        <v>2793</v>
      </c>
      <c r="C137" s="3116" t="s">
        <v>2794</v>
      </c>
      <c r="D137" s="3090" t="s">
        <v>2795</v>
      </c>
      <c r="E137" s="3116">
        <v>0.1</v>
      </c>
      <c r="F137" s="3116">
        <v>15</v>
      </c>
    </row>
    <row r="138" spans="1:6" ht="13.5">
      <c r="A138" s="3116"/>
      <c r="B138" s="3116"/>
      <c r="C138" s="3116"/>
      <c r="D138" s="3116"/>
      <c r="E138" s="3116" t="s">
        <v>2796</v>
      </c>
      <c r="F138" s="3116"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2797</v>
      </c>
      <c r="B1" s="3125"/>
      <c r="C1" s="3125"/>
      <c r="D1" s="3125"/>
      <c r="E1" s="3125"/>
      <c r="F1" s="3125"/>
      <c r="G1" s="3125"/>
      <c r="H1" s="3125"/>
      <c r="I1" s="3125"/>
      <c r="J1" s="3125"/>
      <c r="K1" s="3125"/>
      <c r="L1" s="3125"/>
      <c r="M1" s="3125"/>
      <c r="N1" s="749"/>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50">
        <f>SUMPRODUCT((A95:A184=ROUNDDOWN(基准地价修正!G3,1))*(B94:M94=基准地价修正!G2)*(B95:M184))</f>
        <v>1.2302</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50">
        <f>SUMPRODUCT((A371:A460=ROUNDDOWN(基准地价修正!G3,1))*(B370:M370=基准地价修正!G2)*(B371:M460))</f>
        <v>1.1198999999999999</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913</v>
      </c>
      <c r="C4" s="3472"/>
      <c r="D4" s="3472"/>
      <c r="E4" s="1493"/>
    </row>
    <row r="5" spans="1:5" ht="16.5" thickTop="1">
      <c r="A5" s="1491"/>
      <c r="B5" s="3470" t="s">
        <v>905</v>
      </c>
      <c r="C5" s="1494" t="s">
        <v>906</v>
      </c>
      <c r="D5" s="850">
        <f ca="1">结果表!H101</f>
        <v>1935</v>
      </c>
      <c r="E5" s="1491"/>
    </row>
    <row r="6" spans="1:5" ht="15.75">
      <c r="A6" s="1491"/>
      <c r="B6" s="3470"/>
      <c r="C6" s="1494" t="s">
        <v>907</v>
      </c>
      <c r="D6" s="850" t="str">
        <f ca="1">NUMBERSTRING(INT(D5*10000),2)&amp;"元整"</f>
        <v>壹仟玖佰叁拾伍万元整</v>
      </c>
      <c r="E6" s="1491"/>
    </row>
    <row r="7" spans="1:5" ht="15.75">
      <c r="A7" s="1491"/>
      <c r="B7" s="3475"/>
      <c r="C7" s="1495" t="s">
        <v>908</v>
      </c>
      <c r="D7" s="851">
        <f ca="1">结果表!H102</f>
        <v>1974</v>
      </c>
      <c r="E7" s="1491"/>
    </row>
    <row r="8" spans="1:5" ht="15.75">
      <c r="A8" s="1491"/>
      <c r="B8" s="3476" t="str">
        <f>结果表!E103</f>
        <v>2.估价师知悉的法定优先受偿款</v>
      </c>
      <c r="C8" s="1496" t="s">
        <v>909</v>
      </c>
      <c r="D8" s="851">
        <f>结果表!H103</f>
        <v>0</v>
      </c>
      <c r="E8" s="1491"/>
    </row>
    <row r="9" spans="1:5" ht="15.75">
      <c r="A9" s="1491"/>
      <c r="B9" s="3478"/>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469" t="str">
        <f>结果表!E107</f>
        <v>3.房地产抵押价值</v>
      </c>
      <c r="C13" s="1499" t="s">
        <v>906</v>
      </c>
      <c r="D13" s="853">
        <f ca="1">结果表!H107</f>
        <v>1935</v>
      </c>
      <c r="E13" s="1491"/>
    </row>
    <row r="14" spans="1:5" ht="15.75">
      <c r="A14" s="1491"/>
      <c r="B14" s="3470"/>
      <c r="C14" s="1494" t="s">
        <v>907</v>
      </c>
      <c r="D14" s="850" t="str">
        <f ca="1">NUMBERSTRING(INT(D13*10000),2)&amp;"元整"</f>
        <v>壹仟玖佰叁拾伍万元整</v>
      </c>
      <c r="E14" s="1491"/>
    </row>
    <row r="15" spans="1:5" ht="15">
      <c r="A15" s="1491"/>
      <c r="B15" s="3475"/>
      <c r="C15" s="1495" t="s">
        <v>917</v>
      </c>
      <c r="D15" s="859">
        <f ca="1">结果表!H108</f>
        <v>1974</v>
      </c>
      <c r="E15" s="1491"/>
    </row>
    <row r="16" spans="1:5" ht="15">
      <c r="A16" s="1491"/>
      <c r="B16" s="3476" t="str">
        <f>结果表!E109</f>
        <v>——</v>
      </c>
      <c r="C16" s="1499" t="s">
        <v>918</v>
      </c>
      <c r="D16" s="1500" t="str">
        <f>结果表!H109</f>
        <v>——</v>
      </c>
      <c r="E16" s="1491"/>
    </row>
    <row r="17" spans="1:5" ht="15.75">
      <c r="A17" s="1491"/>
      <c r="B17" s="3477"/>
      <c r="C17" s="1494" t="s">
        <v>919</v>
      </c>
      <c r="D17" s="850" t="e">
        <f>NUMBERSTRING(INT(D16*10000),2)&amp;"元整"</f>
        <v>#VALUE!</v>
      </c>
      <c r="E17" s="1491"/>
    </row>
    <row r="18" spans="1:5" ht="15">
      <c r="A18" s="1491"/>
      <c r="B18" s="3478"/>
      <c r="C18" s="1495" t="s">
        <v>908</v>
      </c>
      <c r="D18" s="859" t="str">
        <f>结果表!H110</f>
        <v>——</v>
      </c>
      <c r="E18" s="1491"/>
    </row>
    <row r="19" spans="1:5" ht="15.75">
      <c r="A19" s="1491"/>
      <c r="B19" s="3469" t="str">
        <f>结果表!E111</f>
        <v>——</v>
      </c>
      <c r="C19" s="1499" t="s">
        <v>906</v>
      </c>
      <c r="D19" s="851" t="str">
        <f>结果表!H111</f>
        <v>——</v>
      </c>
      <c r="E19" s="1491"/>
    </row>
    <row r="20" spans="1:5" ht="15.75">
      <c r="A20" s="1491"/>
      <c r="B20" s="3470"/>
      <c r="C20" s="1494" t="s">
        <v>919</v>
      </c>
      <c r="D20" s="850" t="e">
        <f>NUMBERSTRING(INT(D19*10000),2)&amp;"元整"</f>
        <v>#VALUE!</v>
      </c>
      <c r="E20" s="1491"/>
    </row>
    <row r="21" spans="1:5" ht="15.75" thickBot="1">
      <c r="A21" s="1491"/>
      <c r="B21" s="3471"/>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22749</v>
      </c>
      <c r="C2" s="2" t="s">
        <v>106</v>
      </c>
      <c r="D2" s="199"/>
      <c r="E2" s="199"/>
      <c r="F2" s="199"/>
      <c r="G2" s="199"/>
    </row>
    <row r="3" spans="1:7" s="200" customFormat="1" ht="18" customHeight="1" thickBot="1">
      <c r="A3" s="203" t="s">
        <v>58</v>
      </c>
      <c r="B3" s="204">
        <f ca="1">ROUND(B2*10000/'数据-汇总表'!E3,0)</f>
        <v>23210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80</v>
      </c>
      <c r="F9" s="221"/>
      <c r="G9" s="226"/>
    </row>
    <row r="10" spans="1:7" s="214" customFormat="1" ht="13.5" customHeight="1">
      <c r="A10" s="779" t="s">
        <v>356</v>
      </c>
      <c r="B10" s="224" t="s">
        <v>67</v>
      </c>
      <c r="C10" s="225">
        <f>ROUND(D10*E10/10000,0)</f>
        <v>78</v>
      </c>
      <c r="D10" s="845">
        <f>'数据-汇总表'!E6</f>
        <v>9801.27</v>
      </c>
      <c r="E10" s="225">
        <f>'数据-取费表'!B28</f>
        <v>80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78</v>
      </c>
      <c r="D19" s="849">
        <f>'数据-汇总表'!E3</f>
        <v>9801.27</v>
      </c>
      <c r="E19" s="211">
        <f>'数据-取费表'!B31</f>
        <v>80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0</v>
      </c>
      <c r="D22" s="235">
        <f ca="1">C26</f>
        <v>0</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0</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4.75">
      <c r="A27" s="777" t="s">
        <v>342</v>
      </c>
      <c r="B27" s="244" t="s">
        <v>85</v>
      </c>
      <c r="C27" s="245">
        <f>C28</f>
        <v>0</v>
      </c>
      <c r="D27" s="235">
        <f>C29</f>
        <v>0</v>
      </c>
      <c r="E27" s="236" t="s">
        <v>99</v>
      </c>
      <c r="F27" s="246">
        <f>'数据-取费表'!Q16</f>
        <v>0.1</v>
      </c>
      <c r="G27" s="247" t="s">
        <v>431</v>
      </c>
    </row>
    <row r="28" spans="1:7" s="214" customFormat="1" ht="13.5" customHeight="1">
      <c r="A28" s="780" t="s">
        <v>349</v>
      </c>
      <c r="B28" s="248" t="s">
        <v>424</v>
      </c>
      <c r="C28" s="249">
        <f>ROUND((C5+C19+C20)*F27*'数据-取费表'!B21/'数据-取费表'!B20,0)</f>
        <v>0</v>
      </c>
      <c r="D28" s="235"/>
      <c r="E28" s="236"/>
      <c r="F28" s="246"/>
      <c r="G28" s="247"/>
    </row>
    <row r="29" spans="1:7" s="214" customFormat="1" ht="13.5" customHeight="1">
      <c r="A29" s="780" t="s">
        <v>347</v>
      </c>
      <c r="B29" s="248" t="s">
        <v>425</v>
      </c>
      <c r="C29" s="238">
        <f>ROUND(C21*F27*'数据-取费表'!B21/'数据-取费表'!B20,4)</f>
        <v>0</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22749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0</v>
      </c>
      <c r="G34" s="219" t="s">
        <v>89</v>
      </c>
    </row>
    <row r="35" spans="1:7" ht="13.5" customHeight="1">
      <c r="A35" s="780" t="s">
        <v>351</v>
      </c>
      <c r="B35" s="215" t="s">
        <v>33</v>
      </c>
      <c r="C35" s="220">
        <f>ROUND(C34*F35,0)</f>
        <v>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9801.27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0</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0</v>
      </c>
      <c r="D44" s="238"/>
      <c r="E44" s="238"/>
      <c r="F44" s="239"/>
      <c r="G44" s="3653"/>
    </row>
    <row r="45" spans="1:7" s="214" customFormat="1" ht="13.5" customHeight="1">
      <c r="A45" s="777" t="s">
        <v>341</v>
      </c>
      <c r="B45" s="244" t="s">
        <v>85</v>
      </c>
      <c r="C45" s="245">
        <f>C46</f>
        <v>0</v>
      </c>
      <c r="D45" s="235">
        <f>C47</f>
        <v>2E-3</v>
      </c>
      <c r="E45" s="236" t="s">
        <v>102</v>
      </c>
      <c r="F45" s="246"/>
      <c r="G45" s="247" t="s">
        <v>434</v>
      </c>
    </row>
    <row r="46" spans="1:7" s="214" customFormat="1" ht="13.5" customHeight="1">
      <c r="A46" s="780" t="s">
        <v>349</v>
      </c>
      <c r="B46" s="248" t="s">
        <v>427</v>
      </c>
      <c r="C46" s="249">
        <f>ROUND((C33+C39)*F27,0)</f>
        <v>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0</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0</v>
      </c>
      <c r="D51" s="232"/>
      <c r="E51" s="232"/>
      <c r="F51" s="264"/>
      <c r="G51" s="234" t="s">
        <v>37</v>
      </c>
    </row>
    <row r="52" spans="1:7" s="208" customFormat="1" ht="16.5" thickBot="1">
      <c r="A52" s="265" t="s">
        <v>38</v>
      </c>
      <c r="B52" s="266"/>
      <c r="C52" s="267">
        <f ca="1">C31+C51</f>
        <v>22749</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9" t="s">
        <v>2840</v>
      </c>
      <c r="B1" s="3789"/>
      <c r="C1" s="3789"/>
      <c r="D1" s="3789"/>
      <c r="E1" s="3789"/>
      <c r="F1" s="3789"/>
      <c r="G1" s="3790"/>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787" t="s">
        <v>2867</v>
      </c>
      <c r="B3" s="3228"/>
      <c r="C3" s="3229" t="s">
        <v>2810</v>
      </c>
      <c r="D3" s="3229" t="s">
        <v>2868</v>
      </c>
      <c r="E3" s="3229" t="s">
        <v>2812</v>
      </c>
      <c r="F3" s="3229" t="s">
        <v>2869</v>
      </c>
      <c r="G3" s="3229" t="s">
        <v>2630</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788"/>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1" t="s">
        <v>3182</v>
      </c>
      <c r="B1" s="3791"/>
    </row>
    <row r="2" spans="1:7" ht="14.25" thickBot="1">
      <c r="A2" s="3253"/>
      <c r="B2" s="3253"/>
    </row>
    <row r="3" spans="1:7" ht="14.25" thickBot="1">
      <c r="A3" s="3253"/>
      <c r="B3" s="3253"/>
      <c r="C3" s="3254" t="s">
        <v>2810</v>
      </c>
      <c r="D3" s="3254" t="s">
        <v>2868</v>
      </c>
      <c r="E3" s="3254" t="s">
        <v>2812</v>
      </c>
      <c r="F3" s="3254" t="s">
        <v>2869</v>
      </c>
      <c r="G3" s="3254" t="s">
        <v>2630</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8"/>
  </cols>
  <sheetData>
    <row r="1" spans="1:6">
      <c r="A1" s="3792" t="s">
        <v>3233</v>
      </c>
      <c r="B1" s="3792"/>
      <c r="C1" s="3792"/>
      <c r="D1" s="3792"/>
      <c r="E1" s="3792"/>
      <c r="F1" s="3793"/>
    </row>
    <row r="2" spans="1:6">
      <c r="A2" s="3289" t="s">
        <v>3234</v>
      </c>
      <c r="B2" s="3290"/>
      <c r="C2" s="3290"/>
      <c r="D2" s="3290"/>
      <c r="E2" s="3290"/>
      <c r="F2" s="3290"/>
    </row>
    <row r="3" spans="1:6">
      <c r="A3" s="3289" t="s">
        <v>3235</v>
      </c>
      <c r="B3" s="3290"/>
      <c r="C3" s="3290"/>
      <c r="D3" s="3290"/>
      <c r="E3" s="3290"/>
      <c r="F3" s="3291" t="s">
        <v>3236</v>
      </c>
    </row>
    <row r="4" spans="1:6">
      <c r="A4" s="3292" t="s">
        <v>668</v>
      </c>
      <c r="B4" s="3292" t="s">
        <v>669</v>
      </c>
      <c r="C4" s="3292" t="s">
        <v>21</v>
      </c>
      <c r="D4" s="3292" t="s">
        <v>670</v>
      </c>
      <c r="E4" s="3292" t="s">
        <v>3</v>
      </c>
      <c r="F4" s="3292" t="s">
        <v>3237</v>
      </c>
    </row>
    <row r="5" spans="1:6">
      <c r="A5" s="3293" t="s">
        <v>671</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38"/>
  <sheetViews>
    <sheetView zoomScale="80" zoomScaleNormal="80" workbookViewId="0">
      <selection activeCell="R50" sqref="R50"/>
    </sheetView>
  </sheetViews>
  <sheetFormatPr defaultRowHeight="13.5"/>
  <cols>
    <col min="1" max="1" width="13.875" customWidth="1"/>
    <col min="11" max="17" width="0" hidden="1" customWidth="1"/>
    <col min="25" max="30" width="0" hidden="1" customWidth="1"/>
  </cols>
  <sheetData>
    <row r="1" spans="1:30">
      <c r="A1" s="3219">
        <f>基准地价修正!G23</f>
        <v>45217</v>
      </c>
      <c r="B1" s="3208" t="s">
        <v>2839</v>
      </c>
      <c r="C1" s="3209"/>
      <c r="D1" s="3209"/>
      <c r="E1" s="3209"/>
      <c r="F1" s="3209"/>
      <c r="G1" s="3209"/>
      <c r="H1" s="3209"/>
      <c r="I1" s="3209"/>
      <c r="J1" s="3163"/>
      <c r="K1" s="3209" t="s">
        <v>454</v>
      </c>
      <c r="L1" s="3209"/>
      <c r="M1" s="3209"/>
      <c r="N1" s="3209"/>
      <c r="O1" s="3209"/>
      <c r="P1" s="3209"/>
      <c r="Q1" s="3163"/>
      <c r="R1" s="3794" t="s">
        <v>456</v>
      </c>
      <c r="S1" s="3795"/>
      <c r="T1" s="3795"/>
      <c r="U1" s="3795"/>
      <c r="V1" s="3795"/>
      <c r="W1" s="3795"/>
      <c r="X1" s="3163"/>
      <c r="Y1" s="3794" t="s">
        <v>457</v>
      </c>
      <c r="Z1" s="3795"/>
      <c r="AA1" s="3795"/>
      <c r="AB1" s="3795"/>
      <c r="AC1" s="3795"/>
      <c r="AD1" s="3795"/>
    </row>
    <row r="2" spans="1:30"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row>
    <row r="3" spans="1:30" s="3159" customFormat="1" ht="12.75">
      <c r="A3" s="3147" t="s">
        <v>2818</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3368</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3369</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3373</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3372</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3370</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ROUND(IF([5]项目基本情况!B8="出让",SUMPRODUCT(PRODUCT(1+K9:K16)),SUMPRODUCT(PRODUCT(1+K9:K15))),4)</f>
        <v>1.0565</v>
      </c>
      <c r="S9" s="3181">
        <f>ROUND(IF([5]项目基本情况!B8="出让",SUMPRODUCT(PRODUCT(1+L9:L16)),SUMPRODUCT(PRODUCT(1+L9:L15))),4)</f>
        <v>1.0250999999999999</v>
      </c>
      <c r="T9" s="3181">
        <f>ROUND(IF([5]项目基本情况!B8="出让",SUMPRODUCT(PRODUCT(1+M9:M16)),SUMPRODUCT(PRODUCT(1+M9:M15))),4)</f>
        <v>1.0145</v>
      </c>
      <c r="U9" s="3181">
        <f>ROUND(IF([5]项目基本情况!B8="出让",SUMPRODUCT(PRODUCT(1+N9:N16)),SUMPRODUCT(PRODUCT(1+N9:N15))),4)</f>
        <v>1.0618000000000001</v>
      </c>
      <c r="V9" s="3181">
        <f>ROUND(IF([5]项目基本情况!B8="出让",SUMPRODUCT(PRODUCT(1+O9:O16)),SUMPRODUCT(PRODUCT(1+O9:O15))),4)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3364</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ROUND(IF([5]项目基本情况!B8="出让",SUMPRODUCT(PRODUCT(1+K10:K16)),SUMPRODUCT(PRODUCT(1+K10:K15))),4)</f>
        <v>1.05</v>
      </c>
      <c r="S10" s="3181">
        <f>ROUND(IF([5]项目基本情况!B8="出让",SUMPRODUCT(PRODUCT(1+L10:L16)),SUMPRODUCT(PRODUCT(1+L10:L15))),4)</f>
        <v>1.0229999999999999</v>
      </c>
      <c r="T10" s="3181">
        <f>ROUND(IF([5]项目基本情况!B8="出让",SUMPRODUCT(PRODUCT(1+M10:M16)),SUMPRODUCT(PRODUCT(1+M10:M15))),4)</f>
        <v>1.0134000000000001</v>
      </c>
      <c r="U10" s="3181">
        <f>ROUND(IF([5]项目基本情况!B8="出让",SUMPRODUCT(PRODUCT(1+N10:N16)),SUMPRODUCT(PRODUCT(1+N10:N15))),4)</f>
        <v>1.0545</v>
      </c>
      <c r="V10" s="3181">
        <f>ROUND(IF([5]项目基本情况!B8="出让",SUMPRODUCT(PRODUCT(1+O10:O16)),SUMPRODUCT(PRODUCT(1+O10:O15))),4)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3355</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ROUND(IF([5]项目基本情况!B8="出让",SUMPRODUCT(PRODUCT(1+K11:K16)),SUMPRODUCT(PRODUCT(1+K11:K15))),4)</f>
        <v>1.0430999999999999</v>
      </c>
      <c r="S11" s="3181">
        <f>ROUND(IF([5]项目基本情况!B8="出让",SUMPRODUCT(PRODUCT(1+L11:L16)),SUMPRODUCT(PRODUCT(1+L11:L15))),4)</f>
        <v>1.0197000000000001</v>
      </c>
      <c r="T11" s="3181">
        <f>ROUND(IF([5]项目基本情况!B8="出让",SUMPRODUCT(PRODUCT(1+M11:M16)),SUMPRODUCT(PRODUCT(1+M11:M15))),4)</f>
        <v>1.0109999999999999</v>
      </c>
      <c r="U11" s="3181">
        <f>ROUND(IF([5]项目基本情况!B8="出让",SUMPRODUCT(PRODUCT(1+N11:N16)),SUMPRODUCT(PRODUCT(1+N11:N15))),4)</f>
        <v>1.0468999999999999</v>
      </c>
      <c r="V11" s="3181">
        <f>ROUND(IF([5]项目基本情况!B8="出让",SUMPRODUCT(PRODUCT(1+O11:O16)),SUMPRODUCT(PRODUCT(1+O11:O15))),4)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2819</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ROUND(IF([5]项目基本情况!B8="出让",SUMPRODUCT(PRODUCT(1+K12:K16)),SUMPRODUCT(PRODUCT(1+K12:K15))),4)</f>
        <v>1.0335000000000001</v>
      </c>
      <c r="S12" s="3181">
        <f>ROUND(IF([5]项目基本情况!B8="出让",SUMPRODUCT(PRODUCT(1+L12:L16)),SUMPRODUCT(PRODUCT(1+L12:L15))),4)</f>
        <v>1.0182</v>
      </c>
      <c r="T12" s="3181">
        <f>ROUND(IF([5]项目基本情况!B8="出让",SUMPRODUCT(PRODUCT(1+M12:M16)),SUMPRODUCT(PRODUCT(1+M12:M15))),4)</f>
        <v>1.0108999999999999</v>
      </c>
      <c r="U12" s="3181">
        <f>ROUND(IF([5]项目基本情况!B8="出让",SUMPRODUCT(PRODUCT(1+N12:N16)),SUMPRODUCT(PRODUCT(1+N12:N15))),4)</f>
        <v>1.0361</v>
      </c>
      <c r="V12" s="3181">
        <f>ROUND(IF([5]项目基本情况!B8="出让",SUMPRODUCT(PRODUCT(1+O12:O16)),SUMPRODUCT(PRODUCT(1+O12:O15))),4)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2820</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ROUND(IF([5]项目基本情况!B8="出让",SUMPRODUCT(PRODUCT(1+K13:K16)),SUMPRODUCT(PRODUCT(1+K13:K15))),4)</f>
        <v>1.0244</v>
      </c>
      <c r="S13" s="3181">
        <f>ROUND(IF([5]项目基本情况!B8="出让",SUMPRODUCT(PRODUCT(1+L13:L16)),SUMPRODUCT(PRODUCT(1+L13:L15))),4)</f>
        <v>1.0138</v>
      </c>
      <c r="T13" s="3181">
        <f>ROUND(IF([5]项目基本情况!B8="出让",SUMPRODUCT(PRODUCT(1+M13:M16)),SUMPRODUCT(PRODUCT(1+M13:M15))),4)</f>
        <v>1.0072000000000001</v>
      </c>
      <c r="U13" s="3181">
        <f>ROUND(IF([5]项目基本情况!B8="出让",SUMPRODUCT(PRODUCT(1+N13:N16)),SUMPRODUCT(PRODUCT(1+N13:N15))),4)</f>
        <v>1.0262</v>
      </c>
      <c r="V13" s="3181">
        <f>ROUND(IF([5]项目基本情况!B8="出让",SUMPRODUCT(PRODUCT(1+O13:O16)),SUMPRODUCT(PRODUCT(1+O13:O15))),4)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2821</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ROUND(IF([5]项目基本情况!B8="出让",SUMPRODUCT(PRODUCT(1+K14:K16)),SUMPRODUCT(PRODUCT(1+K14:K15))),4)</f>
        <v>1.0139</v>
      </c>
      <c r="S14" s="3181">
        <f>ROUND(IF([5]项目基本情况!B8="出让",SUMPRODUCT(PRODUCT(1+L14:L16)),SUMPRODUCT(PRODUCT(1+L14:L15))),4)</f>
        <v>1.0113000000000001</v>
      </c>
      <c r="T14" s="3181">
        <f>ROUND(IF([5]项目基本情况!B8="出让",SUMPRODUCT(PRODUCT(1+M14:M16)),SUMPRODUCT(PRODUCT(1+M14:M15))),4)</f>
        <v>1.0065</v>
      </c>
      <c r="U14" s="3181">
        <f>ROUND(IF([5]项目基本情况!B8="出让",SUMPRODUCT(PRODUCT(1+N14:N16)),SUMPRODUCT(PRODUCT(1+N14:N15))),4)</f>
        <v>1.0143</v>
      </c>
      <c r="V14" s="3181">
        <f>ROUND(IF([5]项目基本情况!B8="出让",SUMPRODUCT(PRODUCT(1+O14:O16)),SUMPRODUCT(PRODUCT(1+O14:O15))),4)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2822</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ROUND(IF([5]项目基本情况!B8="出让",SUMPRODUCT(PRODUCT(1+K15:K16)),SUMPRODUCT(PRODUCT(1+K15:K15))),4)</f>
        <v>1.0092000000000001</v>
      </c>
      <c r="S15" s="3181">
        <f>ROUND(IF([5]项目基本情况!B8="出让",SUMPRODUCT(PRODUCT(1+L15:L16)),SUMPRODUCT(PRODUCT(1+L15:L15))),4)</f>
        <v>1.0072000000000001</v>
      </c>
      <c r="T15" s="3181">
        <f>ROUND(IF([5]项目基本情况!B8="出让",SUMPRODUCT(PRODUCT(1+M15:M16)),SUMPRODUCT(PRODUCT(1+M15:M15))),4)</f>
        <v>1.0041</v>
      </c>
      <c r="U15" s="3181">
        <f>ROUND(IF([5]项目基本情况!B8="出让",SUMPRODUCT(PRODUCT(1+N15:N16)),SUMPRODUCT(PRODUCT(1+N15:N15))),4)</f>
        <v>1.0095000000000001</v>
      </c>
      <c r="V15" s="3181">
        <f>ROUND(IF([5]项目基本情况!B8="出让",SUMPRODUCT(PRODUCT(1+O15:O16)),SUMPRODUCT(PRODUCT(1+O15:O15))),4)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2823</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4" t="s">
        <v>3366</v>
      </c>
    </row>
    <row r="19" spans="1:30" s="3007" customFormat="1">
      <c r="I19" s="3206" t="s">
        <v>2824</v>
      </c>
    </row>
    <row r="20" spans="1:30" s="3007" customFormat="1"/>
    <row r="21" spans="1:30" s="3207" customFormat="1" ht="12.75">
      <c r="B21" s="3208" t="s">
        <v>2825</v>
      </c>
      <c r="C21" s="3209"/>
      <c r="D21" s="3209"/>
      <c r="E21" s="3209"/>
      <c r="F21" s="3209"/>
      <c r="G21" s="3209"/>
      <c r="H21" s="3209"/>
      <c r="I21" s="3209"/>
      <c r="J21" s="3163"/>
      <c r="K21" s="3209" t="s">
        <v>2826</v>
      </c>
      <c r="L21" s="3209"/>
      <c r="M21" s="3209"/>
      <c r="N21" s="3209"/>
      <c r="O21" s="3209"/>
      <c r="P21" s="3209"/>
      <c r="Q21" s="3163"/>
      <c r="R21" s="3794" t="s">
        <v>2827</v>
      </c>
      <c r="S21" s="3795"/>
      <c r="T21" s="3795"/>
      <c r="U21" s="3795"/>
      <c r="V21" s="3795"/>
      <c r="W21" s="3795"/>
      <c r="X21" s="3163"/>
      <c r="Y21" s="3794" t="s">
        <v>2828</v>
      </c>
      <c r="Z21" s="3795"/>
      <c r="AA21" s="3795"/>
      <c r="AB21" s="3795"/>
      <c r="AC21" s="3795"/>
      <c r="AD21" s="3795"/>
    </row>
    <row r="22" spans="1:30" s="3141" customFormat="1" ht="14.25" thickBot="1">
      <c r="B22" s="3142"/>
      <c r="C22" s="3143"/>
      <c r="D22" s="3144" t="s">
        <v>2829</v>
      </c>
      <c r="E22" s="3145" t="s">
        <v>2830</v>
      </c>
      <c r="F22" s="3145" t="s">
        <v>2831</v>
      </c>
      <c r="G22" s="3145" t="s">
        <v>2832</v>
      </c>
      <c r="H22" s="3145"/>
      <c r="I22" s="3145" t="s">
        <v>2833</v>
      </c>
      <c r="J22" s="3146"/>
      <c r="K22" s="3144" t="s">
        <v>2829</v>
      </c>
      <c r="L22" s="3145" t="s">
        <v>2830</v>
      </c>
      <c r="M22" s="3145" t="s">
        <v>2831</v>
      </c>
      <c r="N22" s="3145" t="s">
        <v>2832</v>
      </c>
      <c r="O22" s="3145"/>
      <c r="P22" s="3145" t="s">
        <v>2833</v>
      </c>
      <c r="Q22" s="3146"/>
      <c r="R22" s="3144" t="s">
        <v>2829</v>
      </c>
      <c r="S22" s="3145" t="s">
        <v>2830</v>
      </c>
      <c r="T22" s="3145" t="s">
        <v>2831</v>
      </c>
      <c r="U22" s="3145" t="s">
        <v>2832</v>
      </c>
      <c r="V22" s="3145"/>
      <c r="W22" s="3145" t="s">
        <v>2833</v>
      </c>
      <c r="X22" s="3146"/>
      <c r="Y22" s="3144" t="s">
        <v>2829</v>
      </c>
      <c r="Z22" s="3145" t="s">
        <v>2830</v>
      </c>
      <c r="AA22" s="3145" t="s">
        <v>2831</v>
      </c>
      <c r="AB22" s="3145" t="s">
        <v>2832</v>
      </c>
      <c r="AC22" s="3145"/>
      <c r="AD22" s="3145" t="s">
        <v>2833</v>
      </c>
    </row>
    <row r="23" spans="1:30" s="3159" customFormat="1" ht="12.75">
      <c r="A23" s="3147" t="s">
        <v>2834</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3368</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ROUND(IF([5]项目基本情况!$B$8="出让",SUMPRODUCT(PRODUCT(1+L25:L$36)),SUMPRODUCT(PRODUCT(1+L25:L$35))),4)</f>
        <v>1.0396000000000001</v>
      </c>
      <c r="T25" s="3181">
        <f>ROUND(IF([5]项目基本情况!$B$8="出让",SUMPRODUCT(PRODUCT(1+M25:M$36)),SUMPRODUCT(PRODUCT(1+M25:M$35))),4)</f>
        <v>1.0269999999999999</v>
      </c>
      <c r="U25" s="3181">
        <f>ROUND(IF([5]项目基本情况!$B$8="出让",SUMPRODUCT(PRODUCT(1+N25:N$36)),SUMPRODUCT(PRODUCT(1+N25:N$35))),4)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3369</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ROUND(IF([5]项目基本情况!$B$8="出让",SUMPRODUCT(PRODUCT(1+L26:L$36)),SUMPRODUCT(PRODUCT(1+L26:L$35))),4)</f>
        <v>1.0396000000000001</v>
      </c>
      <c r="T26" s="3181">
        <f>ROUND(IF([5]项目基本情况!$B$8="出让",SUMPRODUCT(PRODUCT(1+M26:M$36)),SUMPRODUCT(PRODUCT(1+M26:M$35))),4)</f>
        <v>1.0269999999999999</v>
      </c>
      <c r="U26" s="3181">
        <f>ROUND(IF([5]项目基本情况!$B$8="出让",SUMPRODUCT(PRODUCT(1+N26:N$36)),SUMPRODUCT(PRODUCT(1+N26:N$35))),4)</f>
        <v>1.0668</v>
      </c>
      <c r="V26" s="3181"/>
      <c r="W26" s="3181">
        <f t="shared" ref="W26:W28" si="32">T26</f>
        <v>1.0269999999999999</v>
      </c>
      <c r="X26" s="3179"/>
      <c r="Y26" s="3182"/>
      <c r="Z26" s="3210"/>
      <c r="AA26" s="3445"/>
      <c r="AB26" s="3445"/>
      <c r="AC26" s="3211"/>
      <c r="AD26" s="3182"/>
    </row>
    <row r="27" spans="1:30" s="3193" customFormat="1" ht="12.75">
      <c r="A27" s="3184" t="s">
        <v>3371</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ROUND(IF([5]项目基本情况!$B$8="出让",SUMPRODUCT(PRODUCT(1+L27:L$36)),SUMPRODUCT(PRODUCT(1+L27:L$35))),4)</f>
        <v>1.0396000000000001</v>
      </c>
      <c r="T27" s="3190">
        <f>ROUND(IF([5]项目基本情况!$B$8="出让",SUMPRODUCT(PRODUCT(1+M27:M$36)),SUMPRODUCT(PRODUCT(1+M27:M$35))),4)</f>
        <v>1.0269999999999999</v>
      </c>
      <c r="U27" s="3190">
        <f>ROUND(IF([5]项目基本情况!$B$8="出让",SUMPRODUCT(PRODUCT(1+N27:N$36)),SUMPRODUCT(PRODUCT(1+N27:N$35))),4)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3372</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ROUND(IF([5]项目基本情况!$B$8="出让",SUMPRODUCT(PRODUCT(1+L28:L$36)),SUMPRODUCT(PRODUCT(1+L28:L$35))),4)</f>
        <v>1.0344</v>
      </c>
      <c r="T28" s="3181">
        <f>ROUND(IF([5]项目基本情况!$B$8="出让",SUMPRODUCT(PRODUCT(1+M28:M$36)),SUMPRODUCT(PRODUCT(1+M28:M$35))),4)</f>
        <v>1.0224</v>
      </c>
      <c r="U28" s="3181">
        <f>ROUND(IF([5]项目基本情况!$B$8="出让",SUMPRODUCT(PRODUCT(1+N28:N$36)),SUMPRODUCT(PRODUCT(1+N28:N$35))),4)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3370</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ROUND(IF([5]项目基本情况!$B$8="出让",SUMPRODUCT(PRODUCT(1+L29:L$36)),SUMPRODUCT(PRODUCT(1+L29:L$35))),4)</f>
        <v>1.0286999999999999</v>
      </c>
      <c r="T29" s="3181">
        <f>ROUND(IF([5]项目基本情况!$B$8="出让",SUMPRODUCT(PRODUCT(1+M29:M$36)),SUMPRODUCT(PRODUCT(1+M29:M$35))),4)</f>
        <v>1.0164</v>
      </c>
      <c r="U29" s="3181">
        <f>ROUND(IF([5]项目基本情况!$B$8="出让",SUMPRODUCT(PRODUCT(1+N29:N$36)),SUMPRODUCT(PRODUCT(1+N29:N$35))),4)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3365</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ROUND(IF([5]项目基本情况!$B$8="出让",SUMPRODUCT(PRODUCT(1+L30:L$36)),SUMPRODUCT(PRODUCT(1+L30:L$35))),4)</f>
        <v>1.0241</v>
      </c>
      <c r="T30" s="3181">
        <f>ROUND(IF([5]项目基本情况!$B$8="出让",SUMPRODUCT(PRODUCT(1+M30:M$36)),SUMPRODUCT(PRODUCT(1+M30:M$35))),4)</f>
        <v>1.0144</v>
      </c>
      <c r="U30" s="3181">
        <f>ROUND(IF([5]项目基本情况!$B$8="出让",SUMPRODUCT(PRODUCT(1+N30:N$36)),SUMPRODUCT(PRODUCT(1+N30:N$35))),4)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3355</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ROUND(IF([5]项目基本情况!$B$8="出让",SUMPRODUCT(PRODUCT(1+L31:L$36)),SUMPRODUCT(PRODUCT(1+L31:L$35))),4)</f>
        <v>1.0210999999999999</v>
      </c>
      <c r="T31" s="3181">
        <f>ROUND(IF([5]项目基本情况!$B$8="出让",SUMPRODUCT(PRODUCT(1+M31:M$36)),SUMPRODUCT(PRODUCT(1+M31:M$35))),4)</f>
        <v>1.0114000000000001</v>
      </c>
      <c r="U31" s="3181">
        <f>ROUND(IF([5]项目基本情况!$B$8="出让",SUMPRODUCT(PRODUCT(1+N31:N$36)),SUMPRODUCT(PRODUCT(1+N31:N$35))),4)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2835</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ROUND(IF([5]项目基本情况!$B$8="出让",SUMPRODUCT(PRODUCT(1+L32:L$36)),SUMPRODUCT(PRODUCT(1+L32:L$35))),4)</f>
        <v>1.0222</v>
      </c>
      <c r="T32" s="3181">
        <f>ROUND(IF([5]项目基本情况!$B$8="出让",SUMPRODUCT(PRODUCT(1+M32:M$36)),SUMPRODUCT(PRODUCT(1+M32:M$35))),4)</f>
        <v>1.0127999999999999</v>
      </c>
      <c r="U32" s="3181">
        <f>ROUND(IF([5]项目基本情况!$B$8="出让",SUMPRODUCT(PRODUCT(1+N32:N$36)),SUMPRODUCT(PRODUCT(1+N32:N$35))),4)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2836</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ROUND(IF([5]项目基本情况!$B$8="出让",SUMPRODUCT(PRODUCT(1+L33:L$36)),SUMPRODUCT(PRODUCT(1+L33:L$35))),4)</f>
        <v>1.0161</v>
      </c>
      <c r="T33" s="3181">
        <f>ROUND(IF([5]项目基本情况!$B$8="出让",SUMPRODUCT(PRODUCT(1+M33:M$36)),SUMPRODUCT(PRODUCT(1+M33:M$35))),4)</f>
        <v>1.0082</v>
      </c>
      <c r="U33" s="3181">
        <f>ROUND(IF([5]项目基本情况!$B$8="出让",SUMPRODUCT(PRODUCT(1+N33:N$36)),SUMPRODUCT(PRODUCT(1+N33:N$35))),4)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2837</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ROUND(IF([5]项目基本情况!$B$8="出让",SUMPRODUCT(PRODUCT(1+L34:L$36)),SUMPRODUCT(PRODUCT(1+L34:L$35))),4)</f>
        <v>1.0102</v>
      </c>
      <c r="T34" s="3181">
        <f>ROUND(IF([5]项目基本情况!$B$8="出让",SUMPRODUCT(PRODUCT(1+M34:M$36)),SUMPRODUCT(PRODUCT(1+M34:M$35))),4)</f>
        <v>1.0074000000000001</v>
      </c>
      <c r="U34" s="3181">
        <f>ROUND(IF([5]项目基本情况!$B$8="出让",SUMPRODUCT(PRODUCT(1+N34:N$36)),SUMPRODUCT(PRODUCT(1+N34:N$35))),4)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2838</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ROUND(IF([5]项目基本情况!$B$8="出让",SUMPRODUCT(PRODUCT(1+L35:L$36)),SUMPRODUCT(PRODUCT(1+L35:L$35))),4)</f>
        <v>1.0055000000000001</v>
      </c>
      <c r="T35" s="3181">
        <f>ROUND(IF([5]项目基本情况!$B$8="出让",SUMPRODUCT(PRODUCT(1+M35:M$36)),SUMPRODUCT(PRODUCT(1+M35:M$35))),4)</f>
        <v>1.0045999999999999</v>
      </c>
      <c r="U35" s="3181">
        <f>ROUND(IF([5]项目基本情况!$B$8="出让",SUMPRODUCT(PRODUCT(1+N35:N$36)),SUMPRODUCT(PRODUCT(1+N35:N$35))),4)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2823</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4"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1" t="s">
        <v>452</v>
      </c>
      <c r="C1" s="3801"/>
      <c r="D1" s="3801"/>
      <c r="E1" s="3801"/>
      <c r="F1" s="3801"/>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1" customFormat="1" ht="14.25" thickBot="1">
      <c r="B2" s="2172" t="s">
        <v>458</v>
      </c>
      <c r="C2" s="2172" t="s">
        <v>459</v>
      </c>
      <c r="D2" s="2173" t="s">
        <v>460</v>
      </c>
      <c r="E2" s="2173" t="s">
        <v>461</v>
      </c>
      <c r="F2" s="2172" t="s">
        <v>462</v>
      </c>
      <c r="G2" s="2174"/>
      <c r="I2" s="2172" t="s">
        <v>458</v>
      </c>
      <c r="J2" s="2173" t="s">
        <v>672</v>
      </c>
      <c r="K2" s="2173" t="s">
        <v>308</v>
      </c>
      <c r="L2" s="2172" t="s">
        <v>462</v>
      </c>
      <c r="N2" s="2172" t="s">
        <v>458</v>
      </c>
      <c r="O2" s="2173" t="s">
        <v>672</v>
      </c>
      <c r="P2" s="2173" t="s">
        <v>308</v>
      </c>
      <c r="Q2" s="2172" t="s">
        <v>462</v>
      </c>
      <c r="S2" s="2172" t="s">
        <v>458</v>
      </c>
      <c r="T2" s="2173" t="s">
        <v>672</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2109</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2110</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2125</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2123</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2122</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2121</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2119</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2118</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2120</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2116</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2115</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2108</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2106</v>
      </c>
      <c r="B25" s="2219">
        <v>439</v>
      </c>
      <c r="C25" s="2219">
        <v>327</v>
      </c>
      <c r="D25" s="2219">
        <f>C25</f>
        <v>327</v>
      </c>
      <c r="E25" s="2219">
        <v>627</v>
      </c>
      <c r="F25" s="2220">
        <v>283</v>
      </c>
      <c r="G25" s="380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2107</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673</v>
      </c>
      <c r="B27" s="2205">
        <f t="shared" si="232"/>
        <v>419.31181600000002</v>
      </c>
      <c r="C27" s="2205">
        <f t="shared" si="233"/>
        <v>313.95436800000004</v>
      </c>
      <c r="D27" s="2205">
        <f t="shared" si="234"/>
        <v>313.95436800000004</v>
      </c>
      <c r="E27" s="2205">
        <f t="shared" si="235"/>
        <v>596.63028431999999</v>
      </c>
      <c r="F27" s="2205">
        <f t="shared" si="236"/>
        <v>274.74220703999998</v>
      </c>
      <c r="G27" s="379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45217</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2308</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8"/>
  <sheetViews>
    <sheetView workbookViewId="0">
      <selection activeCell="I16" sqref="I16"/>
    </sheetView>
  </sheetViews>
  <sheetFormatPr defaultRowHeight="13.5"/>
  <cols>
    <col min="8" max="8" width="10.625" customWidth="1"/>
    <col min="9" max="9" width="11.375" customWidth="1"/>
  </cols>
  <sheetData>
    <row r="1" spans="1:9" ht="25.5" customHeight="1" thickTop="1">
      <c r="A1" s="3809" t="s">
        <v>3429</v>
      </c>
      <c r="B1" s="3809" t="s">
        <v>3430</v>
      </c>
      <c r="C1" s="3811" t="s">
        <v>3431</v>
      </c>
      <c r="D1" s="3813" t="s">
        <v>3432</v>
      </c>
      <c r="E1" s="3814"/>
      <c r="F1" s="3807" t="s">
        <v>3433</v>
      </c>
      <c r="G1" s="3808"/>
      <c r="H1" s="3807" t="s">
        <v>3434</v>
      </c>
      <c r="I1" s="3808"/>
    </row>
    <row r="2" spans="1:9">
      <c r="A2" s="3810"/>
      <c r="B2" s="3810"/>
      <c r="C2" s="3812"/>
      <c r="D2" s="3461" t="s">
        <v>3427</v>
      </c>
      <c r="E2" s="3461" t="s">
        <v>3435</v>
      </c>
      <c r="F2" s="3461" t="s">
        <v>3436</v>
      </c>
      <c r="G2" s="3461" t="s">
        <v>3435</v>
      </c>
      <c r="H2" s="3461" t="s">
        <v>3436</v>
      </c>
      <c r="I2" s="3461" t="s">
        <v>3435</v>
      </c>
    </row>
    <row r="3" spans="1:9" ht="101.25">
      <c r="A3" s="3462" t="s">
        <v>3437</v>
      </c>
      <c r="B3" s="3463">
        <f>系统读取表!B14</f>
        <v>9801.27</v>
      </c>
      <c r="C3" s="3463">
        <f>系统读取表!C14</f>
        <v>7720.87</v>
      </c>
      <c r="D3" s="3464">
        <f ca="1">系统读取表!D14</f>
        <v>1935</v>
      </c>
      <c r="E3" s="3464">
        <f ca="1">系统读取表!E14</f>
        <v>1974</v>
      </c>
      <c r="F3" s="3461" t="s">
        <v>43</v>
      </c>
      <c r="G3" s="3461" t="s">
        <v>43</v>
      </c>
      <c r="H3" s="3464">
        <f t="shared" ref="H3:I5" ca="1" si="0">D3</f>
        <v>1935</v>
      </c>
      <c r="I3" s="3464">
        <f t="shared" ca="1" si="0"/>
        <v>1974</v>
      </c>
    </row>
    <row r="4" spans="1:9" ht="126.75">
      <c r="A4" s="3462" t="s">
        <v>3438</v>
      </c>
      <c r="B4" s="3463">
        <f>系统读取表!B15</f>
        <v>66832.349999999991</v>
      </c>
      <c r="C4" s="3463">
        <f>系统读取表!C15</f>
        <v>36830.400000000001</v>
      </c>
      <c r="D4" s="3464">
        <f ca="1">系统读取表!D15</f>
        <v>39215</v>
      </c>
      <c r="E4" s="3464">
        <f ca="1">系统读取表!E15</f>
        <v>5868</v>
      </c>
      <c r="F4" s="3461" t="s">
        <v>43</v>
      </c>
      <c r="G4" s="3461" t="s">
        <v>43</v>
      </c>
      <c r="H4" s="3464">
        <f t="shared" ca="1" si="0"/>
        <v>39215</v>
      </c>
      <c r="I4" s="3464">
        <f t="shared" ca="1" si="0"/>
        <v>5868</v>
      </c>
    </row>
    <row r="5" spans="1:9" ht="126.75">
      <c r="A5" s="3462" t="s">
        <v>3439</v>
      </c>
      <c r="B5" s="3463">
        <f>系统读取表!B17</f>
        <v>57229.579999999994</v>
      </c>
      <c r="C5" s="3463">
        <f>系统读取表!C17</f>
        <v>31416.240000000002</v>
      </c>
      <c r="D5" s="3464">
        <f ca="1">系统读取表!D17</f>
        <v>34175</v>
      </c>
      <c r="E5" s="3464">
        <f ca="1">系统读取表!E17</f>
        <v>5972</v>
      </c>
      <c r="F5" s="3461" t="s">
        <v>43</v>
      </c>
      <c r="G5" s="3461" t="s">
        <v>43</v>
      </c>
      <c r="H5" s="3464">
        <f t="shared" ca="1" si="0"/>
        <v>34175</v>
      </c>
      <c r="I5" s="3464">
        <f t="shared" ca="1" si="0"/>
        <v>5972</v>
      </c>
    </row>
    <row r="6" spans="1:9" ht="89.25">
      <c r="A6" s="3462" t="s">
        <v>3440</v>
      </c>
      <c r="B6" s="3463">
        <f>系统读取表!B16</f>
        <v>44767.379999999852</v>
      </c>
      <c r="C6" s="3464">
        <f>系统读取表!C16</f>
        <v>0</v>
      </c>
      <c r="D6" s="3465" t="e">
        <f>#REF!</f>
        <v>#REF!</v>
      </c>
      <c r="E6" s="3465" t="e">
        <f>#REF!</f>
        <v>#REF!</v>
      </c>
      <c r="F6" s="3465" t="e">
        <f>#REF!</f>
        <v>#REF!</v>
      </c>
      <c r="G6" s="3465" t="e">
        <f>#REF!</f>
        <v>#REF!</v>
      </c>
      <c r="H6" s="3464">
        <f ca="1">系统读取表!D16</f>
        <v>44593</v>
      </c>
      <c r="I6" s="3464">
        <f ca="1">系统读取表!E16</f>
        <v>9961</v>
      </c>
    </row>
    <row r="7" spans="1:9" ht="14.25" thickBot="1">
      <c r="A7" s="3466" t="s">
        <v>3441</v>
      </c>
      <c r="B7" s="3467">
        <f>SUM(B3:B6)</f>
        <v>178630.57999999984</v>
      </c>
      <c r="C7" s="3467">
        <f>SUM(C3:C6)</f>
        <v>75967.510000000009</v>
      </c>
      <c r="D7" s="3815" t="e">
        <f ca="1">SUM(D3:D6)</f>
        <v>#REF!</v>
      </c>
      <c r="E7" s="3816"/>
      <c r="F7" s="3815" t="e">
        <f>SUM(F3:F6)</f>
        <v>#REF!</v>
      </c>
      <c r="G7" s="3816"/>
      <c r="H7" s="3815">
        <f ca="1">SUM(H3:H6)</f>
        <v>119918</v>
      </c>
      <c r="I7" s="3816"/>
    </row>
    <row r="8" spans="1:9" ht="14.25" thickTop="1">
      <c r="D8" s="3817" t="e">
        <f ca="1">D7</f>
        <v>#REF!</v>
      </c>
      <c r="E8" s="3817"/>
      <c r="F8" s="3817" t="e">
        <f>F7</f>
        <v>#REF!</v>
      </c>
      <c r="G8" s="3817"/>
      <c r="H8" s="3817">
        <f ca="1">H7</f>
        <v>119918</v>
      </c>
      <c r="I8" s="3817"/>
    </row>
  </sheetData>
  <mergeCells count="12">
    <mergeCell ref="D7:E7"/>
    <mergeCell ref="F7:G7"/>
    <mergeCell ref="H7:I7"/>
    <mergeCell ref="D8:E8"/>
    <mergeCell ref="F8:G8"/>
    <mergeCell ref="H8:I8"/>
    <mergeCell ref="H1:I1"/>
    <mergeCell ref="A1:A2"/>
    <mergeCell ref="B1:B2"/>
    <mergeCell ref="C1:C2"/>
    <mergeCell ref="D1:E1"/>
    <mergeCell ref="F1:G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924</v>
      </c>
      <c r="B2" s="3480" t="s">
        <v>925</v>
      </c>
      <c r="C2" s="3480" t="s">
        <v>926</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854" t="s">
        <v>921</v>
      </c>
      <c r="E3" s="854" t="s">
        <v>927</v>
      </c>
      <c r="F3" s="854" t="s">
        <v>921</v>
      </c>
      <c r="G3" s="854" t="s">
        <v>922</v>
      </c>
      <c r="H3" s="854" t="s">
        <v>921</v>
      </c>
      <c r="I3" s="854" t="s">
        <v>922</v>
      </c>
    </row>
    <row r="4" spans="1:9" ht="45">
      <c r="A4" s="1505" t="str">
        <f>项目基本情况!S2</f>
        <v>北京市平谷区金海湖镇PG06-0100-6019地块1宗商业、地下车库用地房地产</v>
      </c>
      <c r="B4" s="854">
        <f>项目基本情况!C17</f>
        <v>9801.27</v>
      </c>
      <c r="C4" s="854">
        <f>项目基本情况!C18</f>
        <v>7720.87</v>
      </c>
      <c r="D4" s="854">
        <f>结果表!D118</f>
        <v>0</v>
      </c>
      <c r="E4" s="854">
        <f>结果表!E118</f>
        <v>0</v>
      </c>
      <c r="F4" s="854">
        <f>结果表!F118</f>
        <v>0</v>
      </c>
      <c r="G4" s="854">
        <f>结果表!G118</f>
        <v>0</v>
      </c>
      <c r="H4" s="854">
        <f ca="1">结果表!H118</f>
        <v>1935</v>
      </c>
      <c r="I4" s="854">
        <f ca="1">结果表!I118</f>
        <v>1974</v>
      </c>
    </row>
    <row r="5" spans="1:9" ht="30" customHeight="1">
      <c r="A5" s="3481" t="s">
        <v>923</v>
      </c>
      <c r="B5" s="3481"/>
      <c r="C5" s="3481"/>
      <c r="D5" s="3481" t="str">
        <f>结果表!D119</f>
        <v>零元整</v>
      </c>
      <c r="E5" s="3481"/>
      <c r="F5" s="3481" t="str">
        <f>结果表!F119</f>
        <v>零元整</v>
      </c>
      <c r="G5" s="3481"/>
      <c r="H5" s="3481" t="str">
        <f ca="1">结果表!H119</f>
        <v>壹仟玖佰叁拾伍万元整</v>
      </c>
      <c r="I5" s="3481"/>
    </row>
    <row r="6" spans="1:9" ht="15.75">
      <c r="A6" s="3482" t="str">
        <f>结果表!A120</f>
        <v>估价师知悉的法定优先受偿款</v>
      </c>
      <c r="B6" s="3482"/>
      <c r="C6" s="3482"/>
      <c r="D6" s="3482">
        <f>结果表!D120</f>
        <v>0</v>
      </c>
      <c r="E6" s="3482"/>
      <c r="F6" s="3482"/>
      <c r="G6" s="3482"/>
      <c r="H6" s="3482"/>
      <c r="I6" s="3482"/>
    </row>
    <row r="7" spans="1:9" ht="15">
      <c r="A7" s="3481" t="s">
        <v>923</v>
      </c>
      <c r="B7" s="3481"/>
      <c r="C7" s="3481"/>
      <c r="D7" s="3483" t="str">
        <f>结果表!D121</f>
        <v>零元整</v>
      </c>
      <c r="E7" s="3484"/>
      <c r="F7" s="3484"/>
      <c r="G7" s="3484"/>
      <c r="H7" s="3484"/>
      <c r="I7" s="3485"/>
    </row>
    <row r="8" spans="1:9" ht="15.75">
      <c r="A8" s="3482" t="str">
        <f>结果表!A122</f>
        <v>房地产抵押价值</v>
      </c>
      <c r="B8" s="3482"/>
      <c r="C8" s="3482"/>
      <c r="D8" s="3482">
        <f ca="1">结果表!D122</f>
        <v>1935</v>
      </c>
      <c r="E8" s="3482"/>
      <c r="F8" s="3482"/>
      <c r="G8" s="3482"/>
      <c r="H8" s="3482"/>
      <c r="I8" s="3482"/>
    </row>
    <row r="9" spans="1:9" ht="15">
      <c r="A9" s="3481" t="s">
        <v>923</v>
      </c>
      <c r="B9" s="3481"/>
      <c r="C9" s="3481"/>
      <c r="D9" s="3481" t="str">
        <f ca="1">结果表!D123</f>
        <v>壹仟玖佰叁拾伍万元整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923</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923</v>
      </c>
      <c r="B13" s="3486"/>
      <c r="C13" s="3486"/>
      <c r="D13" s="3486" t="e">
        <f>结果表!D127</f>
        <v>#VALUE!</v>
      </c>
      <c r="E13" s="3486"/>
      <c r="F13" s="3486"/>
      <c r="G13" s="3486"/>
      <c r="H13" s="3486"/>
      <c r="I13" s="3486"/>
    </row>
    <row r="14" spans="1:9" ht="15" thickTop="1">
      <c r="A14" s="3487" t="s">
        <v>928</v>
      </c>
      <c r="B14" s="3487"/>
      <c r="C14" s="3487"/>
      <c r="D14" s="3487"/>
      <c r="E14" s="3487"/>
      <c r="F14" s="3487"/>
      <c r="G14" s="3487"/>
      <c r="H14" s="3487"/>
      <c r="I14" s="3487"/>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945</v>
      </c>
      <c r="B1" s="3488"/>
      <c r="C1" s="3488"/>
      <c r="D1" s="3488"/>
    </row>
    <row r="2" spans="1:4" ht="18">
      <c r="A2" s="3489" t="s">
        <v>929</v>
      </c>
      <c r="B2" s="3489"/>
      <c r="C2" s="3489"/>
      <c r="D2" s="3489"/>
    </row>
    <row r="3" spans="1:4" ht="18.75">
      <c r="A3" s="1509" t="s">
        <v>930</v>
      </c>
      <c r="B3" s="1509" t="s">
        <v>931</v>
      </c>
      <c r="C3" s="1509" t="s">
        <v>932</v>
      </c>
      <c r="D3" s="1509" t="s">
        <v>933</v>
      </c>
    </row>
    <row r="4" spans="1:4" ht="56.25" customHeight="1">
      <c r="A4" s="1510" t="str">
        <f>项目基本情况!B4</f>
        <v>郑燚</v>
      </c>
      <c r="B4" s="1511">
        <f ca="1">项目基本情况!C4</f>
        <v>1120070131</v>
      </c>
      <c r="C4" s="1512"/>
      <c r="D4" s="1513" t="s">
        <v>934</v>
      </c>
    </row>
    <row r="5" spans="1:4" ht="56.25" customHeight="1">
      <c r="A5" s="1510" t="str">
        <f>项目基本情况!D4</f>
        <v>吴薇</v>
      </c>
      <c r="B5" s="1511">
        <f ca="1">项目基本情况!E4</f>
        <v>1419970001</v>
      </c>
      <c r="C5" s="1514"/>
      <c r="D5" s="1513" t="s">
        <v>934</v>
      </c>
    </row>
    <row r="6" spans="1:4" ht="18">
      <c r="A6" s="3489" t="s">
        <v>935</v>
      </c>
      <c r="B6" s="3489"/>
      <c r="C6" s="3489"/>
      <c r="D6" s="3489"/>
    </row>
    <row r="7" spans="1:4" ht="18.75">
      <c r="A7" s="1509" t="s">
        <v>930</v>
      </c>
      <c r="B7" s="1511" t="s">
        <v>936</v>
      </c>
      <c r="C7" s="1509" t="s">
        <v>932</v>
      </c>
      <c r="D7" s="1509" t="s">
        <v>933</v>
      </c>
    </row>
    <row r="8" spans="1:4" ht="56.25" customHeight="1">
      <c r="A8" s="1515" t="s">
        <v>390</v>
      </c>
      <c r="B8" s="1515" t="s">
        <v>0</v>
      </c>
      <c r="C8" s="1512"/>
      <c r="D8" s="1513" t="s">
        <v>934</v>
      </c>
    </row>
    <row r="9" spans="1:4">
      <c r="A9" s="675"/>
      <c r="B9" s="675"/>
      <c r="C9" s="675"/>
      <c r="D9" s="675"/>
    </row>
    <row r="10" spans="1:4" ht="18.75">
      <c r="A10" s="1516" t="s">
        <v>937</v>
      </c>
      <c r="B10" s="675"/>
      <c r="C10" s="675"/>
      <c r="D10" s="675"/>
    </row>
    <row r="11" spans="1:4" ht="30" customHeight="1">
      <c r="A11" s="3490" t="s">
        <v>938</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939</v>
      </c>
      <c r="B16" s="3494"/>
      <c r="C16" s="3494"/>
      <c r="D16" s="3494"/>
    </row>
    <row r="17" spans="1:4" ht="144" customHeight="1">
      <c r="A17" s="3494" t="s">
        <v>940</v>
      </c>
      <c r="B17" s="3494"/>
      <c r="C17" s="3494"/>
      <c r="D17" s="3494"/>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941</v>
      </c>
      <c r="B22" s="3496"/>
      <c r="C22" s="3496"/>
      <c r="D22" s="3496"/>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55</v>
      </c>
      <c r="B3" s="1507" t="s">
        <v>947</v>
      </c>
      <c r="G3" s="1524"/>
    </row>
    <row r="4" spans="1:7">
      <c r="G4" s="1524"/>
    </row>
    <row r="5" spans="1:7">
      <c r="A5" s="1526" t="s">
        <v>46</v>
      </c>
      <c r="B5" s="1507" t="s">
        <v>948</v>
      </c>
      <c r="G5" s="1524"/>
    </row>
    <row r="6" spans="1:7">
      <c r="G6" s="1524"/>
    </row>
    <row r="7" spans="1:7">
      <c r="A7" s="1527" t="s">
        <v>108</v>
      </c>
      <c r="B7" s="1507" t="s">
        <v>949</v>
      </c>
      <c r="G7" s="1524"/>
    </row>
    <row r="8" spans="1:7">
      <c r="G8" s="1524"/>
    </row>
    <row r="9" spans="1:7">
      <c r="A9" s="1528" t="s">
        <v>47</v>
      </c>
      <c r="B9" s="1507" t="s">
        <v>950</v>
      </c>
    </row>
    <row r="11" spans="1:7">
      <c r="A11" s="1529" t="s">
        <v>48</v>
      </c>
      <c r="B11" s="1530" t="s">
        <v>45</v>
      </c>
    </row>
    <row r="13" spans="1:7">
      <c r="A13" s="1531" t="s">
        <v>951</v>
      </c>
    </row>
    <row r="15" spans="1:7" ht="13.5">
      <c r="A15" s="3502" t="s">
        <v>952</v>
      </c>
      <c r="B15" s="3497" t="s">
        <v>109</v>
      </c>
      <c r="C15" s="3498"/>
    </row>
    <row r="16" spans="1:7" ht="13.5">
      <c r="A16" s="3503"/>
      <c r="B16" s="3497" t="s">
        <v>42</v>
      </c>
      <c r="C16" s="3498"/>
    </row>
    <row r="17" spans="1:3" ht="13.5">
      <c r="A17" s="3503"/>
      <c r="B17" s="3500" t="s">
        <v>953</v>
      </c>
      <c r="C17" s="1532" t="s">
        <v>952</v>
      </c>
    </row>
    <row r="18" spans="1:3" ht="13.5">
      <c r="A18" s="3503"/>
      <c r="B18" s="3500"/>
      <c r="C18" s="1532" t="s">
        <v>954</v>
      </c>
    </row>
    <row r="19" spans="1:3" ht="13.5">
      <c r="A19" s="3503"/>
      <c r="B19" s="3500"/>
      <c r="C19" s="1532" t="s">
        <v>955</v>
      </c>
    </row>
    <row r="20" spans="1:3" ht="13.5">
      <c r="A20" s="3504"/>
      <c r="B20" s="3499" t="s">
        <v>956</v>
      </c>
      <c r="C20" s="3498"/>
    </row>
    <row r="21" spans="1:3" ht="13.5">
      <c r="A21" s="1533" t="s">
        <v>957</v>
      </c>
      <c r="B21" s="1534"/>
      <c r="C21" s="1535"/>
    </row>
    <row r="22" spans="1:3" ht="13.5">
      <c r="A22" s="3501" t="s">
        <v>958</v>
      </c>
      <c r="B22" s="3499" t="s">
        <v>959</v>
      </c>
      <c r="C22" s="3498"/>
    </row>
    <row r="23" spans="1:3" ht="13.5">
      <c r="A23" s="3501"/>
      <c r="B23" s="3499" t="s">
        <v>960</v>
      </c>
      <c r="C23" s="3498"/>
    </row>
    <row r="24" spans="1:3" ht="13.5">
      <c r="A24" s="3501"/>
      <c r="B24" s="3499" t="s">
        <v>961</v>
      </c>
      <c r="C24" s="3498"/>
    </row>
    <row r="25" spans="1:3" ht="13.5">
      <c r="A25" s="3501"/>
      <c r="B25" s="3500" t="s">
        <v>962</v>
      </c>
      <c r="C25" s="1532" t="s">
        <v>963</v>
      </c>
    </row>
    <row r="26" spans="1:3" ht="13.5">
      <c r="A26" s="3501"/>
      <c r="B26" s="3500"/>
      <c r="C26" s="1532" t="s">
        <v>964</v>
      </c>
    </row>
    <row r="27" spans="1:3" ht="13.5">
      <c r="A27" s="3501"/>
      <c r="B27" s="3500"/>
      <c r="C27" s="1532" t="s">
        <v>965</v>
      </c>
    </row>
    <row r="28" spans="1:3" ht="13.5">
      <c r="A28" s="3501"/>
      <c r="B28" s="3500"/>
      <c r="C28" s="1532" t="s">
        <v>966</v>
      </c>
    </row>
    <row r="29" spans="1:3" ht="13.5">
      <c r="A29" s="3501"/>
      <c r="B29" s="3500"/>
      <c r="C29" s="1532" t="s">
        <v>967</v>
      </c>
    </row>
    <row r="30" spans="1:3" ht="13.5">
      <c r="A30" s="3501"/>
      <c r="B30" s="3500"/>
      <c r="C30" s="1532" t="s">
        <v>968</v>
      </c>
    </row>
    <row r="31" spans="1:3" ht="13.5">
      <c r="A31" s="3501"/>
      <c r="B31" s="3500"/>
      <c r="C31" s="1532" t="s">
        <v>969</v>
      </c>
    </row>
    <row r="32" spans="1:3" ht="13.5">
      <c r="A32" s="3501"/>
      <c r="B32" s="3500"/>
      <c r="C32" s="1532" t="s">
        <v>970</v>
      </c>
    </row>
    <row r="33" spans="1:3" ht="13.5">
      <c r="A33" s="3501"/>
      <c r="B33" s="3500"/>
      <c r="C33" s="1532" t="s">
        <v>971</v>
      </c>
    </row>
    <row r="34" spans="1:3">
      <c r="A34" s="1536" t="s">
        <v>49</v>
      </c>
    </row>
    <row r="37" spans="1:3">
      <c r="A37" s="1536" t="s">
        <v>972</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2134</v>
      </c>
      <c r="B2" s="2338">
        <f ca="1">TODAY()</f>
        <v>45222</v>
      </c>
      <c r="C2" s="2339" t="s">
        <v>2135</v>
      </c>
      <c r="D2" s="2339"/>
      <c r="E2" s="2339"/>
      <c r="F2" s="2335"/>
      <c r="G2" s="2335"/>
      <c r="H2" s="2335"/>
    </row>
    <row r="3" spans="1:8" ht="24" customHeight="1">
      <c r="A3" s="2340" t="s">
        <v>2136</v>
      </c>
      <c r="B3" s="2341" t="s">
        <v>2137</v>
      </c>
      <c r="C3" s="2341" t="s">
        <v>2138</v>
      </c>
      <c r="D3" s="2342" t="s">
        <v>2139</v>
      </c>
      <c r="E3" s="2343" t="s">
        <v>2140</v>
      </c>
      <c r="F3" s="1304" t="s">
        <v>2141</v>
      </c>
      <c r="G3" s="2341" t="s">
        <v>2138</v>
      </c>
      <c r="H3" s="2342" t="s">
        <v>2142</v>
      </c>
    </row>
    <row r="4" spans="1:8" ht="24" customHeight="1">
      <c r="A4" s="1304" t="s">
        <v>2143</v>
      </c>
      <c r="B4" s="1304">
        <f ca="1">IF(C4&lt;B2,"已过期",1119970066)</f>
        <v>1119970066</v>
      </c>
      <c r="C4" s="2344">
        <v>45937</v>
      </c>
      <c r="D4" s="2345" t="str">
        <f ca="1">A4&amp;"（注册号："&amp;B4&amp;"）"</f>
        <v>梁津（注册号：1119970066）</v>
      </c>
      <c r="E4" s="2346" t="s">
        <v>2143</v>
      </c>
      <c r="F4" s="1304">
        <f ca="1">IF(G4&lt;B2,"已过期",96010014)</f>
        <v>96010014</v>
      </c>
      <c r="G4" s="2347">
        <v>47118</v>
      </c>
      <c r="H4" s="2348" t="str">
        <f ca="1">E4&amp;"（注册号："&amp;F4&amp;"）"</f>
        <v>梁津（注册号：96010014）</v>
      </c>
    </row>
    <row r="5" spans="1:8" ht="24" customHeight="1">
      <c r="A5" s="1304" t="s">
        <v>2144</v>
      </c>
      <c r="B5" s="1304">
        <f ca="1">IF(C5&lt;B2,"已过期",1119970111)</f>
        <v>1119970111</v>
      </c>
      <c r="C5" s="2344">
        <v>45937</v>
      </c>
      <c r="D5" s="2345" t="str">
        <f t="shared" ref="D5:D15" ca="1" si="0">A5&amp;"（注册号："&amp;B5&amp;"）"</f>
        <v>叶凌（注册号：1119970111）</v>
      </c>
      <c r="E5" s="2346" t="s">
        <v>2144</v>
      </c>
      <c r="F5" s="1304">
        <f ca="1">IF(G5&lt;B2,"已过期",94010078)</f>
        <v>94010078</v>
      </c>
      <c r="G5" s="2347">
        <v>46387</v>
      </c>
      <c r="H5" s="2348" t="str">
        <f t="shared" ref="H5:H16" ca="1" si="1">E5&amp;"（注册号："&amp;F5&amp;"）"</f>
        <v>叶凌（注册号：94010078）</v>
      </c>
    </row>
    <row r="6" spans="1:8" ht="24" customHeight="1">
      <c r="A6" s="1304" t="s">
        <v>2145</v>
      </c>
      <c r="B6" s="1304">
        <f ca="1">IF(C6&lt;B2,"已过期",1120050019)</f>
        <v>1120050019</v>
      </c>
      <c r="C6" s="2344">
        <v>45410</v>
      </c>
      <c r="D6" s="2345" t="str">
        <f t="shared" ca="1" si="0"/>
        <v>王鹏（注册号：1120050019）</v>
      </c>
      <c r="E6" s="2346" t="s">
        <v>2145</v>
      </c>
      <c r="F6" s="1304">
        <f ca="1">IF(G6&lt;B2,"已过期",2002110030)</f>
        <v>2002110030</v>
      </c>
      <c r="G6" s="2347">
        <v>46387</v>
      </c>
      <c r="H6" s="2348" t="str">
        <f t="shared" ca="1" si="1"/>
        <v>王鹏（注册号：2002110030）</v>
      </c>
    </row>
    <row r="7" spans="1:8" ht="24" customHeight="1">
      <c r="A7" s="1304" t="s">
        <v>2146</v>
      </c>
      <c r="B7" s="1304">
        <f ca="1">IF(C7&lt;B2,"已过期",1120000080)</f>
        <v>1120000080</v>
      </c>
      <c r="C7" s="2344">
        <v>45937</v>
      </c>
      <c r="D7" s="2345" t="str">
        <f t="shared" ca="1" si="0"/>
        <v>欧红伟（注册号：1120000080）</v>
      </c>
      <c r="E7" s="2346" t="s">
        <v>2146</v>
      </c>
      <c r="F7" s="1304">
        <f ca="1">IF(G7&lt;B2,"已过期",2000110082)</f>
        <v>2000110082</v>
      </c>
      <c r="G7" s="2347">
        <v>46387</v>
      </c>
      <c r="H7" s="2348" t="str">
        <f t="shared" ca="1" si="1"/>
        <v>欧红伟（注册号：2000110082）</v>
      </c>
    </row>
    <row r="8" spans="1:8" ht="24" customHeight="1">
      <c r="A8" s="1304" t="s">
        <v>2147</v>
      </c>
      <c r="B8" s="1304">
        <f ca="1">IF(C8&lt;B2,"已过期",1419970001)</f>
        <v>1419970001</v>
      </c>
      <c r="C8" s="2344">
        <v>45937</v>
      </c>
      <c r="D8" s="2345" t="str">
        <f t="shared" ca="1" si="0"/>
        <v>吴薇（注册号：1419970001）</v>
      </c>
      <c r="E8" s="2346" t="s">
        <v>2147</v>
      </c>
      <c r="F8" s="1304">
        <f ca="1">IF(G8&lt;B2,"已过期",2002110125)</f>
        <v>2002110125</v>
      </c>
      <c r="G8" s="2347">
        <v>47118</v>
      </c>
      <c r="H8" s="2348" t="str">
        <f t="shared" ca="1" si="1"/>
        <v>吴薇（注册号：2002110125）</v>
      </c>
    </row>
    <row r="9" spans="1:8" ht="24" customHeight="1">
      <c r="A9" s="1304" t="s">
        <v>2148</v>
      </c>
      <c r="B9" s="1304">
        <f ca="1">IF(C9&lt;B2,"已过期",1120060040)</f>
        <v>1120060040</v>
      </c>
      <c r="C9" s="2349">
        <v>45592</v>
      </c>
      <c r="D9" s="2345" t="str">
        <f t="shared" ca="1" si="0"/>
        <v>陈颖（注册号：1120060040）</v>
      </c>
      <c r="E9" s="2346" t="s">
        <v>2148</v>
      </c>
      <c r="F9" s="1304">
        <f ca="1">IF(G9&lt;B2,"已过期",2004110096)</f>
        <v>2004110096</v>
      </c>
      <c r="G9" s="2347">
        <v>47118</v>
      </c>
      <c r="H9" s="2348" t="str">
        <f t="shared" ca="1" si="1"/>
        <v>陈颖（注册号：2004110096）</v>
      </c>
    </row>
    <row r="10" spans="1:8" ht="24" customHeight="1">
      <c r="A10" s="1304" t="s">
        <v>2149</v>
      </c>
      <c r="B10" s="1304">
        <f ca="1">IF(C10&lt;B2,"已过期",1120100036)</f>
        <v>1120100036</v>
      </c>
      <c r="C10" s="2349">
        <v>45752</v>
      </c>
      <c r="D10" s="2345" t="str">
        <f t="shared" ca="1" si="0"/>
        <v>崔锴（注册号：1120100036）</v>
      </c>
      <c r="E10" s="2346" t="s">
        <v>2149</v>
      </c>
      <c r="F10" s="1304">
        <f ca="1">IF(G10&lt;B2,"已过期",2010110070)</f>
        <v>2010110070</v>
      </c>
      <c r="G10" s="2347">
        <v>47907</v>
      </c>
      <c r="H10" s="2348" t="str">
        <f t="shared" ca="1" si="1"/>
        <v>崔锴（注册号：2010110070）</v>
      </c>
    </row>
    <row r="11" spans="1:8" ht="24" customHeight="1">
      <c r="A11" s="1304" t="s">
        <v>2150</v>
      </c>
      <c r="B11" s="1304">
        <f ca="1">IF(C11&lt;B2,"已过期",1120070131)</f>
        <v>1120070131</v>
      </c>
      <c r="C11" s="2344">
        <v>45937</v>
      </c>
      <c r="D11" s="2345" t="str">
        <f t="shared" ca="1" si="0"/>
        <v>郑燚（注册号：1120070131）</v>
      </c>
      <c r="E11" s="2346" t="s">
        <v>2150</v>
      </c>
      <c r="F11" s="1304">
        <f ca="1">IF(G11&lt;B2,"已过期",2014110011)</f>
        <v>2014110011</v>
      </c>
      <c r="G11" s="2347">
        <v>49302</v>
      </c>
      <c r="H11" s="2348" t="str">
        <f t="shared" ca="1" si="1"/>
        <v>郑燚（注册号：2014110011）</v>
      </c>
    </row>
    <row r="12" spans="1:8" ht="24" customHeight="1">
      <c r="A12" s="1304" t="s">
        <v>2151</v>
      </c>
      <c r="B12" s="1304">
        <f ca="1">IF(C12&lt;B2,"已过期",1120040230)</f>
        <v>1120040230</v>
      </c>
      <c r="C12" s="2349">
        <v>45937</v>
      </c>
      <c r="D12" s="2345" t="str">
        <f t="shared" ca="1" si="0"/>
        <v>苏海（注册号：1120040230）</v>
      </c>
      <c r="E12" s="2346" t="s">
        <v>2151</v>
      </c>
      <c r="F12" s="1304">
        <f ca="1">IF(G12&lt;B2,"已过期",98030020)</f>
        <v>98030020</v>
      </c>
      <c r="G12" s="2347">
        <v>47118</v>
      </c>
      <c r="H12" s="2348" t="str">
        <f t="shared" ca="1" si="1"/>
        <v>苏海（注册号：98030020）</v>
      </c>
    </row>
    <row r="13" spans="1:8" ht="24" customHeight="1">
      <c r="A13" s="1304" t="s">
        <v>2152</v>
      </c>
      <c r="B13" s="1304">
        <f ca="1">IF(C13&lt;B2,"已过期",1120020033)</f>
        <v>1120020033</v>
      </c>
      <c r="C13" s="2344">
        <v>45375</v>
      </c>
      <c r="D13" s="2345" t="str">
        <f t="shared" ca="1" si="0"/>
        <v>刘敬东（注册号：1120020033）</v>
      </c>
      <c r="E13" s="2346" t="s">
        <v>2152</v>
      </c>
      <c r="F13" s="1304">
        <f ca="1">IF(G13&lt;B2,"已过期",2000110137)</f>
        <v>2000110137</v>
      </c>
      <c r="G13" s="2347">
        <v>46387</v>
      </c>
      <c r="H13" s="2348" t="str">
        <f t="shared" ca="1" si="1"/>
        <v>刘敬东（注册号：2000110137）</v>
      </c>
    </row>
    <row r="14" spans="1:8" ht="24" customHeight="1">
      <c r="A14" s="1304" t="s">
        <v>2153</v>
      </c>
      <c r="B14" s="1304" t="str">
        <f ca="1">IF(C14&lt;B2,"已过期",1119980106)</f>
        <v>已过期</v>
      </c>
      <c r="C14" s="2349">
        <v>44969</v>
      </c>
      <c r="D14" s="2345" t="str">
        <f t="shared" ca="1" si="0"/>
        <v>刘俊财（注册号：已过期）</v>
      </c>
      <c r="E14" s="2346" t="s">
        <v>2153</v>
      </c>
      <c r="F14" s="1304">
        <f ca="1">IF(G14&lt;B2,"已过期",96010063)</f>
        <v>96010063</v>
      </c>
      <c r="G14" s="2347">
        <v>47483</v>
      </c>
      <c r="H14" s="2348" t="str">
        <f t="shared" ca="1" si="1"/>
        <v>刘俊财（注册号：96010063）</v>
      </c>
    </row>
    <row r="15" spans="1:8" ht="24" customHeight="1">
      <c r="A15" s="1304" t="s">
        <v>2436</v>
      </c>
      <c r="B15" s="1304">
        <v>1120210056</v>
      </c>
      <c r="C15" s="2349">
        <v>45410</v>
      </c>
      <c r="D15" s="2345" t="str">
        <f t="shared" si="0"/>
        <v>宁小鳗（注册号：1120210056）</v>
      </c>
      <c r="E15" s="2346" t="s">
        <v>2154</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5" t="s">
        <v>2155</v>
      </c>
      <c r="B17" s="3505"/>
      <c r="C17" s="3505"/>
      <c r="D17" s="3505"/>
      <c r="E17" s="3505"/>
      <c r="F17" s="3505"/>
      <c r="G17" s="3505"/>
      <c r="H17" s="3505"/>
    </row>
    <row r="18" spans="1:8" ht="24" customHeight="1">
      <c r="A18" s="3506" t="s">
        <v>2156</v>
      </c>
      <c r="B18" s="3506"/>
      <c r="C18" s="3506"/>
      <c r="D18" s="2342"/>
      <c r="E18" s="3507" t="s">
        <v>2157</v>
      </c>
      <c r="F18" s="3506"/>
      <c r="G18" s="3506"/>
    </row>
    <row r="19" spans="1:8" s="2353" customFormat="1" ht="24" customHeight="1">
      <c r="A19" s="2352" t="s">
        <v>2158</v>
      </c>
      <c r="B19" s="2341" t="s">
        <v>2159</v>
      </c>
      <c r="C19" s="2341" t="s">
        <v>2138</v>
      </c>
      <c r="D19" s="2342"/>
      <c r="E19" s="2346" t="s">
        <v>2158</v>
      </c>
      <c r="F19" s="2341" t="s">
        <v>2159</v>
      </c>
      <c r="G19" s="2341" t="s">
        <v>2138</v>
      </c>
    </row>
    <row r="20" spans="1:8" s="2353" customFormat="1" ht="24" customHeight="1">
      <c r="A20" s="2354" t="s">
        <v>2160</v>
      </c>
      <c r="B20" s="2354" t="s">
        <v>2161</v>
      </c>
      <c r="C20" s="2347">
        <v>45898</v>
      </c>
      <c r="D20" s="2355"/>
      <c r="E20" s="2356" t="s">
        <v>2162</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A地块</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结果汇总表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2023-10-23T13:25:41Z</dcterms:modified>
</cp:coreProperties>
</file>