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指标" sheetId="69"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4" i="69" l="1"/>
  <c r="F3" i="69"/>
  <c r="F9" i="69"/>
  <c r="F7" i="69"/>
  <c r="F6" i="69"/>
  <c r="F2" i="69" l="1"/>
  <c r="D38" i="46" l="1"/>
  <c r="G5" i="69" l="1"/>
  <c r="F5" i="69" s="1"/>
  <c r="G4" i="69"/>
  <c r="D7" i="69" l="1"/>
  <c r="D29" i="46"/>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G41" i="46" s="1"/>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B11" i="1"/>
  <c r="E11" i="1"/>
  <c r="K11" i="1"/>
  <c r="M11" i="1" s="1"/>
  <c r="B9" i="1"/>
  <c r="E9" i="1"/>
  <c r="K9" i="1"/>
  <c r="M9" i="1" s="1"/>
  <c r="B7" i="1"/>
  <c r="E7" i="1"/>
  <c r="K7" i="1"/>
  <c r="M7" i="1" s="1"/>
  <c r="F6" i="1"/>
  <c r="AP6" i="1" s="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C24" i="12"/>
  <c r="F3" i="35"/>
  <c r="K1" i="43"/>
  <c r="K1" i="12"/>
  <c r="G1" i="44"/>
  <c r="I4" i="6"/>
  <c r="G3" i="46"/>
  <c r="H22" i="46" s="1"/>
  <c r="AZ15" i="3"/>
  <c r="BK5" i="3"/>
  <c r="BO5" i="3"/>
  <c r="BP5" i="3"/>
  <c r="BN5" i="3"/>
  <c r="BL18" i="3"/>
  <c r="AZ18" i="3"/>
  <c r="BC5" i="3"/>
  <c r="E8" i="6"/>
  <c r="E53" i="40" s="1"/>
  <c r="BD5" i="3"/>
  <c r="BR5" i="3"/>
  <c r="BS5" i="3"/>
  <c r="BQ5" i="3"/>
  <c r="BL16" i="3"/>
  <c r="BL5" i="3"/>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69" i="46"/>
  <c r="E69" i="46" s="1"/>
  <c r="B67" i="46" s="1"/>
  <c r="E47" i="46"/>
  <c r="B45" i="46" s="1"/>
  <c r="E58" i="46"/>
  <c r="B56" i="46" s="1"/>
  <c r="A4" i="64"/>
  <c r="A4" i="51"/>
  <c r="C51" i="10"/>
  <c r="A9" i="51" s="1"/>
  <c r="B9" i="63" s="1"/>
  <c r="I100" i="46"/>
  <c r="N100" i="46"/>
  <c r="H100" i="46"/>
  <c r="F108" i="46"/>
  <c r="E100" i="46"/>
  <c r="G100" i="46"/>
  <c r="C100" i="46"/>
  <c r="J100" i="46"/>
  <c r="M100" i="46"/>
  <c r="AA12" i="36"/>
  <c r="U12" i="35"/>
  <c r="AB12" i="35"/>
  <c r="W11" i="35"/>
  <c r="AA11" i="35"/>
  <c r="S14" i="37"/>
  <c r="U13" i="37"/>
  <c r="S13" i="21"/>
  <c r="C24" i="9"/>
  <c r="C25" i="9"/>
  <c r="B6" i="63"/>
  <c r="L5" i="54"/>
  <c r="B39" i="63"/>
  <c r="K5" i="54"/>
  <c r="B38" i="63"/>
  <c r="T41" i="4"/>
  <c r="A17" i="64"/>
  <c r="B46" i="50"/>
  <c r="B4" i="63"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BA5" i="3"/>
  <c r="AZ13" i="3"/>
  <c r="G29" i="6"/>
  <c r="E29" i="6" s="1"/>
  <c r="AZ16" i="3"/>
  <c r="A9" i="64"/>
  <c r="A3" i="55"/>
  <c r="B56" i="63"/>
  <c r="E4" i="4"/>
  <c r="C4" i="4"/>
  <c r="B20" i="55" s="1"/>
  <c r="B70" i="63" s="1"/>
  <c r="G66" i="36"/>
  <c r="J18" i="36"/>
  <c r="AE8" i="1"/>
  <c r="AE7" i="1"/>
  <c r="AE6" i="1"/>
  <c r="W18" i="36"/>
  <c r="AC18" i="36"/>
  <c r="AG6" i="1"/>
  <c r="L20" i="6"/>
  <c r="AZ5" i="3"/>
  <c r="E3" i="6" s="1"/>
  <c r="D16" i="43" s="1"/>
  <c r="L19" i="6"/>
  <c r="B21" i="55"/>
  <c r="B72" i="63" s="1"/>
  <c r="S7" i="1"/>
  <c r="S8" i="1"/>
  <c r="S9" i="1"/>
  <c r="L38" i="9"/>
  <c r="B14" i="66" s="1"/>
  <c r="B1" i="66" s="1"/>
  <c r="R9" i="1"/>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C21" i="4"/>
  <c r="O5" i="54" s="1"/>
  <c r="B45" i="63" s="1"/>
  <c r="X7" i="46"/>
  <c r="E17" i="46"/>
  <c r="N17" i="46"/>
  <c r="O17" i="46"/>
  <c r="M17" i="46"/>
  <c r="L17" i="46"/>
  <c r="AP7" i="1"/>
  <c r="H70" i="46"/>
  <c r="H73" i="46"/>
  <c r="H50" i="46"/>
  <c r="H48" i="46"/>
  <c r="F35" i="46"/>
  <c r="I17" i="46"/>
  <c r="H63" i="46"/>
  <c r="I101" i="46"/>
  <c r="I105" i="46" s="1"/>
  <c r="AD11" i="46"/>
  <c r="AD13" i="46" s="1"/>
  <c r="H64" i="46"/>
  <c r="H66" i="46"/>
  <c r="D100" i="46"/>
  <c r="H62" i="46"/>
  <c r="AF12" i="46"/>
  <c r="K100" i="46"/>
  <c r="AB12" i="46"/>
  <c r="AJ12" i="46"/>
  <c r="J101" i="46"/>
  <c r="J106" i="46" s="1"/>
  <c r="F22" i="46"/>
  <c r="E22" i="46"/>
  <c r="AA11" i="46"/>
  <c r="AA13" i="46" s="1"/>
  <c r="H60" i="46"/>
  <c r="H59" i="46"/>
  <c r="H74" i="46"/>
  <c r="H65" i="46"/>
  <c r="AB11" i="46"/>
  <c r="AB13" i="46" s="1"/>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S5" i="46"/>
  <c r="S6" i="46"/>
  <c r="M22" i="15"/>
  <c r="M29" i="15"/>
  <c r="C19" i="9"/>
  <c r="F16" i="15"/>
  <c r="F15" i="44"/>
  <c r="M24" i="15"/>
  <c r="F28" i="44"/>
  <c r="M28" i="44"/>
  <c r="F45" i="44"/>
  <c r="M28" i="15"/>
  <c r="E8" i="67"/>
  <c r="D20" i="9"/>
  <c r="F8" i="44"/>
  <c r="E9" i="67"/>
  <c r="J17" i="44"/>
  <c r="F9" i="15"/>
  <c r="F40" i="44"/>
  <c r="F43" i="15"/>
  <c r="N5" i="65"/>
  <c r="F11" i="67"/>
  <c r="F14" i="67"/>
  <c r="B10" i="67"/>
  <c r="N7" i="65"/>
  <c r="F38" i="44"/>
  <c r="E12" i="67"/>
  <c r="L47" i="15"/>
  <c r="L48" i="15"/>
  <c r="C20" i="9"/>
  <c r="B13" i="67"/>
  <c r="M9" i="15"/>
  <c r="F38" i="15"/>
  <c r="M31" i="44"/>
  <c r="D21" i="9"/>
  <c r="F8" i="15"/>
  <c r="F40" i="15"/>
  <c r="F36" i="15"/>
  <c r="M25" i="44"/>
  <c r="E11" i="67"/>
  <c r="F41" i="15"/>
  <c r="M11" i="44"/>
  <c r="F6" i="15"/>
  <c r="F7" i="15"/>
  <c r="B9" i="67"/>
  <c r="F26" i="15"/>
  <c r="F10" i="44"/>
  <c r="E10" i="67"/>
  <c r="M10" i="44"/>
  <c r="B11" i="67"/>
  <c r="J36" i="15"/>
  <c r="F13" i="67"/>
  <c r="M26" i="44"/>
  <c r="F37" i="15"/>
  <c r="F42" i="15"/>
  <c r="E13" i="67"/>
  <c r="F13" i="15"/>
  <c r="M30" i="44"/>
  <c r="N3" i="65"/>
  <c r="M24" i="44"/>
  <c r="F8" i="67"/>
  <c r="B8" i="67"/>
  <c r="M8" i="15"/>
  <c r="M26" i="15"/>
  <c r="N6" i="65"/>
  <c r="F9" i="44"/>
  <c r="J15" i="15"/>
  <c r="F18" i="44"/>
  <c r="F39" i="44"/>
  <c r="M29" i="44"/>
  <c r="E14" i="67"/>
  <c r="C21" i="9"/>
  <c r="D19" i="9"/>
  <c r="M6" i="15"/>
  <c r="L48" i="44"/>
  <c r="F43" i="44"/>
  <c r="F11" i="44"/>
  <c r="F10" i="67"/>
  <c r="B12" i="67"/>
  <c r="M23" i="15"/>
  <c r="F9" i="67"/>
  <c r="L49" i="44"/>
  <c r="M27" i="15"/>
  <c r="B14" i="67"/>
  <c r="M8" i="44"/>
  <c r="F46" i="44"/>
  <c r="N4" i="65"/>
  <c r="F12" i="67"/>
  <c r="AP11" i="1" l="1"/>
  <c r="G9" i="1"/>
  <c r="I20" i="46"/>
  <c r="C20" i="46" s="1"/>
  <c r="H1" i="65"/>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C7" i="37"/>
  <c r="C52" i="37" s="1"/>
  <c r="D52" i="37" s="1"/>
  <c r="E52" i="37" s="1"/>
  <c r="F52" i="37" s="1"/>
  <c r="G52" i="37" s="1"/>
  <c r="H52" i="37" s="1"/>
  <c r="I52" i="37" s="1"/>
  <c r="J52" i="37" s="1"/>
  <c r="K52" i="37" s="1"/>
  <c r="L52" i="37" s="1"/>
  <c r="M52" i="37" s="1"/>
  <c r="N52" i="37" s="1"/>
  <c r="O52" i="37" s="1"/>
  <c r="N67" i="9"/>
  <c r="C7" i="21"/>
  <c r="C58" i="21" s="1"/>
  <c r="D58" i="21" s="1"/>
  <c r="E58" i="21" s="1"/>
  <c r="C9" i="39"/>
  <c r="C69" i="39" s="1"/>
  <c r="C9" i="40"/>
  <c r="C64" i="40" s="1"/>
  <c r="C66" i="40" s="1"/>
  <c r="G8" i="1"/>
  <c r="C7" i="33"/>
  <c r="C58" i="33" s="1"/>
  <c r="D58" i="33" s="1"/>
  <c r="E58" i="33" s="1"/>
  <c r="F58" i="33" s="1"/>
  <c r="D38" i="4"/>
  <c r="C39" i="4" s="1"/>
  <c r="G19" i="46"/>
  <c r="O19" i="46" s="1"/>
  <c r="S3" i="46"/>
  <c r="AF11" i="46"/>
  <c r="AF13" i="46" s="1"/>
  <c r="Z11" i="46"/>
  <c r="Z13" i="46" s="1"/>
  <c r="Z7" i="46"/>
  <c r="N104" i="45"/>
  <c r="C101" i="46"/>
  <c r="C109" i="46" s="1"/>
  <c r="N101" i="46"/>
  <c r="N105" i="46" s="1"/>
  <c r="S4" i="46"/>
  <c r="S2" i="46"/>
  <c r="C23" i="46"/>
  <c r="AI11" i="46"/>
  <c r="AI13" i="46" s="1"/>
  <c r="AG11" i="46"/>
  <c r="AG13" i="46" s="1"/>
  <c r="E101" i="46"/>
  <c r="E106" i="46" s="1"/>
  <c r="B113" i="46"/>
  <c r="B117" i="46" s="1"/>
  <c r="C117" i="46" s="1"/>
  <c r="AJ11" i="46"/>
  <c r="AJ13" i="46" s="1"/>
  <c r="M101" i="46"/>
  <c r="M107" i="46" s="1"/>
  <c r="S7" i="46"/>
  <c r="AE11" i="46"/>
  <c r="AE13" i="46" s="1"/>
  <c r="AH11" i="46"/>
  <c r="AH13" i="46" s="1"/>
  <c r="K101" i="46"/>
  <c r="L101" i="46"/>
  <c r="L106" i="46" s="1"/>
  <c r="G101" i="46"/>
  <c r="AC11" i="46"/>
  <c r="AC13" i="46" s="1"/>
  <c r="D101" i="46"/>
  <c r="D105" i="46" s="1"/>
  <c r="F101" i="46"/>
  <c r="F103" i="46" s="1"/>
  <c r="J22" i="46"/>
  <c r="G22" i="46"/>
  <c r="D22" i="46" s="1"/>
  <c r="C21" i="46" s="1"/>
  <c r="H101" i="46"/>
  <c r="H102" i="46" s="1"/>
  <c r="D117" i="46"/>
  <c r="E117" i="46" s="1"/>
  <c r="F117" i="46" s="1"/>
  <c r="G117" i="46" s="1"/>
  <c r="H117" i="46" s="1"/>
  <c r="Y11" i="46"/>
  <c r="Y13" i="46" s="1"/>
  <c r="F80" i="46"/>
  <c r="A26" i="51"/>
  <c r="B19" i="63" s="1"/>
  <c r="B37" i="50"/>
  <c r="B2" i="63" s="1"/>
  <c r="X9" i="59"/>
  <c r="AA9" i="59"/>
  <c r="AB9" i="59"/>
  <c r="Y9" i="59"/>
  <c r="Z9" i="59" s="1"/>
  <c r="H61" i="46"/>
  <c r="H51" i="46"/>
  <c r="S17" i="40"/>
  <c r="AB17" i="40"/>
  <c r="AB32" i="40"/>
  <c r="W35" i="40"/>
  <c r="W36" i="40"/>
  <c r="S36" i="40"/>
  <c r="S11" i="40"/>
  <c r="S10" i="40"/>
  <c r="S27" i="40"/>
  <c r="AC31" i="39"/>
  <c r="AC47" i="39"/>
  <c r="U40" i="39"/>
  <c r="AA42" i="39"/>
  <c r="S42" i="39"/>
  <c r="AA36" i="39"/>
  <c r="S36" i="39"/>
  <c r="G17" i="46"/>
  <c r="C16" i="46" s="1"/>
  <c r="D5" i="46" s="1"/>
  <c r="E10" i="46"/>
  <c r="E11" i="46"/>
  <c r="E9" i="46"/>
  <c r="E8" i="46"/>
  <c r="G109" i="46"/>
  <c r="G105" i="46"/>
  <c r="G102" i="46"/>
  <c r="I117" i="46"/>
  <c r="J117" i="46" s="1"/>
  <c r="K117" i="46" s="1"/>
  <c r="L117" i="46" s="1"/>
  <c r="M117" i="46" s="1"/>
  <c r="D118" i="46"/>
  <c r="E118" i="46" s="1"/>
  <c r="F118" i="46" s="1"/>
  <c r="B116" i="46"/>
  <c r="C116" i="46" s="1"/>
  <c r="L104" i="46"/>
  <c r="K102" i="46"/>
  <c r="H16" i="1"/>
  <c r="E27" i="6"/>
  <c r="D16" i="12"/>
  <c r="D19" i="12" s="1"/>
  <c r="C19" i="12" s="1"/>
  <c r="G28" i="6"/>
  <c r="G27" i="12"/>
  <c r="H106" i="46"/>
  <c r="H103" i="46"/>
  <c r="G13" i="3"/>
  <c r="J103" i="46"/>
  <c r="N109" i="46"/>
  <c r="Q16" i="1"/>
  <c r="C103" i="46"/>
  <c r="J107" i="46"/>
  <c r="N104" i="46"/>
  <c r="F34" i="44"/>
  <c r="F24" i="43"/>
  <c r="C106" i="46"/>
  <c r="C104" i="46"/>
  <c r="J102" i="46"/>
  <c r="N103" i="46"/>
  <c r="H107" i="46"/>
  <c r="I102" i="46"/>
  <c r="I106" i="46"/>
  <c r="D102" i="46"/>
  <c r="D104" i="46"/>
  <c r="I109" i="46"/>
  <c r="H104" i="46"/>
  <c r="D103" i="46"/>
  <c r="M102" i="46"/>
  <c r="D107" i="46"/>
  <c r="C25" i="43"/>
  <c r="C24" i="43"/>
  <c r="C16" i="43"/>
  <c r="C2" i="65"/>
  <c r="G20" i="43"/>
  <c r="G26" i="12"/>
  <c r="F70" i="9"/>
  <c r="F66" i="9"/>
  <c r="P72" i="9" s="1"/>
  <c r="F28" i="15"/>
  <c r="F30" i="44"/>
  <c r="D86" i="9"/>
  <c r="F29" i="12"/>
  <c r="F32" i="15"/>
  <c r="F59" i="15" s="1"/>
  <c r="F71" i="9"/>
  <c r="E103" i="46"/>
  <c r="I107" i="46"/>
  <c r="N102" i="46"/>
  <c r="N106" i="46"/>
  <c r="I103" i="46"/>
  <c r="N107" i="46"/>
  <c r="I104"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C8" i="66"/>
  <c r="C7"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9" i="12"/>
  <c r="C28" i="15"/>
  <c r="D23" i="15"/>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4" i="46"/>
  <c r="B67" i="40" s="1"/>
  <c r="L44" i="9"/>
  <c r="G20" i="9"/>
  <c r="G21" i="9"/>
  <c r="L43" i="9"/>
  <c r="G19" i="9"/>
  <c r="D22" i="9"/>
  <c r="Q73" i="44"/>
  <c r="C6" i="15"/>
  <c r="F65" i="15"/>
  <c r="C29" i="44"/>
  <c r="C8" i="44"/>
  <c r="F68" i="1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I3" i="65"/>
  <c r="C18" i="44"/>
  <c r="I5" i="65"/>
  <c r="C16" i="15"/>
  <c r="J7" i="65"/>
  <c r="I7" i="65"/>
  <c r="J5" i="65"/>
  <c r="C17" i="15"/>
  <c r="I6" i="65"/>
  <c r="C19" i="44"/>
  <c r="I4" i="65"/>
  <c r="J4" i="65"/>
  <c r="J6" i="65"/>
  <c r="J3" i="65"/>
  <c r="J7" i="21" l="1"/>
  <c r="P25" i="46"/>
  <c r="B72" i="39" s="1"/>
  <c r="D64" i="40"/>
  <c r="P23" i="46"/>
  <c r="I1" i="65"/>
  <c r="J1" i="65"/>
  <c r="P21" i="46"/>
  <c r="P22" i="46"/>
  <c r="J7" i="33"/>
  <c r="E107" i="46"/>
  <c r="F109" i="46"/>
  <c r="L103" i="46"/>
  <c r="K103" i="46"/>
  <c r="K109" i="46"/>
  <c r="K107" i="46"/>
  <c r="K104" i="46"/>
  <c r="M109" i="46"/>
  <c r="K106" i="46"/>
  <c r="F102" i="46"/>
  <c r="M105" i="46"/>
  <c r="D109" i="46"/>
  <c r="D106" i="46"/>
  <c r="H109" i="46"/>
  <c r="M106" i="46"/>
  <c r="E104" i="46"/>
  <c r="B115" i="46"/>
  <c r="E109" i="46"/>
  <c r="L105" i="46"/>
  <c r="L102" i="46"/>
  <c r="L109" i="46"/>
  <c r="L107" i="46"/>
  <c r="M104" i="46"/>
  <c r="K105" i="46"/>
  <c r="H105" i="46"/>
  <c r="E102" i="46"/>
  <c r="E105" i="46"/>
  <c r="G103" i="46"/>
  <c r="G107" i="46"/>
  <c r="G106" i="46"/>
  <c r="G104" i="46"/>
  <c r="I115" i="46"/>
  <c r="J115" i="46" s="1"/>
  <c r="K115" i="46" s="1"/>
  <c r="L115" i="46" s="1"/>
  <c r="M115" i="46" s="1"/>
  <c r="I116" i="46"/>
  <c r="J116" i="46" s="1"/>
  <c r="K116" i="46" s="1"/>
  <c r="L116" i="46" s="1"/>
  <c r="M116" i="46" s="1"/>
  <c r="G118" i="46"/>
  <c r="H118" i="46" s="1"/>
  <c r="I118" i="46"/>
  <c r="J118" i="46" s="1"/>
  <c r="K118" i="46" s="1"/>
  <c r="L118" i="46" s="1"/>
  <c r="M118" i="46" s="1"/>
  <c r="B118" i="46"/>
  <c r="C118" i="46" s="1"/>
  <c r="D116" i="46"/>
  <c r="E116" i="46" s="1"/>
  <c r="F116" i="46" s="1"/>
  <c r="G116" i="46" s="1"/>
  <c r="H116" i="46" s="1"/>
  <c r="D115" i="46"/>
  <c r="E115" i="46" s="1"/>
  <c r="F115" i="46" s="1"/>
  <c r="G115" i="46" s="1"/>
  <c r="H115" i="46" s="1"/>
  <c r="F106" i="46"/>
  <c r="F105" i="46"/>
  <c r="F107" i="46"/>
  <c r="F104" i="46"/>
  <c r="H81" i="46"/>
  <c r="G81" i="46" s="1"/>
  <c r="H80" i="46"/>
  <c r="G80" i="46" s="1"/>
  <c r="H84" i="46"/>
  <c r="G84" i="46" s="1"/>
  <c r="H87" i="46"/>
  <c r="G87" i="46" s="1"/>
  <c r="H86" i="46"/>
  <c r="G86" i="46" s="1"/>
  <c r="H85" i="46"/>
  <c r="G85" i="46" s="1"/>
  <c r="H82" i="46"/>
  <c r="G82" i="46" s="1"/>
  <c r="H83" i="46"/>
  <c r="G83" i="46" s="1"/>
  <c r="C5" i="46"/>
  <c r="C7" i="46"/>
  <c r="C16" i="12"/>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E64" i="40"/>
  <c r="D66" i="40"/>
  <c r="AC7" i="33"/>
  <c r="V48" i="33" s="1"/>
  <c r="I48" i="33" s="1"/>
  <c r="W7" i="33"/>
  <c r="S7" i="34"/>
  <c r="AC7" i="34"/>
  <c r="V49" i="34" s="1"/>
  <c r="I49" i="34" s="1"/>
  <c r="J7" i="37"/>
  <c r="W7" i="21"/>
  <c r="AC7" i="21"/>
  <c r="V48" i="21" s="1"/>
  <c r="I48" i="21" s="1"/>
  <c r="D71" i="39"/>
  <c r="E69" i="39"/>
  <c r="AB7" i="34"/>
  <c r="T49" i="34" s="1"/>
  <c r="G49" i="34" s="1"/>
  <c r="H7" i="33"/>
  <c r="F7" i="33"/>
  <c r="J46" i="36"/>
  <c r="J7" i="35"/>
  <c r="F7" i="35"/>
  <c r="H7" i="37"/>
  <c r="F7" i="37"/>
  <c r="D15" i="59"/>
  <c r="C14" i="59"/>
  <c r="M19" i="44"/>
  <c r="C19" i="46"/>
  <c r="Q62" i="15"/>
  <c r="Q75" i="15"/>
  <c r="C32" i="9"/>
  <c r="N43" i="9"/>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2" i="65"/>
  <c r="E3" i="65"/>
  <c r="M85" i="46" l="1"/>
  <c r="N85" i="46" s="1"/>
  <c r="K85" i="46"/>
  <c r="J85" i="46" s="1"/>
  <c r="D85" i="46" s="1"/>
  <c r="M80" i="46"/>
  <c r="K80" i="46"/>
  <c r="J80" i="46" s="1"/>
  <c r="M86" i="46"/>
  <c r="N86" i="46" s="1"/>
  <c r="K86" i="46"/>
  <c r="M81" i="46"/>
  <c r="N81" i="46" s="1"/>
  <c r="K81" i="46"/>
  <c r="K83" i="46"/>
  <c r="M83" i="46"/>
  <c r="N83" i="46" s="1"/>
  <c r="M87" i="46"/>
  <c r="N87" i="46" s="1"/>
  <c r="K87" i="46"/>
  <c r="M82" i="46"/>
  <c r="N82" i="46" s="1"/>
  <c r="K82" i="46"/>
  <c r="K84" i="46"/>
  <c r="M84" i="46"/>
  <c r="N84" i="46" s="1"/>
  <c r="F17" i="11"/>
  <c r="C17" i="11" s="1"/>
  <c r="C19" i="11" s="1"/>
  <c r="C20" i="11" s="1"/>
  <c r="C21" i="11" s="1"/>
  <c r="C22" i="11" s="1"/>
  <c r="C23" i="11" s="1"/>
  <c r="B2" i="11" s="1"/>
  <c r="B40" i="1"/>
  <c r="C115" i="46"/>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D14" i="59"/>
  <c r="C13" i="59"/>
  <c r="G36" i="46"/>
  <c r="I36" i="46" s="1"/>
  <c r="J18" i="15"/>
  <c r="J5" i="15"/>
  <c r="C40" i="44"/>
  <c r="J28" i="44"/>
  <c r="J31" i="44" s="1"/>
  <c r="J26" i="44"/>
  <c r="O43" i="9"/>
  <c r="C42" i="9"/>
  <c r="O38" i="9"/>
  <c r="C33" i="9"/>
  <c r="C52" i="15"/>
  <c r="C47" i="15" s="1"/>
  <c r="C10" i="15"/>
  <c r="C5" i="15" s="1"/>
  <c r="N80" i="46" l="1"/>
  <c r="D80" i="46"/>
  <c r="J84" i="46"/>
  <c r="D84" i="46"/>
  <c r="D81" i="46"/>
  <c r="J81" i="46"/>
  <c r="J82" i="46"/>
  <c r="D82" i="46"/>
  <c r="J83" i="46"/>
  <c r="D83" i="46"/>
  <c r="D86" i="46"/>
  <c r="J86" i="46"/>
  <c r="J87" i="46"/>
  <c r="D87" i="46"/>
  <c r="F9" i="59"/>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E36"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13" i="59"/>
  <c r="C65" i="15"/>
  <c r="C59" i="15"/>
  <c r="N38" i="9"/>
  <c r="K28" i="9" s="1"/>
  <c r="D42" i="9"/>
  <c r="Q5" i="54" s="1"/>
  <c r="B47" i="63" s="1"/>
  <c r="R5" i="54"/>
  <c r="B48" i="63" s="1"/>
  <c r="D14" i="66"/>
  <c r="D63" i="9"/>
  <c r="N68" i="9"/>
  <c r="B5" i="11"/>
  <c r="B3" i="11"/>
  <c r="B4" i="11"/>
  <c r="K26" i="9"/>
  <c r="K25" i="9"/>
  <c r="J26" i="15"/>
  <c r="J29" i="15" s="1"/>
  <c r="J24" i="15"/>
  <c r="C38" i="15"/>
  <c r="Q58" i="44"/>
  <c r="Q67" i="44"/>
  <c r="Q49" i="44"/>
  <c r="Q55" i="44" s="1"/>
  <c r="C14" i="15"/>
  <c r="F7" i="67"/>
  <c r="C16" i="44"/>
  <c r="E80" i="46" l="1"/>
  <c r="B78" i="46" s="1"/>
  <c r="C24" i="46" s="1"/>
  <c r="C29" i="46" s="1"/>
  <c r="F8" i="59"/>
  <c r="C7" i="59"/>
  <c r="D8" i="59"/>
  <c r="E9" i="59"/>
  <c r="D9" i="59"/>
  <c r="B9" i="59"/>
  <c r="D22" i="6"/>
  <c r="D8" i="6"/>
  <c r="E62" i="40"/>
  <c r="D15" i="6"/>
  <c r="D11" i="6"/>
  <c r="K38" i="9"/>
  <c r="C14" i="66" s="1"/>
  <c r="B2" i="66" s="1"/>
  <c r="E45" i="9"/>
  <c r="D14" i="6"/>
  <c r="D21" i="6"/>
  <c r="D13" i="6"/>
  <c r="E44" i="9"/>
  <c r="E67" i="39"/>
  <c r="D25" i="6"/>
  <c r="D29" i="6"/>
  <c r="F46" i="9"/>
  <c r="D5" i="6"/>
  <c r="D26" i="6"/>
  <c r="R26" i="6" s="1"/>
  <c r="F44" i="9"/>
  <c r="D20" i="6"/>
  <c r="D10" i="6"/>
  <c r="H22" i="6"/>
  <c r="R22" i="6" s="1"/>
  <c r="H24" i="6"/>
  <c r="D12" i="6"/>
  <c r="H21" i="6"/>
  <c r="H20" i="6"/>
  <c r="H27" i="6" s="1"/>
  <c r="H26" i="6"/>
  <c r="D23" i="6"/>
  <c r="E46" i="9"/>
  <c r="F45" i="9"/>
  <c r="D28" i="6"/>
  <c r="D30" i="6" s="1"/>
  <c r="G22" i="9"/>
  <c r="H25" i="6"/>
  <c r="H23" i="6"/>
  <c r="C22" i="4"/>
  <c r="D24" i="6"/>
  <c r="R24" i="6" s="1"/>
  <c r="D19" i="6"/>
  <c r="D9" i="6"/>
  <c r="D6" i="6"/>
  <c r="C34" i="9"/>
  <c r="C35" i="9"/>
  <c r="F42" i="9" s="1"/>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F14" i="66"/>
  <c r="B7" i="67"/>
  <c r="E7" i="67"/>
  <c r="C34" i="46" l="1"/>
  <c r="T6" i="46"/>
  <c r="V6" i="46" s="1"/>
  <c r="T3" i="46"/>
  <c r="V3" i="46" s="1"/>
  <c r="T9" i="46"/>
  <c r="V9" i="46" s="1"/>
  <c r="T11" i="46"/>
  <c r="V11" i="46" s="1"/>
  <c r="T5" i="46"/>
  <c r="V5" i="46" s="1"/>
  <c r="C37" i="46"/>
  <c r="E37" i="46" s="1"/>
  <c r="T4" i="46"/>
  <c r="V4" i="46" s="1"/>
  <c r="T16" i="46"/>
  <c r="V16" i="46" s="1"/>
  <c r="C39" i="46"/>
  <c r="E39" i="46" s="1"/>
  <c r="T13" i="46"/>
  <c r="V13" i="46" s="1"/>
  <c r="C35" i="46"/>
  <c r="E35" i="46" s="1"/>
  <c r="T14" i="46"/>
  <c r="V14" i="46" s="1"/>
  <c r="T7" i="46"/>
  <c r="V7" i="46" s="1"/>
  <c r="C33" i="46"/>
  <c r="E33" i="46" s="1"/>
  <c r="T15" i="46"/>
  <c r="V15" i="46" s="1"/>
  <c r="C38" i="46"/>
  <c r="E38" i="46" s="1"/>
  <c r="T10" i="46"/>
  <c r="V10" i="46" s="1"/>
  <c r="T8" i="46"/>
  <c r="V8" i="46" s="1"/>
  <c r="T12" i="46"/>
  <c r="V12" i="46" s="1"/>
  <c r="T2" i="46"/>
  <c r="V2" i="46" s="1"/>
  <c r="G34" i="46"/>
  <c r="I34" i="46" s="1"/>
  <c r="E34" i="46"/>
  <c r="C30" i="46"/>
  <c r="E30" i="46" s="1"/>
  <c r="C6" i="59"/>
  <c r="D7" i="59"/>
  <c r="F7" i="59"/>
  <c r="B8" i="59"/>
  <c r="E8" i="59"/>
  <c r="R25" i="6"/>
  <c r="R21" i="6"/>
  <c r="E42" i="9"/>
  <c r="P5" i="54" s="1"/>
  <c r="B46" i="63" s="1"/>
  <c r="M38" i="9"/>
  <c r="K27" i="9" s="1"/>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4" i="40"/>
  <c r="H66" i="40"/>
  <c r="H71" i="39"/>
  <c r="I69" i="39"/>
  <c r="N46" i="36"/>
  <c r="E3" i="67"/>
  <c r="C97" i="9"/>
  <c r="C98" i="9" s="1"/>
  <c r="E98" i="9" s="1"/>
  <c r="E99" i="9" s="1"/>
  <c r="B2" i="67"/>
  <c r="C113" i="9"/>
  <c r="C114" i="9" s="1"/>
  <c r="E114" i="9" s="1"/>
  <c r="E115" i="9" s="1"/>
  <c r="D5" i="66"/>
  <c r="C5" i="66"/>
  <c r="F35" i="15"/>
  <c r="F37" i="44"/>
  <c r="M21" i="15"/>
  <c r="M23" i="44"/>
  <c r="G39" i="46" l="1"/>
  <c r="I39" i="46" s="1"/>
  <c r="E29" i="46"/>
  <c r="C26" i="46" s="1"/>
  <c r="B2" i="46" s="1"/>
  <c r="B3" i="46" s="1"/>
  <c r="G35" i="46"/>
  <c r="I35" i="46" s="1"/>
  <c r="G38" i="46"/>
  <c r="I38" i="46" s="1"/>
  <c r="G37" i="46"/>
  <c r="I37" i="46" s="1"/>
  <c r="G33" i="46"/>
  <c r="I33" i="46" s="1"/>
  <c r="E7" i="59"/>
  <c r="B7" i="59"/>
  <c r="F6" i="59"/>
  <c r="D6" i="59"/>
  <c r="C5" i="59"/>
  <c r="I6" i="6"/>
  <c r="I5" i="6"/>
  <c r="J22" i="44"/>
  <c r="J20" i="15"/>
  <c r="F62" i="15"/>
  <c r="C61" i="15" s="1"/>
  <c r="C34" i="15"/>
  <c r="C36" i="44"/>
  <c r="R16" i="1"/>
  <c r="C18" i="43"/>
  <c r="C18" i="12"/>
  <c r="C23" i="12" s="1"/>
  <c r="C35" i="12" s="1"/>
  <c r="C33" i="12" s="1"/>
  <c r="O46" i="36"/>
  <c r="J7" i="36" s="1"/>
  <c r="F7" i="36"/>
  <c r="H7" i="36"/>
  <c r="J64" i="40"/>
  <c r="I66" i="40"/>
  <c r="J69" i="39"/>
  <c r="I71" i="39"/>
  <c r="C99" i="9"/>
  <c r="C115" i="9"/>
  <c r="D76" i="9" s="1"/>
  <c r="D74" i="9" s="1"/>
  <c r="N74" i="9" s="1"/>
  <c r="O77" i="9" s="1"/>
  <c r="O78" i="9" s="1"/>
  <c r="B3" i="67"/>
  <c r="B4" i="67"/>
  <c r="F10" i="69" l="1"/>
  <c r="C27" i="46"/>
  <c r="B4" i="46"/>
  <c r="D4" i="46"/>
  <c r="D5" i="59"/>
  <c r="T5" i="59"/>
  <c r="F5" i="59"/>
  <c r="V5" i="59" s="1"/>
  <c r="B6" i="59"/>
  <c r="E6" i="59"/>
  <c r="C19" i="43"/>
  <c r="K69" i="39"/>
  <c r="J71" i="39"/>
  <c r="U7" i="36"/>
  <c r="AB7" i="36"/>
  <c r="T36" i="36" s="1"/>
  <c r="G36" i="36" s="1"/>
  <c r="AC7" i="36"/>
  <c r="V36" i="36" s="1"/>
  <c r="I36" i="36" s="1"/>
  <c r="W7" i="36"/>
  <c r="J66" i="40"/>
  <c r="K64" i="40"/>
  <c r="S7" i="36"/>
  <c r="AA7" i="36"/>
  <c r="R36" i="36" s="1"/>
  <c r="Q77" i="9"/>
  <c r="O79" i="9"/>
  <c r="O81" i="9" s="1"/>
  <c r="E5" i="59" l="1"/>
  <c r="U5" i="59" s="1"/>
  <c r="B5" i="59"/>
  <c r="C21" i="43"/>
  <c r="R37" i="36"/>
  <c r="E36" i="36"/>
  <c r="I41" i="36" s="1"/>
  <c r="J41" i="36" s="1"/>
  <c r="K66" i="40"/>
  <c r="L64" i="40"/>
  <c r="G41" i="36"/>
  <c r="H41" i="36" s="1"/>
  <c r="G40" i="36"/>
  <c r="H40" i="36" s="1"/>
  <c r="I40" i="36"/>
  <c r="J40" i="36" s="1"/>
  <c r="L69" i="39"/>
  <c r="K71" i="39"/>
  <c r="O80" i="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B3" i="12"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l="1"/>
  <c r="B3" i="43"/>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Q68" i="15" l="1"/>
  <c r="L57" i="15"/>
  <c r="L60" i="15" s="1"/>
  <c r="Q58" i="15" s="1"/>
  <c r="Q63" i="15" s="1"/>
  <c r="C46" i="15"/>
  <c r="Q66" i="15"/>
  <c r="J42" i="15"/>
  <c r="J43" i="15" s="1"/>
  <c r="C43" i="15"/>
  <c r="Q48" i="15"/>
  <c r="Q54" i="15" s="1"/>
  <c r="L52" i="44"/>
  <c r="L58" i="44" s="1"/>
  <c r="L61" i="44" s="1"/>
  <c r="L47" i="44" s="1"/>
  <c r="B3" i="44"/>
  <c r="B5" i="44"/>
  <c r="B4" i="44"/>
  <c r="L46" i="15" l="1"/>
  <c r="B2" i="15" s="1"/>
  <c r="B3" i="15" s="1"/>
  <c r="Q67" i="15"/>
  <c r="Q76" i="15" s="1"/>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<sst xmlns="http://schemas.openxmlformats.org/spreadsheetml/2006/main" count="6965" uniqueCount="3153">
  <si>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</si>
  <si>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</si>
  <si>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</si>
  <si>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</si>
  <si>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</si>
  <si>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</si>
  <si>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</si>
  <si>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</si>
  <si>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</si>
  <si>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</si>
  <si>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</si>
  <si>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</si>
  <si>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</si>
  <si>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</si>
  <si>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</si>
  <si>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</si>
  <si>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</si>
  <si>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</si>
  <si>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</si>
  <si>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</si>
  <si>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</si>
  <si>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</si>
  <si>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</si>
  <si>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</si>
  <si>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</si>
  <si>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</si>
  <si>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</si>
  <si>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</si>
  <si>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</si>
  <si>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</si>
  <si>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</si>
  <si>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</si>
  <si>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</si>
  <si>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</si>
  <si>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</si>
  <si>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</si>
  <si>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</si>
  <si>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</si>
  <si>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</si>
  <si>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</si>
  <si>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</si>
  <si>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</si>
  <si>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</si>
  <si>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</si>
  <si>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</si>
  <si>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</si>
  <si>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</si>
  <si>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</si>
  <si>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</si>
  <si>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</si>
  <si>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</si>
  <si>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</si>
  <si>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</si>
  <si>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</si>
  <si>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</si>
  <si>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</si>
  <si>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</si>
  <si>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</si>
  <si>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</si>
  <si>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</si>
  <si>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</si>
  <si>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</si>
  <si>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</si>
  <si>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</si>
  <si>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</si>
  <si>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</si>
  <si>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</si>
  <si>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</si>
  <si>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</si>
  <si>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</si>
  <si>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</si>
  <si>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</si>
  <si>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</si>
  <si>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</si>
  <si>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</si>
  <si>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</si>
  <si>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</si>
  <si>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</si>
  <si>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</si>
  <si>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</si>
  <si>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</si>
  <si>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</si>
  <si>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</si>
  <si>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</si>
  <si>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</si>
  <si>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</si>
  <si>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</si>
  <si>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</si>
  <si>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</si>
  <si>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</si>
  <si>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</si>
  <si>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</si>
  <si>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</si>
  <si>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</si>
  <si>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</si>
  <si>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</si>
  <si>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</si>
  <si>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</si>
  <si>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</si>
  <si>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</si>
  <si>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</si>
  <si>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</si>
  <si>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</si>
  <si>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</si>
  <si>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</si>
  <si>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</si>
  <si>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</si>
  <si>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</si>
  <si>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</si>
  <si>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</si>
  <si>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</si>
  <si>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</si>
  <si>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</si>
  <si>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</si>
  <si>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</si>
  <si>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</si>
  <si>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</si>
  <si>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</si>
  <si>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</si>
  <si>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</si>
  <si>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</si>
  <si>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</si>
  <si>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</si>
  <si>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</si>
  <si>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</si>
  <si>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</si>
  <si>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</si>
  <si>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</si>
  <si>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</si>
  <si>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</si>
  <si>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</si>
  <si>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</si>
  <si>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</si>
  <si>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</si>
  <si>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</si>
  <si>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</si>
  <si>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</si>
  <si>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</si>
  <si>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</si>
  <si>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</si>
  <si>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</si>
  <si>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</si>
  <si>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</si>
  <si>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</si>
  <si>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</si>
  <si>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</si>
  <si>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</si>
  <si>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</si>
  <si>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</si>
  <si>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</si>
  <si>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</si>
  <si>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</si>
  <si>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</si>
  <si>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</si>
  <si>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</si>
  <si>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</si>
  <si>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</si>
  <si>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</si>
  <si>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</si>
  <si>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</si>
  <si>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</si>
  <si>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</si>
  <si>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</si>
  <si>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</si>
  <si>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</si>
  <si>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</si>
  <si>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</si>
  <si>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</si>
  <si>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</si>
  <si>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</si>
  <si>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</si>
  <si>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</si>
  <si>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</si>
  <si>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</si>
  <si>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</si>
  <si>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</si>
  <si>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</si>
  <si>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</si>
  <si>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</si>
  <si>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</si>
  <si>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</si>
  <si>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</si>
  <si>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</si>
  <si>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</si>
  <si>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</si>
  <si>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</si>
  <si>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</si>
  <si>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</si>
  <si>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</si>
  <si>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</si>
  <si>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</si>
  <si>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</si>
  <si>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</si>
  <si>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</si>
  <si>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</si>
  <si>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</si>
  <si>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</si>
  <si>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</si>
  <si>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</si>
  <si>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</si>
  <si>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</si>
  <si>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</si>
  <si>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</si>
  <si>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</si>
  <si>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</si>
  <si>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</si>
  <si>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</si>
  <si>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</si>
  <si>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</si>
  <si>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</si>
  <si>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</si>
  <si>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</si>
  <si>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</si>
  <si>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</si>
  <si>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</si>
  <si>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</si>
  <si>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</si>
  <si>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</si>
  <si>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</si>
  <si>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</si>
  <si>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</si>
  <si>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</si>
  <si>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</si>
  <si>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</si>
  <si>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</si>
  <si>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</si>
  <si>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</si>
  <si>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</si>
  <si>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</si>
  <si>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</si>
  <si>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</si>
  <si>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</si>
  <si>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</si>
  <si>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</si>
  <si>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</si>
  <si>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</si>
  <si>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</si>
  <si>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</si>
  <si>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</si>
  <si>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</si>
  <si>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</si>
  <si>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</si>
  <si>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</si>
  <si>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</si>
  <si>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</si>
  <si>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</si>
  <si>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</si>
  <si>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</si>
  <si>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</si>
  <si>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</si>
  <si>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</si>
  <si>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</si>
  <si>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</si>
  <si>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</si>
  <si>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</si>
  <si>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</si>
  <si>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</si>
  <si>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</si>
  <si>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</si>
  <si>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</si>
  <si>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</si>
  <si>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</si>
  <si>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</si>
  <si>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</si>
  <si>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</si>
  <si>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</si>
  <si>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</si>
  <si>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</si>
  <si>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</si>
  <si>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</si>
  <si>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</si>
  <si>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</si>
  <si>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</si>
  <si>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</si>
  <si>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</si>
  <si>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</si>
  <si>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</si>
  <si>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</si>
  <si>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</si>
  <si>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</si>
  <si>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</si>
  <si>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</si>
  <si>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</si>
  <si>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</si>
  <si>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</si>
  <si>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</si>
  <si>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</si>
  <si>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</si>
  <si>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</si>
  <si>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</si>
  <si>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</si>
  <si>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</si>
  <si>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</si>
  <si>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</si>
  <si>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</si>
  <si>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</si>
  <si>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</si>
  <si>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</si>
  <si>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</si>
  <si>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</si>
  <si>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</si>
  <si>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</si>
  <si>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</si>
  <si>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</si>
  <si>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</si>
  <si>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</si>
  <si>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</si>
  <si>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</si>
  <si>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</si>
  <si>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</si>
  <si>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</si>
  <si>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</si>
  <si>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</si>
  <si>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</si>
  <si>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</si>
  <si>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</si>
  <si>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</si>
  <si>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</si>
  <si>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</si>
  <si>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</si>
  <si>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</si>
  <si>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</si>
  <si>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</si>
  <si>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</si>
  <si>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</si>
  <si>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</si>
  <si>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</si>
  <si>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</si>
  <si>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</si>
  <si>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</si>
  <si>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</si>
  <si>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</si>
  <si>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</si>
  <si>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</si>
  <si>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</si>
  <si>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</si>
  <si>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</si>
  <si>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</si>
  <si>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</si>
  <si>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</si>
  <si>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</si>
  <si>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</si>
  <si>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</si>
  <si>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</si>
  <si>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</si>
  <si>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</si>
  <si>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</si>
  <si>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</si>
  <si>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</si>
  <si>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</si>
  <si>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</si>
  <si>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</si>
  <si>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</si>
  <si>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</si>
  <si>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</si>
  <si>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</si>
  <si>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</si>
  <si>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</si>
  <si>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</si>
  <si>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</si>
  <si>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</si>
  <si>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</si>
  <si>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</si>
  <si>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</si>
  <si>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</si>
  <si>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</si>
  <si>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</si>
  <si>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</si>
  <si>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</si>
  <si>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</si>
  <si>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</si>
  <si>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</si>
  <si>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</si>
  <si>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</si>
  <si>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</si>
  <si>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</si>
  <si>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</si>
  <si>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</si>
  <si>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</si>
  <si>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</si>
  <si>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</si>
  <si>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</si>
  <si>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</si>
  <si>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</si>
  <si>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</si>
  <si>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</si>
  <si>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</si>
  <si>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</si>
  <si>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</si>
  <si>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</si>
  <si>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</si>
  <si>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</si>
  <si>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</si>
  <si>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</si>
  <si>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</si>
  <si>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</si>
  <si>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</si>
  <si>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</si>
  <si>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</si>
  <si>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</si>
  <si>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</si>
  <si>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</si>
  <si>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</si>
  <si>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</si>
  <si>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</si>
  <si>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</si>
  <si>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</si>
  <si>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</si>
  <si>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</si>
  <si>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</si>
  <si>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</si>
  <si>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</si>
  <si>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</si>
  <si>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</si>
  <si>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</si>
  <si>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</si>
  <si>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</si>
  <si>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</si>
  <si>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</si>
  <si>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</si>
  <si>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</si>
  <si>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</si>
  <si>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</si>
  <si>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</si>
  <si>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</si>
  <si>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</si>
  <si>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</si>
  <si>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</si>
  <si>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</si>
  <si>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</si>
  <si>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</si>
  <si>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</si>
  <si>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</si>
  <si>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</si>
  <si>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</si>
  <si>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</si>
  <si>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</si>
  <si>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</si>
  <si>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</si>
  <si>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</si>
  <si>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</si>
  <si>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</si>
  <si>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</si>
  <si>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</si>
  <si>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</si>
  <si>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</si>
  <si>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</si>
  <si>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</si>
  <si>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</si>
  <si>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</si>
  <si>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</si>
  <si>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</si>
  <si>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</si>
  <si>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</si>
  <si>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</si>
  <si>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</si>
  <si>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</si>
  <si>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</si>
  <si>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</si>
  <si>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</si>
  <si>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</si>
  <si>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</si>
  <si>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</si>
  <si>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</si>
  <si>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</si>
  <si>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</si>
  <si>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</si>
  <si>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</si>
  <si>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</si>
  <si>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</si>
  <si>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</si>
  <si>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</si>
  <si>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</si>
  <si>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</si>
  <si>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</si>
  <si>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</si>
  <si>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</si>
  <si>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</si>
  <si>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</si>
  <si>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</si>
  <si>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</si>
  <si>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</si>
  <si>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</si>
  <si>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</si>
  <si>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</si>
  <si>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</si>
  <si>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</si>
  <si>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</si>
  <si>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</si>
  <si>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</si>
  <si>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</si>
  <si>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</si>
  <si>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</si>
  <si>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</si>
  <si>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</si>
  <si>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</si>
  <si>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</si>
  <si>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</si>
  <si>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</si>
  <si>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</si>
  <si>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</si>
  <si>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</si>
  <si>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</si>
  <si>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</si>
  <si>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</si>
  <si>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</si>
  <si>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</si>
  <si>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</si>
  <si>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</si>
  <si>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</si>
  <si>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</si>
  <si>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</si>
  <si>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</si>
  <si>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</si>
  <si>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</si>
  <si>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</si>
  <si>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</si>
  <si>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</si>
  <si>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</si>
  <si>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</si>
  <si>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</si>
  <si>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</si>
  <si>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</si>
  <si>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</si>
  <si>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</si>
  <si>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</si>
  <si>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</si>
  <si>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</si>
  <si>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</si>
  <si>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</si>
  <si>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</si>
  <si>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</si>
  <si>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</si>
  <si>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</si>
  <si>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</si>
  <si>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</si>
  <si>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</si>
  <si>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</si>
  <si>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</si>
  <si>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</si>
  <si>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</si>
  <si>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</si>
  <si>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</si>
  <si>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</si>
  <si>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</si>
  <si>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</si>
  <si>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</si>
  <si>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</si>
  <si>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</si>
  <si>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</si>
  <si>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</si>
  <si>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</si>
  <si>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</si>
  <si>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</si>
  <si>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</si>
  <si>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</si>
  <si>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</si>
  <si>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</si>
  <si>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</si>
  <si>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</si>
  <si>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</si>
  <si>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</si>
  <si>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</si>
  <si>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</si>
  <si>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</si>
  <si>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</si>
  <si>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</si>
  <si>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</si>
  <si>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</si>
  <si>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</si>
  <si>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</si>
  <si>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</si>
  <si>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</si>
  <si>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</si>
  <si>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</si>
  <si>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</si>
  <si>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</si>
  <si>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</si>
  <si>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</si>
  <si>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</si>
  <si>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</si>
  <si>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</si>
  <si>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</si>
  <si>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</si>
  <si>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</si>
  <si>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</si>
  <si>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</si>
  <si>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</si>
  <si>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</si>
  <si>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</si>
  <si>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</si>
  <si>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</si>
  <si>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</si>
  <si>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</si>
  <si>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</si>
  <si>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</si>
  <si>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</si>
  <si>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</si>
  <si>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</si>
  <si>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</si>
  <si>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</si>
  <si>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</si>
  <si>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</si>
  <si>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</si>
  <si>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</si>
  <si>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</si>
  <si>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</si>
  <si>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</si>
  <si>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</si>
  <si>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</si>
  <si>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</si>
  <si>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</si>
  <si>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</si>
  <si>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</si>
  <si>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</si>
  <si>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</si>
  <si>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</si>
  <si>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</si>
  <si>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</si>
  <si>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</si>
  <si>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</si>
  <si>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</si>
  <si>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</si>
  <si>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</si>
  <si>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</si>
  <si>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</si>
  <si>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</si>
  <si>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</si>
  <si>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</si>
  <si>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</si>
  <si>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</si>
  <si>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</si>
  <si>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</si>
  <si>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</si>
  <si>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</si>
  <si>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</si>
  <si>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</si>
  <si>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</si>
  <si>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</si>
  <si>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</si>
  <si>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</si>
  <si>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</si>
  <si>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</si>
  <si>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</si>
  <si>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</si>
  <si>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</si>
  <si>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</si>
  <si>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</si>
  <si>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</si>
  <si>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</si>
  <si>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</si>
  <si>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</si>
  <si>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</si>
  <si>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</si>
  <si>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</si>
  <si>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</si>
  <si>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</si>
  <si>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</si>
  <si>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</si>
  <si>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</si>
  <si>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</si>
  <si>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</si>
  <si>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</si>
  <si>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</si>
  <si>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</si>
  <si>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</si>
  <si>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</si>
  <si>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</si>
  <si>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</si>
  <si>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</si>
  <si>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</si>
  <si>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</si>
  <si>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</si>
  <si>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</si>
  <si>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</si>
  <si>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</si>
  <si>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</si>
  <si>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</si>
  <si>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</si>
  <si>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</si>
  <si>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</si>
  <si>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</si>
  <si>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</si>
  <si>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</si>
  <si>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</si>
  <si>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</si>
  <si>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</si>
  <si>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</si>
  <si>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</si>
  <si>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</si>
  <si>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</si>
  <si>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</si>
  <si>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</si>
  <si>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</si>
  <si>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</si>
  <si>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</si>
  <si>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</si>
  <si>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</si>
  <si>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</si>
  <si>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</si>
  <si>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</si>
  <si>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</si>
  <si>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</si>
  <si>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</si>
  <si>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</si>
  <si>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</si>
  <si>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</si>
  <si>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</si>
  <si>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</si>
  <si>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</si>
  <si>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</si>
  <si>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</si>
  <si>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</si>
  <si>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</si>
  <si>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</si>
  <si>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</si>
  <si>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</si>
  <si>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</si>
  <si>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</si>
  <si>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</si>
  <si>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</si>
  <si>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</si>
  <si>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</si>
  <si>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</si>
  <si>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</si>
  <si>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</si>
  <si>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</si>
  <si>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</si>
  <si>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</si>
  <si>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</si>
  <si>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</si>
  <si>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</si>
  <si>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</si>
  <si>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</si>
  <si>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</si>
  <si>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</si>
  <si>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</si>
  <si>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</si>
  <si>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</si>
  <si>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</si>
  <si>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</si>
  <si>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</si>
  <si>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</si>
  <si>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</si>
  <si>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</si>
  <si>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</si>
  <si>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</si>
  <si>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</si>
  <si>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</si>
  <si>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</si>
  <si>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</si>
  <si>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</si>
  <si>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</si>
  <si>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</si>
  <si>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</si>
  <si>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</si>
  <si>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</si>
  <si>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</si>
  <si>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</si>
  <si>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</si>
  <si>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</si>
  <si>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</si>
  <si>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</si>
  <si>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</si>
  <si>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</si>
  <si>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</si>
  <si>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</si>
  <si>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</si>
  <si>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</si>
  <si>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</si>
  <si>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</si>
  <si>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</si>
  <si>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</si>
  <si>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</si>
  <si>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</si>
  <si>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</si>
  <si>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</si>
  <si>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</si>
  <si>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</si>
  <si>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</si>
  <si>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</si>
  <si>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</si>
  <si>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</si>
  <si>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</si>
  <si>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</si>
  <si>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</si>
  <si>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</si>
  <si>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</si>
  <si>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</si>
  <si>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</si>
  <si>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</si>
  <si>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</si>
  <si>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</si>
  <si>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</si>
  <si>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</si>
  <si>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</si>
  <si>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</si>
  <si>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</si>
  <si>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</si>
  <si>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</si>
  <si>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</si>
  <si>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</si>
  <si>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</si>
  <si>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</si>
  <si>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</si>
  <si>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</si>
  <si>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</si>
  <si>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</si>
  <si>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</si>
  <si>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</si>
  <si>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</si>
  <si>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</si>
  <si>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</si>
  <si>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</si>
  <si>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</si>
  <si>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</si>
  <si>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</si>
  <si>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</si>
  <si>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</si>
  <si>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</si>
  <si>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</si>
  <si>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</si>
  <si>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</si>
  <si>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</si>
  <si>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</si>
  <si>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</si>
  <si>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</si>
  <si>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</si>
  <si>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</si>
  <si>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</si>
  <si>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</si>
  <si>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</si>
  <si>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</si>
  <si>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</si>
  <si>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</si>
  <si>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</si>
  <si>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</si>
  <si>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</si>
  <si>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</si>
  <si>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</si>
  <si>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</si>
  <si>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</si>
  <si>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</si>
  <si>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</si>
  <si>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</si>
  <si>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</si>
  <si>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</si>
  <si>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</si>
  <si>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</si>
  <si>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</si>
  <si>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</si>
  <si>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</si>
  <si>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</si>
  <si>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</si>
  <si>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</si>
  <si>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</si>
  <si>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</si>
  <si>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</si>
  <si>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</si>
  <si>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</si>
  <si>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</si>
  <si>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</si>
  <si>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</si>
  <si>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</si>
  <si>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</si>
  <si>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</si>
  <si>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</si>
  <si>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</si>
  <si>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</si>
  <si>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</si>
  <si>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</si>
  <si>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</si>
  <si>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</si>
  <si>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</si>
  <si>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</si>
  <si>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</si>
  <si>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</si>
  <si>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</si>
  <si>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</si>
  <si>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</si>
  <si>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</si>
  <si>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</si>
  <si>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</si>
  <si>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</si>
  <si>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</si>
  <si>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</si>
  <si>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</si>
  <si>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</si>
  <si>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</si>
  <si>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</si>
  <si>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</si>
  <si>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</si>
  <si>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</si>
  <si>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</si>
  <si>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</si>
  <si>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</si>
  <si>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</si>
  <si>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</si>
  <si>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</si>
  <si>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</si>
  <si>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</si>
  <si>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</si>
  <si>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</si>
  <si>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</si>
  <si>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</si>
  <si>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</si>
  <si>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</si>
  <si>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</si>
  <si>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</si>
  <si>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</si>
  <si>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</si>
  <si>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</si>
  <si>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</si>
  <si>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</si>
  <si>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</si>
  <si>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</si>
  <si>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</si>
  <si>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</si>
  <si>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</si>
  <si>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</si>
  <si>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</si>
  <si>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</si>
  <si>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</si>
  <si>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</si>
  <si>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</si>
  <si>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</si>
  <si>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</si>
  <si>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</si>
  <si>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</si>
  <si>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</si>
  <si>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</si>
  <si>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</si>
  <si>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</si>
  <si>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</si>
  <si>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</si>
  <si>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</si>
  <si>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</si>
  <si>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</si>
  <si>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</si>
  <si>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</si>
  <si>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</si>
  <si>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</si>
  <si>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</si>
  <si>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</si>
  <si>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</si>
  <si>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</si>
  <si>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</si>
  <si>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</si>
  <si>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</si>
  <si>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</si>
  <si>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</si>
  <si>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</si>
  <si>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</si>
  <si>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</si>
  <si>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</si>
  <si>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</si>
  <si>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</si>
  <si>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</si>
  <si>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</si>
  <si>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</si>
  <si>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</si>
  <si>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</si>
  <si>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</si>
  <si>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</si>
  <si>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</si>
  <si>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</si>
  <si>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</si>
  <si>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</si>
  <si>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</si>
  <si>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</si>
  <si>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</si>
  <si>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</si>
  <si>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</si>
  <si>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</si>
  <si>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</si>
  <si>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</si>
  <si>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</si>
  <si>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</si>
  <si>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</si>
  <si>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</si>
  <si>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</si>
  <si>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</si>
  <si>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</si>
  <si>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</si>
  <si>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</si>
  <si>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</si>
  <si>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</si>
  <si>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</si>
  <si>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</si>
  <si>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</si>
  <si>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</si>
  <si>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</si>
  <si>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</si>
  <si>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</si>
  <si>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</si>
  <si>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</si>
  <si>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</si>
  <si>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</si>
  <si>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</si>
  <si>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</si>
  <si>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</si>
  <si>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</si>
  <si>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</si>
  <si>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</si>
  <si>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</si>
  <si>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</si>
  <si>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</si>
  <si>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</si>
  <si>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</si>
  <si>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</si>
  <si>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</si>
  <si>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</si>
  <si>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</si>
  <si>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</si>
  <si>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</si>
  <si>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</si>
  <si>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</si>
  <si>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</si>
  <si>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</si>
  <si>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</si>
  <si>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</si>
  <si>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</si>
  <si>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</si>
  <si>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</si>
  <si>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</si>
  <si>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</si>
  <si>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</si>
  <si>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</si>
  <si>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</si>
  <si>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</si>
  <si>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</si>
  <si>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</si>
  <si>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</si>
  <si>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</si>
  <si>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</si>
  <si>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</si>
  <si>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</si>
  <si>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</si>
  <si>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</si>
  <si>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</si>
  <si>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</si>
  <si>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</si>
  <si>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</si>
  <si>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</si>
  <si>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</si>
  <si>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</si>
  <si>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</si>
  <si>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</si>
  <si>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</si>
  <si>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</si>
  <si>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</si>
  <si>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</si>
  <si>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</si>
  <si>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</si>
  <si>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</si>
  <si>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</si>
  <si>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</si>
  <si>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</si>
  <si>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</si>
  <si>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</si>
  <si>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</si>
  <si>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</si>
  <si>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</si>
  <si>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</si>
  <si>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</si>
  <si>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</si>
  <si>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</si>
  <si>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</si>
  <si>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</si>
  <si>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</si>
  <si>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</si>
  <si>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</si>
  <si>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</si>
  <si>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</si>
  <si>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</si>
  <si>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</si>
  <si>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</si>
  <si>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</si>
  <si>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</si>
  <si>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</si>
  <si>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</si>
  <si>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</si>
  <si>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</si>
  <si>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</si>
  <si>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</si>
  <si>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</si>
  <si>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</si>
  <si>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</si>
  <si>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</si>
  <si>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</si>
  <si>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</si>
  <si>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</si>
  <si>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</si>
  <si>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</si>
  <si>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</si>
  <si>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</si>
  <si>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</si>
  <si>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</si>
  <si>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</si>
  <si>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</si>
  <si>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</si>
  <si>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</si>
  <si>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</si>
  <si>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</si>
  <si>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</si>
  <si>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</si>
  <si>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</si>
  <si>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</si>
  <si>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</si>
  <si>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</si>
  <si>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</si>
  <si>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</si>
  <si>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</si>
  <si>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</si>
  <si>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</si>
  <si>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</si>
  <si>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</si>
  <si>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</si>
  <si>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</si>
  <si>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</si>
  <si>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</si>
  <si>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</si>
  <si>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</si>
  <si>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</si>
  <si>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</si>
  <si>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</si>
  <si>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</si>
  <si>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</si>
  <si>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</si>
  <si>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</si>
  <si>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</si>
  <si>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</si>
  <si>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</si>
  <si>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</si>
  <si>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</si>
  <si>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</si>
  <si>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</si>
  <si>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</si>
  <si>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</si>
  <si>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</si>
  <si>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</si>
  <si>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</si>
  <si>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</si>
  <si>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</si>
  <si>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</si>
  <si>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</si>
  <si>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</si>
  <si>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</si>
  <si>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</si>
  <si>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</si>
  <si>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</si>
  <si>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</si>
  <si>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</si>
  <si>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</si>
  <si>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</si>
  <si>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</si>
  <si>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</si>
  <si>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</si>
  <si>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</si>
  <si>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</si>
  <si>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</si>
  <si>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</si>
  <si>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</si>
  <si>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</si>
  <si>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</si>
  <si>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</si>
  <si>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</si>
  <si>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</si>
  <si>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</si>
  <si>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</si>
  <si>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</si>
  <si>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</si>
  <si>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</si>
  <si>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</si>
  <si>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</si>
  <si>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</si>
  <si>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</si>
  <si>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</si>
  <si>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</si>
  <si>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</si>
  <si>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</si>
  <si>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</si>
  <si>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</si>
  <si>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</si>
  <si>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</si>
  <si>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</si>
  <si>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</si>
  <si>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</si>
  <si>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</si>
  <si>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</si>
  <si>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</si>
  <si>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</si>
  <si>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</si>
  <si>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</si>
  <si>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</si>
  <si>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</si>
  <si>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</si>
  <si>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</si>
  <si>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</si>
  <si>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</si>
  <si>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</si>
  <si>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</si>
  <si>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</si>
  <si>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</si>
  <si>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</si>
  <si>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</si>
  <si>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</si>
  <si>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</si>
  <si>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</si>
  <si>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</si>
  <si>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</si>
  <si>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</si>
  <si>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</si>
  <si>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</si>
  <si>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</si>
  <si>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</si>
  <si>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</si>
  <si>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</si>
  <si>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</si>
  <si>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</si>
  <si>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</si>
  <si>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</si>
  <si>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</si>
  <si>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</si>
  <si>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</si>
  <si>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</si>
  <si>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</si>
  <si>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</si>
  <si>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</si>
  <si>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</si>
  <si>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</si>
  <si>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</si>
  <si>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</si>
  <si>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</si>
  <si>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</si>
  <si>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</si>
  <si>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</si>
  <si>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</si>
  <si>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</si>
  <si>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</si>
  <si>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</si>
  <si>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</si>
  <si>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</si>
  <si>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</si>
  <si>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</si>
  <si>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</si>
  <si>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</si>
  <si>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</si>
  <si>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</si>
  <si>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</si>
  <si>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</si>
  <si>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</si>
  <si>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</si>
  <si>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</si>
  <si>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</si>
  <si>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</si>
  <si>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</si>
  <si>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</si>
  <si>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</si>
  <si>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</si>
  <si>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</si>
  <si>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</si>
  <si>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</si>
  <si>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</si>
  <si>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</si>
  <si>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</si>
  <si>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</si>
  <si>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</si>
  <si>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</si>
  <si>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</si>
  <si>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</si>
  <si>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</si>
  <si>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</si>
  <si>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</si>
  <si>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</si>
  <si>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</si>
  <si>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</si>
  <si>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</si>
  <si>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</si>
  <si>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</si>
  <si>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</si>
  <si>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</si>
  <si>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</si>
  <si>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</si>
  <si>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</si>
  <si>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</si>
  <si>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</si>
  <si>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</si>
  <si>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</si>
  <si>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</si>
  <si>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</si>
  <si>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</si>
  <si>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</si>
  <si>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</si>
  <si>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</si>
  <si>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</si>
  <si>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</si>
  <si>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</si>
  <si>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</si>
  <si>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</si>
  <si>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</si>
  <si>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</si>
  <si>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</si>
  <si>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</si>
  <si>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</si>
  <si>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</si>
  <si>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</si>
  <si>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</si>
  <si>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</si>
  <si>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</si>
  <si>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</si>
  <si>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</si>
  <si>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</si>
  <si>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</si>
  <si>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</si>
  <si>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</si>
  <si>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</si>
  <si>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</si>
  <si>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</si>
  <si>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</si>
  <si>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</si>
  <si>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</si>
  <si>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</si>
  <si>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</si>
  <si>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</si>
  <si>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</si>
  <si>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</si>
  <si>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</si>
  <si>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</si>
  <si>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</si>
  <si>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</si>
  <si>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</si>
  <si>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</si>
  <si>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</si>
  <si>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</si>
  <si>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</si>
  <si>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</si>
  <si>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</si>
  <si>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</si>
  <si>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</si>
  <si>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</si>
  <si>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</si>
  <si>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</si>
  <si>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</si>
  <si>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</si>
  <si>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</si>
  <si>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</si>
  <si>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</si>
  <si>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</si>
  <si>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</si>
  <si>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</si>
  <si>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</si>
  <si>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</si>
  <si>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</si>
  <si>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</si>
  <si>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</si>
  <si>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</si>
  <si>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</si>
  <si>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</si>
  <si>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</si>
  <si>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</si>
  <si>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</si>
  <si>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</si>
  <si>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</si>
  <si>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</si>
  <si>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</si>
  <si>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</si>
  <si>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</si>
  <si>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</si>
  <si>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</si>
  <si>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</si>
  <si>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</si>
  <si>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</si>
  <si>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</si>
  <si>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</si>
  <si>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</si>
  <si>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</si>
  <si>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</si>
  <si>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</si>
  <si>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</si>
  <si>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</si>
  <si>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</si>
  <si>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</si>
  <si>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</si>
  <si>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</si>
  <si>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</si>
  <si>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</si>
  <si>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</si>
  <si>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</si>
  <si>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</si>
  <si>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</si>
  <si>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</si>
  <si>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</si>
  <si>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</si>
  <si>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</si>
  <si>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</si>
  <si>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</si>
  <si>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</si>
  <si>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</si>
  <si>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</si>
  <si>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</si>
  <si>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</si>
  <si>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</si>
  <si>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</si>
  <si>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</si>
  <si>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</si>
  <si>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</si>
  <si>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</si>
  <si>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</si>
  <si>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</si>
  <si>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</si>
  <si>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</si>
  <si>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</si>
  <si>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</si>
  <si>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</si>
  <si>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</si>
  <si>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</si>
  <si>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</si>
  <si>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</si>
  <si>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</si>
  <si>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</si>
  <si>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</si>
  <si>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</si>
  <si>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</si>
  <si>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</si>
  <si>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</si>
  <si>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</si>
  <si>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</si>
  <si>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</si>
  <si>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</si>
  <si>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</si>
  <si>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</si>
  <si>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</si>
  <si>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</si>
  <si>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</si>
  <si>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</si>
  <si>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</si>
  <si>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</si>
  <si>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</si>
  <si>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</si>
  <si>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</si>
  <si>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</si>
  <si>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</si>
  <si>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</si>
  <si>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</si>
  <si>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</si>
  <si>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</si>
  <si>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</si>
  <si>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</si>
  <si>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</si>
  <si>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</si>
  <si>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</si>
  <si>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</si>
  <si>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</si>
  <si>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</si>
  <si>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</si>
  <si>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</si>
  <si>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</si>
  <si>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</si>
  <si>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</si>
  <si>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</si>
  <si>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</si>
  <si>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</si>
  <si>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</si>
  <si>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</si>
  <si>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</si>
  <si>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</si>
  <si>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</si>
  <si>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</si>
  <si>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</si>
  <si>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</si>
  <si>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</si>
  <si>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</si>
  <si>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</si>
  <si>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</si>
  <si>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</si>
  <si>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</si>
  <si>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</si>
  <si>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</si>
  <si>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</si>
  <si>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</si>
  <si>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</si>
  <si>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</si>
  <si>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</si>
  <si>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</si>
  <si>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</si>
  <si>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</si>
  <si>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</si>
  <si>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</si>
  <si>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</si>
  <si>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</si>
  <si>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</si>
  <si>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</si>
  <si>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</si>
  <si>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</si>
  <si>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</si>
  <si>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</si>
  <si>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</si>
  <si>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</si>
  <si>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</si>
  <si>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</si>
  <si>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</si>
  <si>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</si>
  <si>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</si>
  <si>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</si>
  <si>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</si>
  <si>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</si>
  <si>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</si>
  <si>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</si>
  <si>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</si>
  <si>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</si>
  <si>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</si>
  <si>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</si>
  <si>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</si>
  <si>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</si>
  <si>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</si>
  <si>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</si>
  <si>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</si>
  <si>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</si>
  <si>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</si>
  <si>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</si>
  <si>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</si>
  <si>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</si>
  <si>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</si>
  <si>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</si>
  <si>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</si>
  <si>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</si>
  <si>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</si>
  <si>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</si>
  <si>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</si>
  <si>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</si>
  <si>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</si>
  <si>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</si>
  <si>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</si>
  <si>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</si>
  <si>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</si>
  <si>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</si>
  <si>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</si>
  <si>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</si>
  <si>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</si>
  <si>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</si>
  <si>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</si>
  <si>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</si>
  <si>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</si>
  <si>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</si>
  <si>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</si>
  <si>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</si>
  <si>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</si>
  <si>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</si>
  <si>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</si>
  <si>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</si>
  <si>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</si>
  <si>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</si>
  <si>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</si>
  <si>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</si>
  <si>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</si>
  <si>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</si>
  <si>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</si>
  <si>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</si>
  <si>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</si>
  <si>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</si>
  <si>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</si>
  <si>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</si>
  <si>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</si>
  <si>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</si>
  <si>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</si>
  <si>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</si>
  <si>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</si>
  <si>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</si>
  <si>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</si>
  <si>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</si>
  <si>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</si>
  <si>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</si>
  <si>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</si>
  <si>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</si>
  <si>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</si>
  <si>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</si>
  <si>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</si>
  <si>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</si>
  <si>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</si>
  <si>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</si>
  <si>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</si>
  <si>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</si>
  <si>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</si>
  <si>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</si>
  <si>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</si>
  <si>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</si>
  <si>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</si>
  <si>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</si>
  <si>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</si>
  <si>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</si>
  <si>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</si>
  <si>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</si>
  <si>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</si>
  <si>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</si>
  <si>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</si>
  <si>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</si>
  <si>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</si>
  <si>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</si>
  <si>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</si>
  <si>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</si>
  <si>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</si>
  <si>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</si>
  <si>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</si>
  <si>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</si>
  <si>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</si>
  <si>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</si>
  <si>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</si>
  <si>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</si>
  <si>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</si>
  <si>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</si>
  <si>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</si>
  <si>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</si>
  <si>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</si>
  <si>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</si>
  <si>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</si>
  <si>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</si>
  <si>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</si>
  <si>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</si>
  <si>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</si>
  <si>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</si>
  <si>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</si>
  <si>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</si>
  <si>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</si>
  <si>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</si>
  <si>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</si>
  <si>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</si>
  <si>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</si>
  <si>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</si>
  <si>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</si>
  <si>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</si>
  <si>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</si>
  <si>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</si>
  <si>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</si>
  <si>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</si>
  <si>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</si>
  <si>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</si>
  <si>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</si>
  <si>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</si>
  <si>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</si>
  <si>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</si>
  <si>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</si>
  <si>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</si>
  <si>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</si>
  <si>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</si>
  <si>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</si>
  <si>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</si>
  <si>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</si>
  <si>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</si>
  <si>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</si>
  <si>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</si>
  <si>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</si>
  <si>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</si>
  <si>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</si>
  <si>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</si>
  <si>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</si>
  <si>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</si>
  <si>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</si>
  <si>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</si>
  <si>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</si>
  <si>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</si>
  <si>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</si>
  <si>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</si>
  <si>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</si>
  <si>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</si>
  <si>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</si>
  <si>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</si>
  <si>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</si>
  <si>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</si>
  <si>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</si>
  <si>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</si>
  <si>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</si>
  <si>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</si>
  <si>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</si>
  <si>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</si>
  <si>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</si>
  <si>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</si>
  <si>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</si>
  <si>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</si>
  <si>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</si>
  <si>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</si>
  <si>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</si>
  <si>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</si>
  <si>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</si>
  <si>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</si>
  <si>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</si>
  <si>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</si>
  <si>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</si>
  <si>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</si>
  <si>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</si>
  <si>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</si>
  <si>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</si>
  <si>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</si>
  <si>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</si>
  <si>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</si>
  <si>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</si>
  <si>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</si>
  <si>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</si>
  <si>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</si>
  <si>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</si>
  <si>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</si>
  <si>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</si>
  <si>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</si>
  <si>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</si>
  <si>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</si>
  <si>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</si>
  <si>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</si>
  <si>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</si>
  <si>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</si>
  <si>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</si>
  <si>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</si>
  <si>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</si>
  <si>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</si>
  <si>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</si>
  <si>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</si>
  <si>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</si>
  <si>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</si>
  <si>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</si>
  <si>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</si>
  <si>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</si>
  <si>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</si>
  <si>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</si>
  <si>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</si>
  <si>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</si>
  <si>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</si>
  <si>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</si>
  <si>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</si>
  <si>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</si>
  <si>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</si>
  <si>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</si>
  <si>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</si>
  <si>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</si>
  <si>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</si>
  <si>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</si>
  <si>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</si>
  <si>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</si>
  <si>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</si>
  <si>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</si>
  <si>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</si>
  <si>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</si>
  <si>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</si>
  <si>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</si>
  <si>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</si>
  <si>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</si>
  <si>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</si>
  <si>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</si>
  <si>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</si>
  <si>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</si>
  <si>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</si>
  <si>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</si>
  <si>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</si>
  <si>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</si>
  <si>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</si>
  <si>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</si>
  <si>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</si>
  <si>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</si>
  <si>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</si>
  <si>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</si>
  <si>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</si>
  <si>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</si>
  <si>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</si>
  <si>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</si>
  <si>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</si>
  <si>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</si>
  <si>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</si>
  <si>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</si>
  <si>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</si>
  <si>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</si>
  <si>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</si>
  <si>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</si>
  <si>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</si>
  <si>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</si>
  <si>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</si>
  <si>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</si>
  <si>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</si>
  <si>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</si>
  <si>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</si>
  <si>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</si>
  <si>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</si>
  <si>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</si>
  <si>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</si>
  <si>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</si>
  <si>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</si>
  <si>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</si>
  <si>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</si>
  <si>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</si>
  <si>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</si>
  <si>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</si>
  <si>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</si>
  <si>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</si>
  <si>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</si>
  <si>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</si>
  <si>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</si>
  <si>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</si>
  <si>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</si>
  <si>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</si>
  <si>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</si>
  <si>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</si>
  <si>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</si>
  <si>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</si>
  <si>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</si>
  <si>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</si>
  <si>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</si>
  <si>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</si>
  <si>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</si>
  <si>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</si>
  <si>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</si>
  <si>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</si>
  <si>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</si>
  <si>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</si>
  <si>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</si>
  <si>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</si>
  <si>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</si>
  <si>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</si>
  <si>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</si>
  <si>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</si>
  <si>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</si>
  <si>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</si>
  <si>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</si>
  <si>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</si>
  <si>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</si>
  <si>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</si>
  <si>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</si>
  <si>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</si>
  <si>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</si>
  <si>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</si>
  <si>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</si>
  <si>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</si>
  <si>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</si>
  <si>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</si>
  <si>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</si>
  <si>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</si>
  <si>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</si>
  <si>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</si>
  <si>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</si>
  <si>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</si>
  <si>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</si>
  <si>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</si>
  <si>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</si>
  <si>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</si>
  <si>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</si>
  <si>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</si>
  <si>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</si>
  <si>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</si>
  <si>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</si>
  <si>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</si>
  <si>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</si>
  <si>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</si>
  <si>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</si>
  <si>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</si>
  <si>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</si>
  <si>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</si>
  <si>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</si>
  <si>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</si>
  <si>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</si>
  <si>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</si>
  <si>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</si>
  <si>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</si>
  <si>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</si>
  <si>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</si>
  <si>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</si>
  <si>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</si>
  <si>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</si>
  <si>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</si>
  <si>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</si>
  <si>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</si>
  <si>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</si>
  <si>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</si>
  <si>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</si>
  <si>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</si>
  <si>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</si>
  <si>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</si>
  <si>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</si>
  <si>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</si>
  <si>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</si>
  <si>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</si>
  <si>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</si>
  <si>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</si>
  <si>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</si>
  <si>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</si>
  <si>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</si>
  <si>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</si>
  <si>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</si>
  <si>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</si>
  <si>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</si>
  <si>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</si>
  <si>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</si>
  <si>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</si>
  <si>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</si>
  <si>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</si>
  <si>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</si>
  <si>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</si>
  <si>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</si>
  <si>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</si>
  <si>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</si>
  <si>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</si>
  <si>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</si>
  <si>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</si>
  <si>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</si>
  <si>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</si>
  <si>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</si>
  <si>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</si>
  <si>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</si>
  <si>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</si>
  <si>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</si>
  <si>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</si>
  <si>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</si>
  <si>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</si>
  <si>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</si>
  <si>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</si>
  <si>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</si>
  <si>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</si>
  <si>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</si>
  <si>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</si>
  <si>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</si>
  <si>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</si>
  <si>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</si>
  <si>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</si>
  <si>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</si>
  <si>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</si>
  <si>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</si>
  <si>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</si>
  <si>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</si>
  <si>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</si>
  <si>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</si>
  <si>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</si>
  <si>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</si>
  <si>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</si>
  <si>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</si>
  <si>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</si>
  <si>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</si>
  <si>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</si>
  <si>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</si>
  <si>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</si>
  <si>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</si>
  <si>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</si>
  <si>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</si>
  <si>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</si>
  <si>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</si>
  <si>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</si>
  <si>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</si>
  <si>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</si>
  <si>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</si>
  <si>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</si>
  <si>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</si>
  <si>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</si>
  <si>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</si>
  <si>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</si>
  <si>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</si>
  <si>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</si>
  <si>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</si>
  <si>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</si>
  <si>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</si>
  <si>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</si>
  <si>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</si>
  <si>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</si>
  <si>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</si>
  <si>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</si>
  <si>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</si>
  <si>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</si>
  <si>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</si>
  <si>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</si>
  <si>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</si>
  <si>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</si>
  <si>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</si>
  <si>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</si>
  <si>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</si>
  <si>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</si>
  <si>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</si>
  <si>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</si>
  <si>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</si>
  <si>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</si>
  <si>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</si>
  <si>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</si>
  <si>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</si>
  <si>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</si>
  <si>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</si>
  <si>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</si>
  <si>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</si>
  <si>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</si>
  <si>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</si>
  <si>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</si>
  <si>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</si>
  <si>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</si>
  <si>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</si>
  <si>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</si>
  <si>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</si>
  <si>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</si>
  <si>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</si>
  <si>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</si>
  <si>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</si>
  <si>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</si>
  <si>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</si>
  <si>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</si>
  <si>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</si>
  <si>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</si>
  <si>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</si>
  <si>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</si>
  <si>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</si>
  <si>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</si>
  <si>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</si>
  <si>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</si>
  <si>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</si>
  <si>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</si>
  <si>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</si>
  <si>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</si>
  <si>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</si>
  <si>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</si>
  <si>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</si>
  <si>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</si>
  <si>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</si>
  <si>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</si>
  <si>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</si>
  <si>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</si>
  <si>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</si>
  <si>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</si>
  <si>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</si>
  <si>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</si>
  <si>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</si>
  <si>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</si>
  <si>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</si>
  <si>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</si>
  <si>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</si>
  <si>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</si>
  <si>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</si>
  <si>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</si>
  <si>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</si>
  <si>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</si>
  <si>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</si>
  <si>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</si>
  <si>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</si>
  <si>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</si>
  <si>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</si>
  <si>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</si>
  <si>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</si>
  <si>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</si>
  <si>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</si>
  <si>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</si>
  <si>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</si>
  <si>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</si>
  <si>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</si>
  <si>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</si>
  <si>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</si>
  <si>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</si>
  <si>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</si>
  <si>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</si>
  <si>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</si>
  <si>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</si>
  <si>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</si>
  <si>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</si>
  <si>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</si>
  <si>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</si>
  <si>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</si>
  <si>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</si>
  <si>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</si>
  <si>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</si>
  <si>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</si>
  <si>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</si>
  <si>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</si>
  <si>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</si>
  <si>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</si>
  <si>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</si>
  <si>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</si>
  <si>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</si>
  <si>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</si>
  <si>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</si>
  <si>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</si>
  <si>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</si>
  <si>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</si>
  <si>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</si>
  <si>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</si>
  <si>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</si>
  <si>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</si>
  <si>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</si>
  <si>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</si>
  <si>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</si>
  <si>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</si>
  <si>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</si>
  <si>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</si>
  <si>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</si>
  <si>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</si>
  <si>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</si>
  <si>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</si>
  <si>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</si>
  <si>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</si>
  <si>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</si>
  <si>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</si>
  <si>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</si>
  <si>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</si>
  <si>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</si>
  <si>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</si>
  <si>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</si>
  <si>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</si>
  <si>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</si>
  <si>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</si>
  <si>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</si>
  <si>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</si>
  <si>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</si>
  <si>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</si>
  <si>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</si>
  <si>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</si>
  <si>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</si>
  <si>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</si>
  <si>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</si>
  <si>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</si>
  <si>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</si>
  <si>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</si>
  <si>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</si>
  <si>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</si>
  <si>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</si>
  <si>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</si>
  <si>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</si>
  <si>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</si>
  <si>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</si>
  <si>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</si>
  <si>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</si>
  <si>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</si>
  <si>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</si>
  <si>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</si>
  <si>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</si>
  <si>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</si>
  <si>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</si>
  <si>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</si>
  <si>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</si>
  <si>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</si>
  <si>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</si>
  <si>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</si>
  <si>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</si>
  <si>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</si>
  <si>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</si>
  <si>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</si>
  <si>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</si>
  <si>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</si>
  <si>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</si>
  <si>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</si>
  <si>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</si>
  <si>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</si>
  <si>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</si>
  <si>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</si>
  <si>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</si>
  <si>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</si>
  <si>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</si>
  <si>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</si>
  <si>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</si>
  <si>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</si>
  <si>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</si>
  <si>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</si>
  <si>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</si>
  <si>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</si>
  <si>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</si>
  <si>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</si>
  <si>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</si>
  <si>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</si>
  <si>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</si>
  <si>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</si>
  <si>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</si>
  <si>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</si>
  <si>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</si>
  <si>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</si>
  <si>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</si>
  <si>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</si>
  <si>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</si>
  <si>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</si>
  <si>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</si>
  <si>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</si>
  <si>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</si>
  <si>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</si>
  <si>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</si>
  <si>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</si>
  <si>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</si>
  <si>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</si>
  <si>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</si>
  <si>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</si>
  <si>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</si>
  <si>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</si>
  <si>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</si>
  <si>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</si>
  <si>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</si>
  <si>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</si>
  <si>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</si>
  <si>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</si>
  <si>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</si>
  <si>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</si>
  <si>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</si>
  <si>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</si>
  <si>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</si>
  <si>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</si>
  <si>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</si>
  <si>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</si>
  <si>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</si>
  <si>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</si>
  <si>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</si>
  <si>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</si>
  <si>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</si>
  <si>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</si>
  <si>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</si>
  <si>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</si>
  <si>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</si>
  <si>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</si>
  <si>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</si>
  <si>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</si>
  <si>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</si>
  <si>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</si>
  <si>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</si>
  <si>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</si>
  <si>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</si>
  <si>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</si>
  <si>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</si>
  <si>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</si>
  <si>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</si>
  <si>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</si>
  <si>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</si>
  <si>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</si>
  <si>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</si>
  <si>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</si>
  <si>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</si>
  <si>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</si>
  <si>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</si>
  <si>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</si>
  <si>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</si>
  <si>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</si>
  <si>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</si>
  <si>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</si>
  <si>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</si>
  <si>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</si>
  <si>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</si>
  <si>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</si>
  <si>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</si>
  <si>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</si>
  <si>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</si>
  <si>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</si>
  <si>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</si>
  <si>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</si>
  <si>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</si>
  <si>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</si>
  <si>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</si>
  <si>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</si>
  <si>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</si>
  <si>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</si>
  <si>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</si>
  <si>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</si>
  <si>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</si>
  <si>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</si>
  <si>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</si>
  <si>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</si>
  <si>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</si>
  <si>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</si>
  <si>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</si>
  <si>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</si>
  <si>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</si>
  <si>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</si>
  <si>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</si>
  <si>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</si>
  <si>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</si>
  <si>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</si>
  <si>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</si>
  <si>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</si>
  <si>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</si>
  <si>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</si>
  <si>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</si>
  <si>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</si>
  <si>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</si>
  <si>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</si>
  <si>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</si>
  <si>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</si>
  <si>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</si>
  <si>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</si>
  <si>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</si>
  <si>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</si>
  <si>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</si>
  <si>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</si>
  <si>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</si>
  <si>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</si>
  <si>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</si>
  <si>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</si>
  <si>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</si>
  <si>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</si>
  <si>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</si>
  <si>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</si>
  <si>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</si>
  <si>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</si>
  <si>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</si>
  <si>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</si>
  <si>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</si>
  <si>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</si>
  <si>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</si>
  <si>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</si>
  <si>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</si>
  <si>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</si>
  <si>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</si>
  <si>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</si>
  <si>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</si>
  <si>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</si>
  <si>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</si>
  <si>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</si>
  <si>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</si>
  <si>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</si>
  <si>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</si>
  <si>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</si>
  <si>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</si>
  <si>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</si>
  <si>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</si>
  <si>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</si>
  <si>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</si>
  <si>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</si>
  <si>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</si>
  <si>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</si>
  <si>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</si>
  <si>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</si>
  <si>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</si>
  <si>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</si>
  <si>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</si>
  <si>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</si>
  <si>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</si>
  <si>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</si>
  <si>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</si>
  <si>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</si>
  <si>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</si>
  <si>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</si>
  <si>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</si>
  <si>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</si>
  <si>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</si>
  <si>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</si>
  <si>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</si>
  <si>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</si>
  <si>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</si>
  <si>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</si>
  <si>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</si>
  <si>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</si>
  <si>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</si>
  <si>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</si>
  <si>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</si>
  <si>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</si>
  <si>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</si>
  <si>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</si>
  <si>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</si>
  <si>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</si>
  <si>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</si>
  <si>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</si>
  <si>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</si>
  <si>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</si>
  <si>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</si>
  <si>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</si>
  <si>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</si>
  <si>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</si>
  <si>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</si>
  <si>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</si>
  <si>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</si>
  <si>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</si>
  <si>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</si>
  <si>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</si>
  <si>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</si>
  <si>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</si>
  <si>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</si>
  <si>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</si>
  <si>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</si>
  <si>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</si>
  <si>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</si>
  <si>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</si>
  <si>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</si>
  <si>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</si>
  <si>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</si>
  <si>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</si>
  <si>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</si>
  <si>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</si>
  <si>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</si>
  <si>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</si>
  <si>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</si>
  <si>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</si>
  <si>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</si>
  <si>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</si>
  <si>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</si>
  <si>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</si>
  <si>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</si>
  <si>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</si>
  <si>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</si>
  <si>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</si>
  <si>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</si>
  <si>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</si>
  <si>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</si>
  <si>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</si>
  <si>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</si>
  <si>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</si>
  <si>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</si>
  <si>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</si>
  <si>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</si>
  <si>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</si>
  <si>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</si>
  <si>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</si>
  <si>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</si>
  <si>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</si>
  <si>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</si>
  <si>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</si>
  <si>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</si>
  <si>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</si>
  <si>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</si>
  <si>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</si>
  <si>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</si>
  <si>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</si>
  <si>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</si>
  <si>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</si>
  <si>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</si>
  <si>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</si>
  <si>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</si>
  <si>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</si>
  <si>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</si>
  <si>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</si>
  <si>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</si>
  <si>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</si>
  <si>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</si>
  <si>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</si>
  <si>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</si>
  <si>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</si>
  <si>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</si>
  <si>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</si>
  <si>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</si>
  <si>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</si>
  <si>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</si>
  <si>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</si>
  <si>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</si>
  <si>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</si>
  <si>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</si>
  <si>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</si>
  <si>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</si>
  <si>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</si>
  <si>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</si>
  <si>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</si>
  <si>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</si>
  <si>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</si>
  <si>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</si>
  <si>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</si>
  <si>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</si>
  <si>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</si>
  <si>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</si>
  <si>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</si>
  <si>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</si>
  <si>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</si>
  <si>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</si>
  <si>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</si>
  <si>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</si>
  <si>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</si>
  <si>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</si>
  <si>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</si>
  <si>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</si>
  <si>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</si>
  <si>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</si>
  <si>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</si>
  <si>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</si>
  <si>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</si>
  <si>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</si>
  <si>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</si>
  <si>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</si>
  <si>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</si>
  <si>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</si>
  <si>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</si>
  <si>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</si>
  <si>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</si>
  <si>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</si>
  <si>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</si>
  <si>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</si>
  <si>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</si>
  <si>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</si>
  <si>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</si>
  <si>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</si>
  <si>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</si>
  <si>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</si>
  <si>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</si>
  <si>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</si>
  <si>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</si>
  <si>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</si>
  <si>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</si>
  <si>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</si>
  <si>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</si>
  <si>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</si>
  <si>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</si>
  <si>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</si>
  <si>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</si>
  <si>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</si>
  <si>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</si>
  <si>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</si>
  <si>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</si>
  <si>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</si>
  <si>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</si>
  <si>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</si>
  <si>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</si>
  <si>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</si>
  <si>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</si>
  <si>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</si>
  <si>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</si>
  <si>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</si>
  <si>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</si>
  <si>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</si>
  <si>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</si>
  <si>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</si>
  <si>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</si>
  <si>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</si>
  <si>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</si>
  <si>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</si>
  <si>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</si>
  <si>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</si>
  <si>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</si>
  <si>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</si>
  <si>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</si>
  <si>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</si>
  <si>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</si>
  <si>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</si>
  <si>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</si>
  <si>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</si>
  <si>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</si>
  <si>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</si>
  <si>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</si>
  <si>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</si>
  <si>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</si>
  <si>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</si>
  <si>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</si>
  <si>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</si>
  <si>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</si>
  <si>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</si>
  <si>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</si>
  <si>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</si>
  <si>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</si>
  <si>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</si>
  <si>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</si>
  <si>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</si>
  <si>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</si>
  <si>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</si>
  <si>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</si>
  <si>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</si>
  <si>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</si>
  <si>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</si>
  <si>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</si>
  <si>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</si>
  <si>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</si>
  <si>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</si>
  <si>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</si>
  <si>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</si>
  <si>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</si>
  <si>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</si>
  <si>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</si>
  <si>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</si>
  <si>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</si>
  <si>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</si>
  <si>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</si>
  <si>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</si>
  <si>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</si>
  <si>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</si>
  <si>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</si>
  <si>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</si>
  <si>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</si>
  <si>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</si>
  <si>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</si>
  <si>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</si>
  <si>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</si>
  <si>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</si>
  <si>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</si>
  <si>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</si>
  <si>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</si>
  <si>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</si>
  <si>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</si>
  <si>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</si>
  <si>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</si>
  <si>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</si>
  <si>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</si>
  <si>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</si>
  <si>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</si>
  <si>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</si>
  <si>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</si>
  <si>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</si>
  <si>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</si>
  <si>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</si>
  <si>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</si>
  <si>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</si>
  <si>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</si>
  <si>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</si>
  <si>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</si>
  <si>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</si>
  <si>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</si>
  <si>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</si>
  <si>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</si>
  <si>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</si>
  <si>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</si>
  <si>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</si>
  <si>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</si>
  <si>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</si>
  <si>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</si>
  <si>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</si>
  <si>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</si>
  <si>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</si>
  <si>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</si>
  <si>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</si>
  <si>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</si>
  <si>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</si>
  <si>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</si>
  <si>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</si>
  <si>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</si>
  <si>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</si>
  <si>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</si>
  <si>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</si>
  <si>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</si>
  <si>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</si>
  <si>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</si>
  <si>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</si>
  <si>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</si>
  <si>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</si>
  <si>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</si>
  <si>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</si>
  <si>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</si>
  <si>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</si>
  <si>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</si>
  <si>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</si>
  <si>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</si>
  <si>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</si>
  <si>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</si>
  <si>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</si>
  <si>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</si>
  <si>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</si>
  <si>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</si>
  <si>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</si>
  <si>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</si>
  <si>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</si>
  <si>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</si>
  <si>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</si>
  <si>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</si>
  <si>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</si>
  <si>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</si>
  <si>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</si>
  <si>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</si>
  <si>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</si>
  <si>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</si>
  <si>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</si>
  <si>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</si>
  <si>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</si>
  <si>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</si>
  <si>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</si>
  <si>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</si>
  <si>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</si>
  <si>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</si>
  <si>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</si>
  <si>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</si>
  <si>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</si>
  <si>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</si>
  <si>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</si>
  <si>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</si>
  <si>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</si>
  <si>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</si>
  <si>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</si>
  <si>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</si>
  <si>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</si>
  <si>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</si>
  <si>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</si>
  <si>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</si>
  <si>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</si>
  <si>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</si>
  <si>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</si>
  <si>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</si>
  <si>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</si>
  <si>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</si>
  <si>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</si>
  <si>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</si>
  <si>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</si>
  <si>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</si>
  <si>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</si>
  <si>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</si>
  <si>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</si>
  <si>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</si>
  <si>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</si>
  <si>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</si>
  <si>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</si>
  <si>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</si>
  <si>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</si>
  <si>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</si>
  <si>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</si>
  <si>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</si>
  <si>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</si>
  <si>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</si>
  <si>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</si>
  <si>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</si>
  <si>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</si>
  <si>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</si>
  <si>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</si>
  <si>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</si>
  <si>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</si>
  <si>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</si>
  <si>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</si>
  <si>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</si>
  <si>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</si>
  <si>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</si>
  <si>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</si>
  <si>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</si>
  <si>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</si>
  <si>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</si>
  <si>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</si>
  <si>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</si>
  <si>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</si>
  <si>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</si>
  <si>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</si>
  <si>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</si>
  <si>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</si>
  <si>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</si>
  <si>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</si>
  <si>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</si>
  <si>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</si>
  <si>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</si>
  <si>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</si>
  <si>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</si>
  <si>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</si>
  <si>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</si>
  <si>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</si>
  <si>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</si>
  <si>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</si>
  <si>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</si>
  <si>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</si>
  <si>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</si>
  <si>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</si>
  <si>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</si>
  <si>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</si>
  <si>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</si>
  <si>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</si>
  <si>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</si>
  <si>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</si>
  <si>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</si>
  <si>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</si>
  <si>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</si>
  <si>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</si>
  <si>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</si>
  <si>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</si>
  <si>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</si>
  <si>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</si>
  <si>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</si>
  <si>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</si>
  <si>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</si>
  <si>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</si>
  <si>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</si>
  <si>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</si>
  <si>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</si>
  <si>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</si>
  <si>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</si>
  <si>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</si>
  <si>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</si>
  <si>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</si>
  <si>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</si>
  <si>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</si>
  <si>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</si>
  <si>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</si>
  <si>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</si>
  <si>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</si>
  <si>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</si>
  <si>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</si>
  <si>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</si>
  <si>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</si>
  <si>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</si>
  <si>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</si>
  <si>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</si>
  <si>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</si>
  <si>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</si>
  <si>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</si>
  <si>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</si>
  <si>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</si>
  <si>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</si>
  <si>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</si>
  <si>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</si>
  <si>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</si>
  <si>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</si>
  <si>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</si>
  <si>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</si>
  <si>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</si>
  <si>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</si>
  <si>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</si>
  <si>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</si>
  <si>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</si>
  <si>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</si>
  <si>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</si>
  <si>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</si>
  <si>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</si>
  <si>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</si>
  <si>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</si>
  <si>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</si>
  <si>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</si>
  <si>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</si>
  <si>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</si>
  <si>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</si>
  <si>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</si>
  <si>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</si>
  <si>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</si>
  <si>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</si>
  <si>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</si>
  <si>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</si>
  <si>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</si>
  <si>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</si>
  <si>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</si>
  <si>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</si>
  <si>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</si>
  <si>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</si>
  <si>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</si>
  <si>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</si>
  <si>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</si>
  <si>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</si>
  <si>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</si>
  <si>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</si>
  <si>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</si>
  <si>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</si>
  <si>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</si>
  <si>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</si>
  <si>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</si>
  <si>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</si>
  <si>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</si>
  <si>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</si>
  <si>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</si>
  <si>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</si>
  <si>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</si>
  <si>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</si>
  <si>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</si>
  <si>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</si>
  <si>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</si>
  <si>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</si>
  <si>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</si>
  <si>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</si>
  <si>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</si>
  <si>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</si>
  <si>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</si>
  <si>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</si>
  <si>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</si>
  <si>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</si>
  <si>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</si>
  <si>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</si>
  <si>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</si>
  <si>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</si>
  <si>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</si>
  <si>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</si>
  <si>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</si>
  <si>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</si>
  <si>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</si>
  <si>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</si>
  <si>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</si>
  <si>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</si>
  <si>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</si>
  <si>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</si>
  <si>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</si>
  <si>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</si>
  <si>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</si>
  <si>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</si>
  <si>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</si>
  <si>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</si>
  <si>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</si>
  <si>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</si>
  <si>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</si>
  <si>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</si>
  <si>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</si>
  <si>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</si>
  <si>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</si>
  <si>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</si>
  <si>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</si>
  <si>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</si>
  <si>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</si>
  <si>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</si>
  <si>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</si>
  <si>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</si>
  <si>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</si>
  <si>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</si>
  <si>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</si>
  <si>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</si>
  <si>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</si>
  <si>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</si>
  <si>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</si>
  <si>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</si>
  <si>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</si>
  <si>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</si>
  <si>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</si>
  <si>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</si>
  <si>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</si>
  <si>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</si>
  <si>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</si>
  <si>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</si>
  <si>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</si>
  <si>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</si>
  <si>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</si>
  <si>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</si>
  <si>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</si>
  <si>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</si>
  <si>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</si>
  <si>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</si>
  <si>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</si>
  <si>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</si>
  <si>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</si>
  <si>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</si>
  <si>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</si>
  <si>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</si>
  <si>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</si>
  <si>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</si>
  <si>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</si>
  <si>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</si>
  <si>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</si>
  <si>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</si>
  <si>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</si>
  <si>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</si>
  <si>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</si>
  <si>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</si>
  <si>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</si>
  <si>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</si>
  <si>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</si>
  <si>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</si>
  <si>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</si>
  <si>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</si>
  <si>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</si>
  <si>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</si>
  <si>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</si>
  <si>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</si>
  <si>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</si>
  <si>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</si>
  <si>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</si>
  <si>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</si>
  <si>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</si>
  <si>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</si>
  <si>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</si>
  <si>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</si>
  <si>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</si>
  <si>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</si>
  <si>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</si>
  <si>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</si>
  <si>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</si>
  <si>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</si>
  <si>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</si>
  <si>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</si>
  <si>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</si>
  <si>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</si>
  <si>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</si>
  <si>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</si>
  <si>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</si>
  <si>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</si>
  <si>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</si>
  <si>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</si>
  <si>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</si>
  <si>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</si>
  <si>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</si>
  <si>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</si>
  <si>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</si>
  <si>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</si>
  <si>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</si>
  <si>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</si>
  <si>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</si>
  <si>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</si>
  <si>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</si>
  <si>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</si>
  <si>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</si>
  <si>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</si>
  <si>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</si>
  <si>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</si>
  <si>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</si>
  <si>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</si>
  <si>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</si>
  <si>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</si>
  <si>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</si>
  <si>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</si>
  <si>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</si>
  <si>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</si>
  <si>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</si>
  <si>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</si>
  <si>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</si>
  <si>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</si>
  <si>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</si>
  <si>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</si>
  <si>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</si>
  <si>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</si>
  <si>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</si>
  <si>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</si>
  <si>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</si>
  <si>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</si>
  <si>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</si>
  <si>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</si>
  <si>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</si>
  <si>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</si>
  <si>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</si>
  <si>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</si>
  <si>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</si>
  <si>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</si>
  <si>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</si>
  <si>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</si>
  <si>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</si>
  <si>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</si>
  <si>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</si>
  <si>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</si>
  <si>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</si>
  <si>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</si>
  <si>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</si>
  <si>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</si>
  <si>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</si>
  <si>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</si>
  <si>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</si>
  <si>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</si>
  <si>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</si>
  <si>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</si>
  <si>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</si>
  <si>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</si>
  <si>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</si>
  <si>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</si>
  <si>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</si>
  <si>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</si>
  <si>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</si>
  <si>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</si>
  <si>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</si>
  <si>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</si>
  <si>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</si>
  <si>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</si>
  <si>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</si>
  <si>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</si>
  <si>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</si>
  <si>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</si>
  <si>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</si>
  <si>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</si>
  <si>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</si>
  <si>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</si>
  <si>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</si>
  <si>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</si>
  <si>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</si>
  <si>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</si>
  <si>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</si>
  <si>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</si>
  <si>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</si>
  <si>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</si>
  <si>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</si>
  <si>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</si>
  <si>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</si>
  <si>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</si>
  <si>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</si>
  <si>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</si>
  <si>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</si>
  <si>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</si>
  <si>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</si>
  <si>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</si>
  <si>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</si>
  <si>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</si>
  <si>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</si>
  <si>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</si>
  <si>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</si>
  <si>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</si>
  <si>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</si>
  <si>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</si>
  <si>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</si>
  <si>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</si>
  <si>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</si>
  <si>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</si>
  <si>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</si>
  <si>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</si>
  <si>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</si>
  <si>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</si>
  <si>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</si>
  <si>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</si>
  <si>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</si>
  <si>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</si>
  <si>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</si>
  <si>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</si>
  <si>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</si>
  <si>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</si>
  <si>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</si>
  <si>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</si>
  <si>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</si>
  <si>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</si>
  <si>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</si>
  <si>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</si>
  <si>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</si>
  <si>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</si>
  <si>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</si>
  <si>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</si>
  <si>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</si>
  <si>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</si>
  <si>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</si>
  <si>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</si>
  <si>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</si>
  <si>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</si>
  <si>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</si>
  <si>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</si>
  <si>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</si>
  <si>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</si>
  <si>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</si>
  <si>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</si>
  <si>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</si>
  <si>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</si>
  <si>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</si>
  <si>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</si>
  <si>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</si>
  <si>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</si>
  <si>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</si>
  <si>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</si>
  <si>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</si>
  <si>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</si>
  <si>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</si>
  <si>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</si>
  <si>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</si>
  <si>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</si>
  <si>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</si>
  <si>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</si>
  <si>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</si>
  <si>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</si>
  <si>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</si>
  <si>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</si>
  <si>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</si>
  <si>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</si>
  <si>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</si>
  <si>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</si>
  <si>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</si>
  <si>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</si>
  <si>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</si>
  <si>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</si>
  <si>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</si>
  <si>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</si>
  <si>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</si>
  <si>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</si>
  <si>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</si>
  <si>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</si>
  <si>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</si>
  <si>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</si>
  <si>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</si>
  <si>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</si>
  <si>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</si>
  <si>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</si>
  <si>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</si>
  <si>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</si>
  <si>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</si>
  <si>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</si>
  <si>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自定义容积率</t>
  </si>
  <si>
    <t>与级别开发程度一致</t>
  </si>
  <si>
    <t>地下</t>
    <phoneticPr fontId="225" type="noConversion"/>
  </si>
  <si>
    <t>一般</t>
  </si>
  <si>
    <t>较好</t>
  </si>
  <si>
    <t>好</t>
  </si>
  <si>
    <t>地上道路面积</t>
    <phoneticPr fontId="225" type="noConversion"/>
  </si>
  <si>
    <t>地上临时施工占地（北侧）</t>
    <phoneticPr fontId="225" type="noConversion"/>
  </si>
  <si>
    <t>地上临时施工占地（南侧）</t>
    <phoneticPr fontId="225" type="noConversion"/>
  </si>
  <si>
    <t>短期临时占用</t>
    <phoneticPr fontId="225" type="noConversion"/>
  </si>
  <si>
    <t>地上</t>
    <phoneticPr fontId="225" type="noConversion"/>
  </si>
  <si>
    <t>地下道路</t>
    <phoneticPr fontId="225" type="noConversion"/>
  </si>
  <si>
    <t>临时占地地下顶管占地投影面积</t>
    <phoneticPr fontId="225" type="noConversion"/>
  </si>
  <si>
    <t>地下雨水方沟占地投影面积</t>
    <phoneticPr fontId="225" type="noConversion"/>
  </si>
  <si>
    <t>通电</t>
  </si>
  <si>
    <t>通路</t>
  </si>
  <si>
    <t>通讯</t>
  </si>
  <si>
    <t>通上水</t>
  </si>
  <si>
    <t>通下水</t>
  </si>
  <si>
    <t>通热</t>
  </si>
  <si>
    <t>平整</t>
  </si>
  <si>
    <t>燃气</t>
  </si>
  <si>
    <t>雨水方沟与地下道路未重叠部分面积</t>
    <phoneticPr fontId="225" type="noConversion"/>
  </si>
  <si>
    <t>总金额</t>
    <phoneticPr fontId="225" type="noConversion"/>
  </si>
  <si>
    <t>Ⅵ-通1</t>
  </si>
  <si>
    <t>较差</t>
  </si>
  <si>
    <t>https://www.beijing.gov.cn/zhengce/zfwj/zfwj/szfwj/201905/t20190523_71658.html?ivk_sa=1023197a</t>
    <phoneticPr fontId="225" type="noConversion"/>
  </si>
  <si>
    <t>临时占地补偿文件</t>
    <phoneticPr fontId="225" type="noConversion"/>
  </si>
  <si>
    <t>https://www.gov.cn/xinwen/2020-08/10/content_5533700.htm</t>
  </si>
  <si>
    <t>https://www.beijing.gov.cn/zhengce/zhengcefagui/202008/t20200807_1976911.html</t>
    <phoneticPr fontId="225" type="noConversion"/>
  </si>
  <si>
    <t>https://www.beijing.gov.cn/zhengce/zhengcefagui/qtwj/202204/t20220407_2668459.html</t>
  </si>
  <si>
    <t>https://code.fabao365.com/law_95749.html</t>
  </si>
  <si>
    <t>楼面熟地价=适用的基准地价×期日修正系数×年期修正系数×因素修正系数×相应用途地下空间修正系数</t>
    <phoneticPr fontId="122" type="noConversion"/>
  </si>
  <si>
    <t>单价/日</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</si>
</sst>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applyNumberFormat="0" applyFill="0" applyBorder="0" applyAlignment="0" applyProtection="0">
      <alignment vertical="center"/>
    </xf>
  </cellStyleXfs>
  <cellXfs count="37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6" borderId="0" xfId="0" applyFont="1" applyFill="1">
      <alignment vertical="center"/>
    </xf>
    <xf numFmtId="0" fontId="0" fillId="6" borderId="0" xfId="0" applyFill="1">
      <alignment vertical="center"/>
    </xf>
    <xf numFmtId="0" fontId="280" fillId="0" borderId="0" xfId="16">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21</xdr:row>
      <xdr:rowOff>57150</xdr:rowOff>
    </xdr:from>
    <xdr:to>
      <xdr:col>9</xdr:col>
      <xdr:colOff>18189</xdr:colOff>
      <xdr:row>33</xdr:row>
      <xdr:rowOff>114036</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0" y="3657600"/>
          <a:ext cx="6885714" cy="2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beijing.gov.cn/zhengce/zhengcefagui/202008/t20200807_1976911.html" TargetMode="External"/><Relationship Id="rId1" Type="http://schemas.openxmlformats.org/officeDocument/2006/relationships/hyperlink" Target="https://www.beijing.gov.cn/zhengce/zfwj/zfwj/szfwj/201905/t20190523_71658.html?ivk_sa=1023197a"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2372</v>
      </c>
      <c r="B1" s="2531" t="s">
        <v>2469</v>
      </c>
    </row>
    <row r="2" spans="1:55" s="2535" customFormat="1" ht="15" thickTop="1">
      <c r="A2" s="2533" t="s">
        <v>2376</v>
      </c>
      <c r="B2" s="2534" t="str">
        <f>'预评函-封皮'!B37</f>
        <v>北京市划拨国有建设用地使用权预评估</v>
      </c>
      <c r="AX2" s="2536"/>
      <c r="AZ2" s="2536"/>
      <c r="BA2" s="2537"/>
      <c r="BC2" s="2537"/>
    </row>
    <row r="3" spans="1:55" s="2538" customFormat="1">
      <c r="A3" s="2517" t="s">
        <v>2377</v>
      </c>
      <c r="B3" s="2520">
        <f>'预评函-封皮'!B40</f>
        <v>0</v>
      </c>
    </row>
    <row r="4" spans="1:55" s="2519" customFormat="1">
      <c r="A4" s="2517" t="s">
        <v>2378</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2379</v>
      </c>
      <c r="B5" s="2540" t="str">
        <f>'预评函-封皮'!B49</f>
        <v>康正预评字号</v>
      </c>
    </row>
    <row r="6" spans="1:55" s="2541" customFormat="1" ht="15" thickTop="1">
      <c r="A6" s="2533" t="s">
        <v>2421</v>
      </c>
      <c r="B6" s="2534" t="str">
        <f>'预评函-1'!A4</f>
        <v>受贵公司委托，我公司对北京市划拨国有建设用地使用权进行了预评估。</v>
      </c>
      <c r="AM6" s="2542"/>
    </row>
    <row r="7" spans="1:55" s="2516" customFormat="1">
      <c r="A7" s="2517" t="s">
        <v>2373</v>
      </c>
      <c r="B7" s="2518" t="e">
        <f>'预评函-1'!A6</f>
        <v>#DIV/0!</v>
      </c>
    </row>
    <row r="8" spans="1:55" s="2516" customFormat="1">
      <c r="A8" s="2517" t="s">
        <v>2374</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2424</v>
      </c>
      <c r="B9" s="2518"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516" customFormat="1">
      <c r="A10" s="2517" t="s">
        <v>2375</v>
      </c>
      <c r="B10" s="2518" t="str">
        <f>'预评函-1'!A11</f>
        <v>2020年4月2日</v>
      </c>
    </row>
    <row r="11" spans="1:55" s="2516" customFormat="1">
      <c r="A11" s="2517" t="s">
        <v>2381</v>
      </c>
      <c r="B11" s="2518" t="str">
        <f>'预评函-1'!A14</f>
        <v>根据《国有土地使用证》[]，本次评估估价对象证载（地类）用途为。</v>
      </c>
    </row>
    <row r="12" spans="1:55" s="2516" customFormat="1">
      <c r="A12" s="2517" t="s">
        <v>2382</v>
      </c>
      <c r="B12" s="2518" t="str">
        <f>'预评函-1'!A15</f>
        <v>本次评估设定用途即为证载用途。</v>
      </c>
    </row>
    <row r="13" spans="1:55" s="2516" customFormat="1">
      <c r="A13" s="2517" t="s">
        <v>2383</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2384</v>
      </c>
      <c r="B14" s="2518" t="str">
        <f>'预评函-1'!A18</f>
        <v>。本次评估设定土地开发程度为红线外市政基础设施达“七通”、宗地红线内场地平整。</v>
      </c>
    </row>
    <row r="15" spans="1:55" s="2516" customFormat="1">
      <c r="A15" s="2517" t="s">
        <v>2380</v>
      </c>
      <c r="B15" s="2518" t="e">
        <f>'预评函-1'!A20</f>
        <v>#DIV/0!</v>
      </c>
    </row>
    <row r="16" spans="1:55" s="2516" customFormat="1">
      <c r="A16" s="2517" t="s">
        <v>2385</v>
      </c>
      <c r="B16" s="2518" t="str">
        <f>'预评函-1'!A22</f>
        <v>本次估价对象国有建设用地使用权类型为划拨，无土地使用年限限制。</v>
      </c>
    </row>
    <row r="17" spans="1:48" s="2516" customFormat="1">
      <c r="A17" s="2517" t="s">
        <v>2386</v>
      </c>
      <c r="B17" s="2518" t="str">
        <f>'预评函-1'!A23</f>
        <v/>
      </c>
    </row>
    <row r="18" spans="1:48" s="2516" customFormat="1">
      <c r="A18" s="2517" t="s">
        <v>2387</v>
      </c>
      <c r="B18" s="2518" t="str">
        <f>'预评函-1'!A25</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19" spans="1:48" s="2516" customFormat="1">
      <c r="A19" s="2517" t="s">
        <v>2388</v>
      </c>
      <c r="B19" s="251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516" customFormat="1">
      <c r="A20" s="2517" t="s">
        <v>2389</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2390</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2391</v>
      </c>
      <c r="B22" s="252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17" t="s">
        <v>2392</v>
      </c>
      <c r="B23" s="2518" t="str">
        <f>'预评函-2'!K2</f>
        <v>估价期日：2020年4月2日</v>
      </c>
    </row>
    <row r="24" spans="1:48">
      <c r="A24" s="2517" t="s">
        <v>2393</v>
      </c>
      <c r="B24" s="2518" t="str">
        <f>'预评函-2'!R2</f>
        <v>估价期日的国有建设用地使用权性质：划拨</v>
      </c>
    </row>
    <row r="25" spans="1:48">
      <c r="A25" s="2517" t="s">
        <v>2449</v>
      </c>
      <c r="B25" s="2518" t="str">
        <f>'预评函-2'!A3</f>
        <v>估价期日土地使用者</v>
      </c>
    </row>
    <row r="26" spans="1:48">
      <c r="A26" s="2517" t="s">
        <v>2425</v>
      </c>
      <c r="B26" s="2518" t="str">
        <f>'预评函-2'!A5</f>
        <v>中信开发</v>
      </c>
    </row>
    <row r="27" spans="1:48">
      <c r="A27" s="2517" t="s">
        <v>2450</v>
      </c>
      <c r="B27" s="2518" t="str">
        <f>'预评函-2'!B3</f>
        <v>宗地编号/不动产单元号</v>
      </c>
    </row>
    <row r="28" spans="1:48">
      <c r="A28" s="2517" t="s">
        <v>2426</v>
      </c>
      <c r="B28" s="2518" t="str">
        <f>'预评函-2'!B5</f>
        <v>11111111111</v>
      </c>
    </row>
    <row r="29" spans="1:48">
      <c r="A29" s="2517" t="s">
        <v>2452</v>
      </c>
      <c r="B29" s="2518">
        <f>'预评函-2'!C5</f>
        <v>22</v>
      </c>
    </row>
    <row r="30" spans="1:48">
      <c r="A30" s="2517" t="s">
        <v>2453</v>
      </c>
      <c r="B30" s="2518" t="str">
        <f>'预评函-2'!D3</f>
        <v>土地使用证编号/不动产权证书编号</v>
      </c>
    </row>
    <row r="31" spans="1:48">
      <c r="A31" s="2517" t="s">
        <v>2427</v>
      </c>
      <c r="B31" s="2518" t="str">
        <f>'预评函-2'!D5</f>
        <v>京国土字第111号</v>
      </c>
    </row>
    <row r="32" spans="1:48">
      <c r="A32" s="2517" t="s">
        <v>2428</v>
      </c>
      <c r="B32" s="2518">
        <f>'预评函-2'!E5</f>
        <v>0</v>
      </c>
      <c r="AV32" s="2522"/>
    </row>
    <row r="33" spans="1:2">
      <c r="A33" s="2517" t="s">
        <v>2429</v>
      </c>
      <c r="B33" s="2518">
        <f>'预评函-2'!F5</f>
        <v>258</v>
      </c>
    </row>
    <row r="34" spans="1:2">
      <c r="A34" s="2517" t="s">
        <v>2430</v>
      </c>
      <c r="B34" s="2518">
        <f>'预评函-2'!G5</f>
        <v>0</v>
      </c>
    </row>
    <row r="35" spans="1:2">
      <c r="A35" s="2517" t="s">
        <v>2431</v>
      </c>
      <c r="B35" s="2518">
        <f>'预评函-2'!H5</f>
        <v>1.5</v>
      </c>
    </row>
    <row r="36" spans="1:2">
      <c r="A36" s="2517" t="s">
        <v>2432</v>
      </c>
      <c r="B36" s="2518">
        <f>'预评函-2'!I5</f>
        <v>1.5</v>
      </c>
    </row>
    <row r="37" spans="1:2">
      <c r="A37" s="2517" t="s">
        <v>2433</v>
      </c>
      <c r="B37" s="2518">
        <f>'预评函-2'!J5</f>
        <v>1.5</v>
      </c>
    </row>
    <row r="38" spans="1:2">
      <c r="A38" s="2517" t="s">
        <v>2434</v>
      </c>
      <c r="B38" s="2518" t="str">
        <f>'预评函-2'!K5</f>
        <v>红线外七通、宗地红线内</v>
      </c>
    </row>
    <row r="39" spans="1:2">
      <c r="A39" s="2517" t="s">
        <v>2435</v>
      </c>
      <c r="B39" s="2518" t="str">
        <f>'预评函-2'!L5</f>
        <v>红线外七通、宗地红线内场地</v>
      </c>
    </row>
    <row r="40" spans="1:2">
      <c r="A40" s="2517" t="s">
        <v>2454</v>
      </c>
      <c r="B40" s="2518" t="str">
        <f>'预评函-2'!M3</f>
        <v>（剩余）土地使用年限/年</v>
      </c>
    </row>
    <row r="41" spans="1:2">
      <c r="A41" s="2517" t="s">
        <v>2436</v>
      </c>
      <c r="B41" s="2518" t="str">
        <f>'预评函-2'!M5</f>
        <v>——</v>
      </c>
    </row>
    <row r="42" spans="1:2">
      <c r="A42" s="2517" t="s">
        <v>2455</v>
      </c>
      <c r="B42" s="2518" t="str">
        <f>'预评函-2'!N3</f>
        <v>（分摊）划拨国有建设用地使用权面积/㎡</v>
      </c>
    </row>
    <row r="43" spans="1:2">
      <c r="A43" s="2517" t="s">
        <v>2437</v>
      </c>
      <c r="B43" s="2518" t="e">
        <f>'预评函-2'!N5</f>
        <v>#DIV/0!</v>
      </c>
    </row>
    <row r="44" spans="1:2">
      <c r="A44" s="2517" t="s">
        <v>2456</v>
      </c>
      <c r="B44" s="2518" t="str">
        <f>'预评函-2'!O3</f>
        <v>规划建筑面积/㎡</v>
      </c>
    </row>
    <row r="45" spans="1:2">
      <c r="A45" s="2517" t="s">
        <v>2438</v>
      </c>
      <c r="B45" s="2518">
        <f>'预评函-2'!O5</f>
        <v>0</v>
      </c>
    </row>
    <row r="46" spans="1:2">
      <c r="A46" s="2517" t="s">
        <v>2439</v>
      </c>
      <c r="B46" s="2518" t="e">
        <f ca="1">'预评函-2'!P5</f>
        <v>#REF!</v>
      </c>
    </row>
    <row r="47" spans="1:2">
      <c r="A47" s="2517" t="s">
        <v>2440</v>
      </c>
      <c r="B47" s="2518" t="e">
        <f ca="1">'预评函-2'!Q5</f>
        <v>#REF!</v>
      </c>
    </row>
    <row r="48" spans="1:2">
      <c r="A48" s="2517" t="s">
        <v>2441</v>
      </c>
      <c r="B48" s="2518" t="e">
        <f ca="1">'预评函-2'!R5</f>
        <v>#REF!</v>
      </c>
    </row>
    <row r="49" spans="1:2">
      <c r="A49" s="2517" t="s">
        <v>2457</v>
      </c>
      <c r="B49" s="2518" t="str">
        <f>'预评函-2'!A6</f>
        <v>抵押价格</v>
      </c>
    </row>
    <row r="50" spans="1:2">
      <c r="A50" s="2517" t="s">
        <v>2442</v>
      </c>
      <c r="B50" s="2518" t="str">
        <f>'预评函-2'!R6</f>
        <v>——</v>
      </c>
    </row>
    <row r="51" spans="1:2">
      <c r="A51" s="2517" t="s">
        <v>2458</v>
      </c>
      <c r="B51" s="2518" t="str">
        <f>'预评函-2'!A7</f>
        <v>——</v>
      </c>
    </row>
    <row r="52" spans="1:2">
      <c r="A52" s="2517" t="s">
        <v>2443</v>
      </c>
      <c r="B52" s="2518" t="str">
        <f>'预评函-2'!R7</f>
        <v>——</v>
      </c>
    </row>
    <row r="53" spans="1:2">
      <c r="A53" s="2517" t="s">
        <v>2459</v>
      </c>
      <c r="B53" s="2518">
        <f>'预评函-2'!A8</f>
        <v>0</v>
      </c>
    </row>
    <row r="54" spans="1:2" s="2532" customFormat="1" ht="15" thickBot="1">
      <c r="A54" s="2539" t="s">
        <v>2444</v>
      </c>
      <c r="B54" s="2540" t="str">
        <f>'预评函-2'!R8</f>
        <v>——</v>
      </c>
    </row>
    <row r="55" spans="1:2" ht="15" thickTop="1">
      <c r="A55" s="2528" t="s">
        <v>2394</v>
      </c>
      <c r="B55" s="2529" t="str">
        <f>'预评函-3'!A2</f>
        <v>1.权利限制：根据估价对象《不动产权证书》原件、《国有土地使用权》复印件，截至估价期日，估价对象抵押权未见登记。未设定租赁等其他他项权利。</v>
      </c>
    </row>
    <row r="56" spans="1:2">
      <c r="A56" s="2517" t="s">
        <v>2395</v>
      </c>
      <c r="B56" s="2518" t="str">
        <f>'预评函-3'!A3</f>
        <v>2.基础设施条件：估价对象实际开发程度为红线外七通、宗地红线内；本次评估设定开发程度为红线外七通、宗地红线内场地。</v>
      </c>
    </row>
    <row r="57" spans="1:2">
      <c r="A57" s="2517" t="s">
        <v>2396</v>
      </c>
      <c r="B57" s="2518" t="str">
        <f>'预评函-3'!A4</f>
        <v>3.估价规划限制条件：详见《建设工程规划许可证》[]、《出让合同》[]。</v>
      </c>
    </row>
    <row r="58" spans="1:2" s="2532" customFormat="1" ht="15" thickBot="1">
      <c r="A58" s="2539" t="s">
        <v>2445</v>
      </c>
      <c r="B58" s="2540" t="str">
        <f>'预评函-3'!A5</f>
        <v>4.影响价格的其他限定条件：无。</v>
      </c>
    </row>
    <row r="59" spans="1:2" ht="15" thickTop="1">
      <c r="A59" s="2528" t="s">
        <v>2397</v>
      </c>
      <c r="B59" s="2529" t="str">
        <f>'预评函-3'!A8</f>
        <v>2.本《评估意见函》仅供金融机构进行内部审核使用，不做其他目的之用。</v>
      </c>
    </row>
    <row r="60" spans="1:2">
      <c r="A60" s="2517" t="s">
        <v>2398</v>
      </c>
      <c r="B60" s="2518" t="str">
        <f>'预评函-3'!A9</f>
        <v>3.抵押双方在办理抵押登记手续时，应使用本公司出具的正式《土地估价报告》，特提请报告使用者注意。</v>
      </c>
    </row>
    <row r="61" spans="1:2">
      <c r="A61" s="2517" t="s">
        <v>2400</v>
      </c>
      <c r="B61" s="2518" t="str">
        <f>'预评函-3'!A10</f>
        <v>4.估价师所知悉的法定优先受偿款情况为：</v>
      </c>
    </row>
    <row r="62" spans="1:2">
      <c r="A62" s="2517" t="s">
        <v>2399</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2401</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2402</v>
      </c>
      <c r="B64" s="2523" t="str">
        <f>'预评函-3'!A13</f>
        <v>（3）。</v>
      </c>
    </row>
    <row r="65" spans="1:2">
      <c r="A65" s="2517" t="s">
        <v>2403</v>
      </c>
      <c r="B65" s="2524" t="str">
        <f>'预评函-3'!A14</f>
        <v>综上，本次评估不存在估价师知悉的法定优先受偿款</v>
      </c>
    </row>
    <row r="66" spans="1:2">
      <c r="A66" s="2517" t="s">
        <v>2404</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2405</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2408</v>
      </c>
      <c r="B68" s="2543">
        <f>'预评函-3'!D30</f>
        <v>42558</v>
      </c>
    </row>
    <row r="69" spans="1:2" ht="15" thickTop="1">
      <c r="A69" s="2528" t="s">
        <v>2406</v>
      </c>
      <c r="B69" s="2529" t="str">
        <f>'预评函-3'!A20</f>
        <v>土地估价师</v>
      </c>
    </row>
    <row r="70" spans="1:2">
      <c r="A70" s="2517" t="s">
        <v>2406</v>
      </c>
      <c r="B70" s="2524">
        <f>'预评函-3'!B20</f>
        <v>0</v>
      </c>
    </row>
    <row r="71" spans="1:2">
      <c r="A71" s="2517" t="s">
        <v>2407</v>
      </c>
      <c r="B71" s="2518" t="str">
        <f>'预评函-3'!A21</f>
        <v>土地估价师</v>
      </c>
    </row>
    <row r="72" spans="1:2" s="2532" customFormat="1" ht="15" thickBot="1">
      <c r="A72" s="2539" t="s">
        <v>2407</v>
      </c>
      <c r="B72" s="2545">
        <f>'预评函-3'!B21</f>
        <v>0</v>
      </c>
    </row>
    <row r="73" spans="1:2" ht="15" thickTop="1">
      <c r="A73" s="2528" t="s">
        <v>2466</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2467</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2468</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2502</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85" zoomScaleNormal="100" zoomScaleSheetLayoutView="85" workbookViewId="0">
      <selection activeCell="G44" sqref="G44"/>
    </sheetView>
  </sheetViews>
  <sheetFormatPr defaultColWidth="10" defaultRowHeight="14.25"/>
  <cols>
    <col min="1" max="1" width="15.375" style="1568" customWidth="1"/>
    <col min="2" max="2" width="14.75" style="1568" customWidth="1"/>
    <col min="3" max="3" width="12.625" style="1568" customWidth="1"/>
    <col min="4" max="4" width="10"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1728</v>
      </c>
      <c r="B1" s="3497" t="str">
        <f>IF(B10="北京市","北京市",C10)&amp;F10&amp;B16&amp;"国有建设用地使用权"&amp;B9&amp;"预评估"</f>
        <v>北京市划拨国有建设用地使用权预评估</v>
      </c>
      <c r="C1" s="3498"/>
      <c r="D1" s="3498"/>
      <c r="E1" s="3498"/>
      <c r="F1" s="3498"/>
      <c r="G1" s="3498"/>
      <c r="H1" s="3498"/>
      <c r="I1" s="3499"/>
      <c r="J1" s="2982"/>
      <c r="K1" s="2264" t="str">
        <f>IF(B10="北京市","北京市",C10)&amp;F10&amp;B16&amp;"国有建设用地使用权"&amp;B9</f>
        <v>北京市划拨国有建设用地使用权</v>
      </c>
      <c r="L1" s="2961"/>
      <c r="M1" s="2961"/>
      <c r="N1" s="2962"/>
      <c r="O1" s="2963"/>
      <c r="P1" s="2962"/>
      <c r="Q1" s="2962"/>
      <c r="R1" s="2962"/>
      <c r="S1" s="2962"/>
      <c r="T1" s="2962"/>
      <c r="U1" s="2962"/>
    </row>
    <row r="2" spans="1:21">
      <c r="A2" s="1542" t="s">
        <v>1729</v>
      </c>
      <c r="B2" s="1710"/>
      <c r="D2" s="2982"/>
      <c r="E2" s="2982"/>
      <c r="F2" s="2982"/>
      <c r="G2" s="2982"/>
      <c r="H2" s="2983"/>
      <c r="I2" s="2984"/>
      <c r="J2" s="2982"/>
      <c r="K2" s="2264" t="str">
        <f>IF(B10="北京市","北京市",C10)&amp;F10&amp;B16&amp;"国有建设用地使用权"</f>
        <v>北京市划拨国有建设用地使用权</v>
      </c>
      <c r="L2" s="2961"/>
      <c r="M2" s="2961"/>
      <c r="N2" s="2962"/>
      <c r="O2" s="2963"/>
      <c r="P2" s="2962"/>
      <c r="Q2" s="2962"/>
      <c r="R2" s="2962"/>
      <c r="S2" s="2962"/>
      <c r="T2" s="2962"/>
      <c r="U2" s="2962"/>
    </row>
    <row r="3" spans="1:21">
      <c r="A3" s="1543" t="s">
        <v>1730</v>
      </c>
      <c r="B3" s="1544">
        <v>45278</v>
      </c>
      <c r="C3" s="2905" t="s">
        <v>1786</v>
      </c>
      <c r="D3" s="1544">
        <v>43923</v>
      </c>
      <c r="E3" s="2982"/>
      <c r="F3" s="2982"/>
      <c r="G3" s="2982"/>
      <c r="H3" s="2983"/>
      <c r="I3" s="2984"/>
      <c r="J3" s="2982"/>
      <c r="K3" s="2965"/>
      <c r="L3" s="2961"/>
      <c r="M3" s="2961"/>
      <c r="N3" s="2962"/>
      <c r="O3" s="2963"/>
      <c r="P3" s="2962"/>
      <c r="Q3" s="2962"/>
      <c r="R3" s="2962"/>
      <c r="S3" s="2962"/>
      <c r="T3" s="2962"/>
      <c r="U3" s="2962"/>
    </row>
    <row r="4" spans="1:21" ht="29.25" thickBot="1">
      <c r="A4" s="1546" t="s">
        <v>1731</v>
      </c>
      <c r="B4" s="1711" t="s">
        <v>2600</v>
      </c>
      <c r="C4" s="1714">
        <f>SUMIF(土地估价师,B4,估价师及机构信息!E3:E17)</f>
        <v>0</v>
      </c>
      <c r="D4" s="1711" t="s">
        <v>2600</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1732</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2422</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2423</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1733</v>
      </c>
      <c r="B8" s="1552" t="s">
        <v>2687</v>
      </c>
      <c r="C8" s="1553"/>
      <c r="D8" s="3503" t="s">
        <v>1735</v>
      </c>
      <c r="E8" s="1712"/>
      <c r="F8" s="1554"/>
      <c r="G8" s="2983"/>
      <c r="H8" s="2983"/>
      <c r="I8" s="2986"/>
      <c r="J8" s="2982"/>
      <c r="K8" s="2965"/>
      <c r="L8" s="2961"/>
      <c r="M8" s="2961"/>
      <c r="N8" s="2962"/>
      <c r="O8" s="2963"/>
      <c r="P8" s="2962"/>
      <c r="Q8" s="2962"/>
      <c r="R8" s="2962"/>
      <c r="S8" s="2962"/>
      <c r="T8" s="2962"/>
      <c r="U8" s="2962"/>
    </row>
    <row r="9" spans="1:21" ht="15" thickBot="1">
      <c r="A9" s="2907" t="s">
        <v>1734</v>
      </c>
      <c r="B9" s="1555"/>
      <c r="C9" s="1556"/>
      <c r="D9" s="3504"/>
      <c r="E9" s="1555"/>
      <c r="F9" s="1619"/>
      <c r="G9" s="2987"/>
      <c r="H9" s="2987"/>
      <c r="I9" s="2988"/>
      <c r="J9" s="2982"/>
      <c r="K9" s="2965"/>
      <c r="L9" s="2961"/>
      <c r="M9" s="2961"/>
      <c r="N9" s="2962"/>
      <c r="O9" s="2963"/>
      <c r="P9" s="2962"/>
      <c r="Q9" s="2962"/>
      <c r="R9" s="2962"/>
      <c r="S9" s="2962"/>
      <c r="T9" s="2962"/>
      <c r="U9" s="2962"/>
    </row>
    <row r="10" spans="1:21" ht="15" thickTop="1">
      <c r="A10" s="2908" t="s">
        <v>1790</v>
      </c>
      <c r="B10" s="1595" t="s">
        <v>1736</v>
      </c>
      <c r="C10" s="1557"/>
      <c r="D10" s="1549"/>
      <c r="E10" s="1558" t="s">
        <v>1737</v>
      </c>
      <c r="F10" s="1559"/>
      <c r="G10" s="1617"/>
      <c r="H10" s="1618"/>
      <c r="I10" s="1549"/>
      <c r="J10" s="2982"/>
      <c r="K10" s="2965"/>
      <c r="L10" s="2961"/>
      <c r="M10" s="2961"/>
      <c r="N10" s="2962"/>
      <c r="O10" s="2963"/>
      <c r="P10" s="2962"/>
      <c r="Q10" s="2962"/>
      <c r="R10" s="2962"/>
      <c r="S10" s="2962"/>
      <c r="T10" s="2962"/>
      <c r="U10" s="2962"/>
    </row>
    <row r="11" spans="1:21">
      <c r="A11" s="2909" t="s">
        <v>1791</v>
      </c>
      <c r="B11" s="1574"/>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1849</v>
      </c>
      <c r="B12" s="3500"/>
      <c r="C12" s="3501"/>
      <c r="D12" s="3502"/>
      <c r="E12" s="1575" t="s">
        <v>1852</v>
      </c>
      <c r="F12" s="3518" t="s">
        <v>2601</v>
      </c>
      <c r="G12" s="3519"/>
      <c r="H12" s="3519"/>
      <c r="I12" s="3520"/>
      <c r="J12" s="2982"/>
      <c r="K12" s="2965"/>
      <c r="L12" s="2961"/>
      <c r="M12" s="2961"/>
      <c r="N12" s="2962"/>
      <c r="O12" s="2963"/>
      <c r="P12" s="2962"/>
      <c r="Q12" s="2962"/>
      <c r="R12" s="2962"/>
      <c r="S12" s="2962"/>
      <c r="T12" s="2962"/>
      <c r="U12" s="2962"/>
    </row>
    <row r="13" spans="1:21">
      <c r="A13" s="1566" t="s">
        <v>1850</v>
      </c>
      <c r="B13" s="3500"/>
      <c r="C13" s="3501"/>
      <c r="D13" s="3502"/>
      <c r="E13" s="1575" t="s">
        <v>1852</v>
      </c>
      <c r="F13" s="3518" t="s">
        <v>2602</v>
      </c>
      <c r="G13" s="3519"/>
      <c r="H13" s="3519"/>
      <c r="I13" s="3520"/>
      <c r="J13" s="2982"/>
      <c r="K13" s="2965"/>
      <c r="L13" s="2961"/>
      <c r="M13" s="2961"/>
      <c r="N13" s="2962"/>
      <c r="O13" s="2963"/>
      <c r="P13" s="2962"/>
      <c r="Q13" s="2962"/>
      <c r="R13" s="2962"/>
      <c r="S13" s="2962"/>
      <c r="T13" s="2962"/>
      <c r="U13" s="2962"/>
    </row>
    <row r="14" spans="1:21">
      <c r="A14" s="1543" t="s">
        <v>1853</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1740</v>
      </c>
      <c r="E15" s="1638" t="s">
        <v>1741</v>
      </c>
      <c r="F15" s="1638" t="s">
        <v>1742</v>
      </c>
      <c r="G15" s="1565" t="s">
        <v>1743</v>
      </c>
      <c r="H15" s="1565" t="s">
        <v>1744</v>
      </c>
      <c r="I15" s="1565" t="s">
        <v>1745</v>
      </c>
      <c r="J15" s="2982"/>
      <c r="K15" s="2965"/>
      <c r="L15" s="2961"/>
      <c r="M15" s="2961"/>
      <c r="N15" s="2962"/>
      <c r="O15" s="2963"/>
      <c r="P15" s="2962"/>
      <c r="Q15" s="2962"/>
      <c r="R15" s="2962"/>
      <c r="S15" s="2962"/>
      <c r="T15" s="2962"/>
      <c r="U15" s="2962"/>
    </row>
    <row r="16" spans="1:21">
      <c r="A16" s="2910" t="s">
        <v>1738</v>
      </c>
      <c r="B16" s="1561" t="s">
        <v>3118</v>
      </c>
      <c r="C16" s="1575" t="s">
        <v>1739</v>
      </c>
      <c r="D16" s="2410" t="s">
        <v>1740</v>
      </c>
      <c r="E16" s="1598"/>
      <c r="F16" s="1598"/>
      <c r="G16" s="1598"/>
      <c r="H16" s="1598"/>
      <c r="I16" s="1565" t="s">
        <v>1745</v>
      </c>
      <c r="J16" s="2982"/>
      <c r="K16" s="2265" t="str">
        <f>IF(D17="","",D16&amp;TEXT(D17,"yyyy年m月d日;;"))</f>
        <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1746</v>
      </c>
      <c r="D17" s="1576"/>
      <c r="E17" s="1576"/>
      <c r="F17" s="1576"/>
      <c r="G17" s="1576"/>
      <c r="H17" s="1576"/>
      <c r="I17" s="1576"/>
      <c r="J17" s="2982"/>
      <c r="K17" s="2960" t="str">
        <f>CONCATENATE(K16,L16,M16,N16,O16,P16,Q16,R16,S16,T16,,U16)</f>
        <v/>
      </c>
      <c r="L17" s="2961"/>
      <c r="M17" s="2961"/>
      <c r="N17" s="2962"/>
      <c r="O17" s="2963"/>
      <c r="P17" s="2962"/>
      <c r="Q17" s="2962"/>
      <c r="R17" s="2962"/>
      <c r="S17" s="2962"/>
      <c r="T17" s="2962"/>
      <c r="U17" s="2962"/>
    </row>
    <row r="18" spans="1:21">
      <c r="A18" s="1635"/>
      <c r="B18" s="1562"/>
      <c r="C18" s="2911" t="s">
        <v>1747</v>
      </c>
      <c r="D18" s="1563"/>
      <c r="E18" s="1563"/>
      <c r="F18" s="1563"/>
      <c r="G18" s="1563"/>
      <c r="H18" s="1563"/>
      <c r="I18" s="1563">
        <v>50</v>
      </c>
      <c r="J18" s="2982"/>
      <c r="K18" s="2965"/>
      <c r="L18" s="2961"/>
      <c r="M18" s="2961"/>
      <c r="N18" s="2962"/>
      <c r="O18" s="2963"/>
      <c r="P18" s="2962"/>
      <c r="Q18" s="2962"/>
      <c r="R18" s="2962"/>
      <c r="S18" s="2962"/>
      <c r="T18" s="2962"/>
      <c r="U18" s="2962"/>
    </row>
    <row r="19" spans="1:21">
      <c r="A19" s="1635"/>
      <c r="B19" s="1562"/>
      <c r="C19" s="1542" t="s">
        <v>1748</v>
      </c>
      <c r="D19" s="1630">
        <f>IF(B16="出让",IF(D17="","",ROUNDDOWN(MIN((D17-$D$3)/365,D18),2)),D18)</f>
        <v>0</v>
      </c>
      <c r="E19" s="1564">
        <f>IF(B16="出让",IF(E17="","",ROUNDDOWN(MIN((E17-$D$3)/365,E18),2)),E18)</f>
        <v>0</v>
      </c>
      <c r="F19" s="1564">
        <f>IF(B16="出让",IF(F17="","",ROUNDDOWN(MIN((F17-$D$3)/365,F18),2)),F18)</f>
        <v>0</v>
      </c>
      <c r="G19" s="1564">
        <f>IF(B16="出让",IF(G17="","",ROUNDDOWN(MIN((G17-$D$3)/365,G18),2)),G18)</f>
        <v>0</v>
      </c>
      <c r="H19" s="1564">
        <f>IF(B16="出让",IF(H17="","",ROUNDDOWN(MIN((H17-$D$3)/365,H18),2)),H18)</f>
        <v>0</v>
      </c>
      <c r="I19" s="1564">
        <f>IF(B16="出让",IF(I17="","",ROUNDDOWN(MIN((I17-$D$3)/365,I18),2)),I18)</f>
        <v>50</v>
      </c>
      <c r="J19" s="2982"/>
      <c r="K19" s="2965"/>
      <c r="L19" s="2961"/>
      <c r="M19" s="2961"/>
      <c r="N19" s="2962"/>
      <c r="O19" s="2963"/>
      <c r="P19" s="2962"/>
      <c r="Q19" s="2962"/>
      <c r="R19" s="2962"/>
      <c r="S19" s="2962"/>
      <c r="T19" s="2962"/>
      <c r="U19" s="2962"/>
    </row>
    <row r="20" spans="1:21">
      <c r="A20" s="1655"/>
      <c r="B20" s="1656"/>
      <c r="C20" s="1657" t="s">
        <v>1851</v>
      </c>
      <c r="D20" s="3515"/>
      <c r="E20" s="3516"/>
      <c r="F20" s="3516"/>
      <c r="G20" s="3516"/>
      <c r="H20" s="3516"/>
      <c r="I20" s="3517"/>
      <c r="J20" s="2982"/>
      <c r="K20" s="2965"/>
      <c r="L20" s="2961"/>
      <c r="M20" s="2961"/>
      <c r="N20" s="2962"/>
      <c r="O20" s="2963"/>
      <c r="P20" s="2962"/>
      <c r="Q20" s="2962"/>
      <c r="R20" s="2962"/>
      <c r="S20" s="2962"/>
      <c r="T20" s="2962"/>
      <c r="U20" s="2962"/>
    </row>
    <row r="21" spans="1:21">
      <c r="A21" s="1635" t="s">
        <v>1749</v>
      </c>
      <c r="B21" s="1636" t="s">
        <v>1750</v>
      </c>
      <c r="C21" s="1631">
        <f>'数据-汇总表'!E3</f>
        <v>0</v>
      </c>
      <c r="D21" s="1632" t="s">
        <v>1751</v>
      </c>
      <c r="E21" s="3505" t="s">
        <v>1789</v>
      </c>
      <c r="F21" s="3506"/>
      <c r="G21" s="3506"/>
      <c r="H21" s="3506"/>
      <c r="I21" s="3507"/>
      <c r="J21" s="2982"/>
      <c r="K21" s="2965"/>
      <c r="L21" s="2961"/>
      <c r="M21" s="2961"/>
      <c r="N21" s="2962"/>
      <c r="O21" s="2963"/>
      <c r="P21" s="2962"/>
      <c r="Q21" s="2962"/>
      <c r="R21" s="2962"/>
      <c r="S21" s="2962"/>
      <c r="T21" s="2962"/>
      <c r="U21" s="2962"/>
    </row>
    <row r="22" spans="1:21">
      <c r="A22" s="2720" t="s">
        <v>931</v>
      </c>
      <c r="B22" s="1543" t="s">
        <v>1752</v>
      </c>
      <c r="C22" s="1565" t="e">
        <f>'数据-汇总表'!D3</f>
        <v>#DIV/0!</v>
      </c>
      <c r="D22" s="1566" t="s">
        <v>1751</v>
      </c>
      <c r="E22" s="3505" t="s">
        <v>2603</v>
      </c>
      <c r="F22" s="3506"/>
      <c r="G22" s="3506"/>
      <c r="H22" s="3506"/>
      <c r="I22" s="3507"/>
      <c r="J22" s="2982"/>
      <c r="K22" s="2965"/>
      <c r="L22" s="2961"/>
      <c r="M22" s="2961"/>
      <c r="N22" s="2962"/>
      <c r="O22" s="2963"/>
      <c r="P22" s="2962"/>
      <c r="Q22" s="2962"/>
      <c r="R22" s="2962"/>
      <c r="S22" s="2962"/>
      <c r="T22" s="2962"/>
      <c r="U22" s="2962"/>
    </row>
    <row r="23" spans="1:21" ht="43.5" thickBot="1">
      <c r="A23" s="1637" t="s">
        <v>1753</v>
      </c>
      <c r="B23" s="1577" t="s">
        <v>1754</v>
      </c>
      <c r="C23" s="1578"/>
      <c r="D23" s="1579" t="s">
        <v>1755</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1756</v>
      </c>
      <c r="B24" s="3508" t="s">
        <v>1757</v>
      </c>
      <c r="C24" s="3509"/>
      <c r="D24" s="3510" t="s">
        <v>1758</v>
      </c>
      <c r="E24" s="3511"/>
      <c r="F24" s="1584" t="s">
        <v>1759</v>
      </c>
      <c r="G24" s="2982"/>
      <c r="H24" s="2982"/>
      <c r="I24" s="2986"/>
      <c r="J24" s="2982"/>
      <c r="K24" s="3496" t="s">
        <v>1760</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2114</v>
      </c>
      <c r="C25" s="1585" t="s">
        <v>1761</v>
      </c>
      <c r="D25" s="1586"/>
      <c r="E25" s="1587" t="s">
        <v>931</v>
      </c>
      <c r="F25" s="1588"/>
      <c r="G25" s="2982"/>
      <c r="H25" s="2982"/>
      <c r="I25" s="2986"/>
      <c r="J25" s="2982"/>
      <c r="K25" s="3496"/>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1762</v>
      </c>
      <c r="C26" s="1585" t="s">
        <v>2115</v>
      </c>
      <c r="D26" s="2983"/>
      <c r="E26" s="2983"/>
      <c r="F26" s="2989"/>
      <c r="G26" s="2982"/>
      <c r="H26" s="2982"/>
      <c r="I26" s="2986"/>
      <c r="J26" s="2982"/>
      <c r="K26" s="3496"/>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1763</v>
      </c>
      <c r="B27" s="1625" t="s">
        <v>1764</v>
      </c>
      <c r="C27" s="1589"/>
      <c r="D27" s="2415" t="s">
        <v>1764</v>
      </c>
      <c r="E27" s="1590"/>
      <c r="F27" s="2989"/>
      <c r="G27" s="2982"/>
      <c r="H27" s="2982"/>
      <c r="I27" s="2986"/>
      <c r="J27" s="2982"/>
      <c r="K27" s="2965"/>
      <c r="L27" s="2961"/>
      <c r="M27" s="2961"/>
      <c r="N27" s="2962"/>
      <c r="O27" s="2963"/>
      <c r="P27" s="2962"/>
      <c r="Q27" s="2962"/>
      <c r="R27" s="2962"/>
      <c r="S27" s="2962"/>
      <c r="T27" s="2962"/>
      <c r="U27" s="2962"/>
    </row>
    <row r="28" spans="1:21">
      <c r="A28" s="1628"/>
      <c r="B28" s="1625" t="s">
        <v>1765</v>
      </c>
      <c r="C28" s="1591"/>
      <c r="D28" s="2416" t="s">
        <v>1765</v>
      </c>
      <c r="E28" s="1592"/>
      <c r="F28" s="2989"/>
      <c r="G28" s="2982"/>
      <c r="H28" s="2982"/>
      <c r="I28" s="2986"/>
      <c r="J28" s="2982"/>
      <c r="K28" s="2965"/>
      <c r="L28" s="2961"/>
      <c r="M28" s="2961"/>
      <c r="N28" s="2962"/>
      <c r="O28" s="2963"/>
      <c r="P28" s="2962"/>
      <c r="Q28" s="2962"/>
      <c r="R28" s="2962"/>
      <c r="S28" s="2962"/>
      <c r="T28" s="2962"/>
      <c r="U28" s="2962"/>
    </row>
    <row r="29" spans="1:21">
      <c r="A29" s="1628"/>
      <c r="B29" s="1625" t="s">
        <v>1766</v>
      </c>
      <c r="C29" s="1591"/>
      <c r="D29" s="2416" t="s">
        <v>1766</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1767</v>
      </c>
      <c r="C30" s="1593"/>
      <c r="D30" s="2417" t="s">
        <v>1767</v>
      </c>
      <c r="E30" s="1594"/>
      <c r="F30" s="2990"/>
      <c r="G30" s="2987"/>
      <c r="H30" s="2987"/>
      <c r="I30" s="2988"/>
      <c r="J30" s="2982"/>
      <c r="K30" s="2965"/>
      <c r="L30" s="2961"/>
      <c r="M30" s="2961"/>
      <c r="N30" s="2962"/>
      <c r="O30" s="2963"/>
      <c r="P30" s="2962"/>
      <c r="Q30" s="2962"/>
      <c r="R30" s="2962"/>
      <c r="S30" s="2962"/>
      <c r="T30" s="2962"/>
      <c r="U30" s="2962"/>
    </row>
    <row r="31" spans="1:21" ht="15" thickTop="1">
      <c r="A31" s="3482" t="s">
        <v>1792</v>
      </c>
      <c r="B31" s="1636" t="s">
        <v>1793</v>
      </c>
      <c r="C31" s="3521"/>
      <c r="D31" s="3522"/>
      <c r="E31" s="2982"/>
      <c r="F31" s="2982"/>
      <c r="G31" s="2982"/>
      <c r="H31" s="2982"/>
      <c r="I31" s="2986"/>
      <c r="J31" s="2982"/>
      <c r="K31" s="2968"/>
      <c r="L31" s="2962"/>
      <c r="M31" s="2962"/>
      <c r="N31" s="2962"/>
      <c r="O31" s="2962"/>
      <c r="P31" s="2962"/>
      <c r="Q31" s="2962"/>
      <c r="R31" s="2962"/>
      <c r="S31" s="2962"/>
      <c r="T31" s="2962"/>
      <c r="U31" s="2962"/>
    </row>
    <row r="32" spans="1:21">
      <c r="A32" s="3482"/>
      <c r="B32" s="1543" t="s">
        <v>1794</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482"/>
      <c r="B33" s="1543" t="s">
        <v>1795</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483"/>
      <c r="B34" s="1543" t="s">
        <v>1796</v>
      </c>
      <c r="C34" s="3484"/>
      <c r="D34" s="3485"/>
      <c r="E34" s="2982"/>
      <c r="F34" s="2982"/>
      <c r="G34" s="2982"/>
      <c r="H34" s="2982"/>
      <c r="I34" s="2986"/>
      <c r="J34" s="2982"/>
      <c r="K34" s="2968"/>
      <c r="L34" s="2962"/>
      <c r="M34" s="2962"/>
      <c r="N34" s="2962"/>
      <c r="O34" s="2962"/>
      <c r="P34" s="2962"/>
      <c r="Q34" s="2962"/>
      <c r="R34" s="2962"/>
      <c r="S34" s="2962"/>
      <c r="T34" s="2962"/>
      <c r="U34" s="2962"/>
    </row>
    <row r="35" spans="1:28">
      <c r="A35" s="3486" t="s">
        <v>827</v>
      </c>
      <c r="B35" s="1598"/>
      <c r="C35" s="1645" t="str">
        <f>IF(B35="场地平整","——","具体情况：")</f>
        <v>具体情况：</v>
      </c>
      <c r="D35" s="3488"/>
      <c r="E35" s="3489"/>
      <c r="F35" s="3489"/>
      <c r="G35" s="3489"/>
      <c r="H35" s="3489"/>
      <c r="I35" s="3490"/>
      <c r="J35" s="2982"/>
      <c r="K35" s="2969"/>
      <c r="L35" s="2961"/>
      <c r="M35" s="2961"/>
      <c r="N35" s="2962"/>
      <c r="O35" s="2963"/>
      <c r="P35" s="2962"/>
      <c r="Q35" s="2962"/>
      <c r="R35" s="2962"/>
      <c r="S35" s="2962"/>
      <c r="T35" s="2962"/>
      <c r="U35" s="2962"/>
    </row>
    <row r="36" spans="1:28">
      <c r="A36" s="3482"/>
      <c r="B36" s="3491" t="s">
        <v>1845</v>
      </c>
      <c r="C36" s="3492"/>
      <c r="D36" s="1661"/>
      <c r="E36" s="3493"/>
      <c r="F36" s="3493"/>
      <c r="G36" s="1566" t="str">
        <f>IF(B35="场地未平整","估价结果处理","")</f>
        <v/>
      </c>
      <c r="H36" s="3494"/>
      <c r="I36" s="3494"/>
      <c r="J36" s="2982"/>
      <c r="K36" s="2969"/>
      <c r="L36" s="2961"/>
      <c r="M36" s="2961"/>
      <c r="N36" s="2962"/>
      <c r="O36" s="2963"/>
      <c r="P36" s="2962"/>
      <c r="Q36" s="2962"/>
      <c r="R36" s="2962"/>
      <c r="S36" s="2962"/>
      <c r="T36" s="2962"/>
      <c r="U36" s="2962"/>
    </row>
    <row r="37" spans="1:28" ht="28.5">
      <c r="A37" s="3482"/>
      <c r="B37" s="3512"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482"/>
      <c r="B38" s="3513"/>
      <c r="C38" s="1551" t="s">
        <v>830</v>
      </c>
      <c r="D38" s="1660">
        <f>ROUNDDOWN(MIN(('数据-取费表'!$B$2-D37)/365,D34),1)</f>
        <v>120.3</v>
      </c>
      <c r="E38" s="1603" t="s">
        <v>831</v>
      </c>
      <c r="F38" s="2982"/>
      <c r="G38" s="2982"/>
      <c r="H38" s="2982"/>
      <c r="I38" s="2986"/>
      <c r="J38" s="2982"/>
      <c r="K38" s="2969"/>
      <c r="L38" s="2962"/>
      <c r="M38" s="2962"/>
      <c r="N38" s="2962"/>
      <c r="O38" s="2962"/>
      <c r="P38" s="2962"/>
      <c r="Q38" s="2962"/>
      <c r="R38" s="2962"/>
      <c r="S38" s="2962"/>
      <c r="T38" s="2962"/>
      <c r="U38" s="2962"/>
    </row>
    <row r="39" spans="1:28">
      <c r="A39" s="3483"/>
      <c r="B39" s="3514"/>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1768</v>
      </c>
      <c r="B40" s="1567"/>
      <c r="C40" s="1567"/>
      <c r="D40" s="1567"/>
      <c r="E40" s="1567"/>
      <c r="F40" s="1567"/>
      <c r="G40" s="1567"/>
      <c r="H40" s="1567"/>
      <c r="I40" s="2986"/>
      <c r="J40" s="2982"/>
      <c r="K40" s="2930">
        <f>COUNTIF(B40:H40,"——")</f>
        <v>0</v>
      </c>
      <c r="L40" s="1575" t="s">
        <v>1769</v>
      </c>
      <c r="M40" s="1572" t="s">
        <v>1770</v>
      </c>
      <c r="N40" s="1572" t="s">
        <v>1771</v>
      </c>
      <c r="O40" s="1572" t="s">
        <v>1772</v>
      </c>
      <c r="P40" s="1572" t="s">
        <v>1773</v>
      </c>
      <c r="Q40" s="1572" t="s">
        <v>1774</v>
      </c>
      <c r="R40" s="1572" t="s">
        <v>1775</v>
      </c>
      <c r="S40" s="3495" t="s">
        <v>1776</v>
      </c>
      <c r="T40" s="1607" t="str">
        <f>NUMBERSTRING(7-K40,1)&amp;"通"</f>
        <v>七通</v>
      </c>
      <c r="U40" s="2962"/>
    </row>
    <row r="41" spans="1:28">
      <c r="A41" s="1545"/>
      <c r="B41" s="3487" t="s">
        <v>1520</v>
      </c>
      <c r="C41" s="3487"/>
      <c r="D41" s="3487"/>
      <c r="E41" s="3487"/>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95"/>
      <c r="T41" s="1609" t="str">
        <f>IF(T40="一通",L41,IF(T40="二通",M41,IF(T40="三通",N41,IF(T40="四通",O41,IF(T40="五通",P41,IF(T40="六通",Q41,R41))))))</f>
        <v>、、、、、、</v>
      </c>
      <c r="U41" s="2962"/>
    </row>
    <row r="42" spans="1:28">
      <c r="A42" s="1611"/>
      <c r="B42" s="1638" t="s">
        <v>1692</v>
      </c>
      <c r="C42" s="1638" t="s">
        <v>1693</v>
      </c>
      <c r="D42" s="1638" t="s">
        <v>1694</v>
      </c>
      <c r="E42" s="1575" t="s">
        <v>1695</v>
      </c>
      <c r="F42" s="1612"/>
      <c r="G42" s="2982"/>
      <c r="H42" s="2982"/>
      <c r="I42" s="2986"/>
      <c r="J42" s="2982"/>
      <c r="K42" s="2965"/>
      <c r="L42" s="2961"/>
      <c r="M42" s="2961"/>
      <c r="N42" s="2962"/>
      <c r="O42" s="2963"/>
      <c r="P42" s="2962"/>
      <c r="Q42" s="2962"/>
      <c r="R42" s="2962"/>
      <c r="S42" s="2962"/>
      <c r="T42" s="2962"/>
      <c r="U42" s="2962"/>
    </row>
    <row r="43" spans="1:28">
      <c r="A43" s="2933" t="s">
        <v>1505</v>
      </c>
      <c r="B43" s="1613"/>
      <c r="C43" s="1613"/>
      <c r="D43" s="1613"/>
      <c r="E43" s="1613" t="s">
        <v>1387</v>
      </c>
      <c r="F43" s="1614"/>
      <c r="G43" s="2982"/>
      <c r="H43" s="2982"/>
      <c r="I43" s="2986"/>
      <c r="J43" s="2982"/>
      <c r="K43" s="2965"/>
      <c r="L43" s="2961"/>
      <c r="M43" s="2961"/>
      <c r="N43" s="2962"/>
      <c r="O43" s="2963"/>
      <c r="P43" s="2962"/>
      <c r="Q43" s="2962"/>
      <c r="R43" s="2962"/>
      <c r="S43" s="2962"/>
      <c r="T43" s="2962"/>
      <c r="U43" s="2962"/>
    </row>
    <row r="44" spans="1:28">
      <c r="A44" s="2933" t="s">
        <v>1506</v>
      </c>
      <c r="B44" s="1613"/>
      <c r="C44" s="1613"/>
      <c r="D44" s="1613"/>
      <c r="E44" s="1661" t="s">
        <v>3143</v>
      </c>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2604</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1797</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1798</v>
      </c>
      <c r="B48" s="1565" t="s">
        <v>1799</v>
      </c>
      <c r="C48" s="1565" t="s">
        <v>1800</v>
      </c>
      <c r="D48" s="1565" t="s">
        <v>1801</v>
      </c>
      <c r="E48" s="1565" t="s">
        <v>1802</v>
      </c>
      <c r="F48" s="1565" t="s">
        <v>1803</v>
      </c>
      <c r="G48" s="1565" t="s">
        <v>1804</v>
      </c>
      <c r="H48" s="1565" t="s">
        <v>1805</v>
      </c>
      <c r="I48" s="1565" t="s">
        <v>1806</v>
      </c>
      <c r="J48" s="1644" t="s">
        <v>1807</v>
      </c>
      <c r="K48" s="2975" t="s">
        <v>1808</v>
      </c>
      <c r="L48" s="2975" t="s">
        <v>1809</v>
      </c>
      <c r="M48" s="2975" t="s">
        <v>1810</v>
      </c>
      <c r="N48" s="2976" t="s">
        <v>1811</v>
      </c>
      <c r="O48" s="2976" t="s">
        <v>1812</v>
      </c>
      <c r="P48" s="2976" t="s">
        <v>1813</v>
      </c>
      <c r="Q48" s="2967" t="s">
        <v>1814</v>
      </c>
      <c r="R48" s="2967" t="s">
        <v>1815</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2122</v>
      </c>
      <c r="BA2" s="2174" t="s">
        <v>2121</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c r="B3" s="22">
        <f>IF(C3="否",G5-AT5,G5)</f>
        <v>0</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c r="J10" s="51"/>
      <c r="K10" s="2655"/>
      <c r="L10" s="51"/>
      <c r="M10" s="2655"/>
      <c r="N10" s="51"/>
      <c r="O10" s="66"/>
      <c r="P10" s="51"/>
      <c r="Q10" s="66"/>
      <c r="R10" s="51"/>
      <c r="S10" s="66"/>
      <c r="T10" s="51"/>
      <c r="U10" s="66"/>
      <c r="V10" s="51"/>
      <c r="W10" s="66"/>
      <c r="X10" s="51"/>
      <c r="Y10" s="66"/>
      <c r="Z10" s="51"/>
      <c r="AA10" s="66"/>
      <c r="AB10" s="51"/>
      <c r="AC10" s="55"/>
      <c r="AD10" s="2148" t="s">
        <v>2106</v>
      </c>
      <c r="AE10" s="2170"/>
      <c r="AF10" s="2148" t="s">
        <v>2106</v>
      </c>
      <c r="AG10" s="2170"/>
      <c r="AH10" s="2148" t="s">
        <v>2107</v>
      </c>
      <c r="AI10" s="2170"/>
      <c r="AJ10" s="26" t="s">
        <v>2120</v>
      </c>
      <c r="AK10" s="2167"/>
      <c r="AL10" s="2148" t="s">
        <v>2108</v>
      </c>
      <c r="AM10" s="2149"/>
      <c r="AN10" s="26" t="s">
        <v>198</v>
      </c>
      <c r="AO10" s="61"/>
      <c r="AP10" s="1134" t="s">
        <v>199</v>
      </c>
      <c r="AQ10" s="1136"/>
      <c r="AR10" s="1134" t="s">
        <v>199</v>
      </c>
      <c r="AS10" s="1136"/>
      <c r="AT10" s="45"/>
      <c r="AU10" s="45"/>
      <c r="AV10" s="55"/>
      <c r="AW10" s="974"/>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2119</v>
      </c>
      <c r="AE11" s="973"/>
      <c r="AF11" s="2168" t="s">
        <v>2119</v>
      </c>
      <c r="AG11" s="973"/>
      <c r="AH11" s="2168" t="s">
        <v>2118</v>
      </c>
      <c r="AI11" s="2169"/>
      <c r="AJ11" s="2168" t="s">
        <v>2118</v>
      </c>
      <c r="AK11" s="2167"/>
      <c r="AL11" s="971"/>
      <c r="AM11" s="973"/>
      <c r="AN11" s="971"/>
      <c r="AO11" s="973"/>
      <c r="AP11" s="1135"/>
      <c r="AQ11" s="1137"/>
      <c r="AR11" s="1135"/>
      <c r="AS11" s="1137"/>
      <c r="AT11" s="974"/>
      <c r="AU11" s="45"/>
      <c r="AV11" s="55"/>
      <c r="AW11" s="974"/>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c r="E13" s="27" t="e">
        <f t="shared" ref="E13:E20" si="6">IF($C$3="是",ROUND($A$3*G13/$B$3,2),ROUND($A$3*(G13-AT13)/$B$3,2))</f>
        <v>#DIV/0!</v>
      </c>
      <c r="F13" s="81"/>
      <c r="G13" s="82">
        <f t="shared" ref="G13:G20" si="7">H13+AC13+AT13</f>
        <v>0</v>
      </c>
      <c r="H13" s="33">
        <f t="shared" ref="H13:H20" si="8">SUMIF(I$12:AB$12,"总值",I13:AB13)</f>
        <v>0</v>
      </c>
      <c r="I13" s="2652"/>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t="e">
        <f t="shared" si="6"/>
        <v>#DIV/0!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t="e">
        <f t="shared" si="6"/>
        <v>#DIV/0!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t="e">
        <f t="shared" si="6"/>
        <v>#DIV/0!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t="e">
        <f t="shared" si="6"/>
        <v>#DIV/0!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t="e">
        <f t="shared" si="6"/>
        <v>#DIV/0!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t="e">
        <f t="shared" si="6"/>
        <v>#DIV/0!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t="e">
        <f t="shared" si="6"/>
        <v>#DIV/0!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t="e">
        <f t="shared" ref="E21:E112" si="33">IF($C$3="是",ROUND($A$3*G21/$B$3,2),ROUND($A$3*(G21-AT21)/$B$3,2))</f>
        <v>#DIV/0!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t="e">
        <f t="shared" si="33"/>
        <v>#DIV/0!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t="e">
        <f t="shared" si="33"/>
        <v>#DIV/0!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t="e">
        <f t="shared" si="33"/>
        <v>#DIV/0!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t="e">
        <f t="shared" si="33"/>
        <v>#DIV/0!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t="e">
        <f t="shared" si="33"/>
        <v>#DIV/0!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t="e">
        <f t="shared" si="33"/>
        <v>#DIV/0!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t="e">
        <f t="shared" si="33"/>
        <v>#DIV/0!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t="e">
        <f t="shared" si="33"/>
        <v>#DIV/0!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t="e">
        <f t="shared" si="33"/>
        <v>#DIV/0!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t="e">
        <f t="shared" si="33"/>
        <v>#DIV/0!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t="e">
        <f t="shared" si="33"/>
        <v>#DIV/0!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t="e">
        <f t="shared" si="33"/>
        <v>#DIV/0!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t="e">
        <f t="shared" si="33"/>
        <v>#DIV/0!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t="e">
        <f t="shared" si="33"/>
        <v>#DIV/0!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t="e">
        <f t="shared" si="33"/>
        <v>#DIV/0!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t="e">
        <f t="shared" si="33"/>
        <v>#DIV/0!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t="e">
        <f t="shared" si="33"/>
        <v>#DIV/0!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t="e">
        <f t="shared" si="33"/>
        <v>#DIV/0!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t="e">
        <f t="shared" si="33"/>
        <v>#DIV/0!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t="e">
        <f t="shared" si="33"/>
        <v>#DIV/0!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t="e">
        <f t="shared" si="33"/>
        <v>#DIV/0!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t="e">
        <f t="shared" si="33"/>
        <v>#DIV/0!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t="e">
        <f t="shared" si="33"/>
        <v>#DIV/0!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t="e">
        <f t="shared" si="33"/>
        <v>#DIV/0!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t="e">
        <f t="shared" si="33"/>
        <v>#DIV/0!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t="e">
        <f t="shared" si="33"/>
        <v>#DIV/0!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t="e">
        <f t="shared" si="33"/>
        <v>#DIV/0!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t="e">
        <f t="shared" si="33"/>
        <v>#DIV/0!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t="e">
        <f t="shared" si="33"/>
        <v>#DIV/0!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t="e">
        <f t="shared" si="33"/>
        <v>#DIV/0!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t="e">
        <f t="shared" si="33"/>
        <v>#DIV/0!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t="e">
        <f t="shared" si="33"/>
        <v>#DIV/0!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t="e">
        <f t="shared" si="33"/>
        <v>#DIV/0!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t="e">
        <f t="shared" si="33"/>
        <v>#DIV/0!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t="e">
        <f t="shared" ref="E113:E144" si="87">IF($C$3="是",ROUND($A$3*G113/$B$3,2),ROUND($A$3*(G113-AT113)/$B$3,2))</f>
        <v>#DIV/0!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t="e">
        <f t="shared" si="87"/>
        <v>#DIV/0!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t="e">
        <f t="shared" si="87"/>
        <v>#DIV/0!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t="e">
        <f t="shared" si="87"/>
        <v>#DIV/0!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t="e">
        <f t="shared" si="87"/>
        <v>#DIV/0!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t="e">
        <f t="shared" si="87"/>
        <v>#DIV/0!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t="e">
        <f t="shared" si="87"/>
        <v>#DIV/0!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t="e">
        <f t="shared" si="87"/>
        <v>#DIV/0!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t="e">
        <f t="shared" si="87"/>
        <v>#DIV/0!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t="e">
        <f t="shared" si="87"/>
        <v>#DIV/0!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t="e">
        <f t="shared" si="87"/>
        <v>#DIV/0!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t="e">
        <f t="shared" si="87"/>
        <v>#DIV/0!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t="e">
        <f t="shared" si="87"/>
        <v>#DIV/0!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t="e">
        <f t="shared" si="87"/>
        <v>#DIV/0!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t="e">
        <f t="shared" si="87"/>
        <v>#DIV/0!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t="e">
        <f t="shared" si="87"/>
        <v>#DIV/0!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t="e">
        <f t="shared" si="87"/>
        <v>#DIV/0!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t="e">
        <f t="shared" si="87"/>
        <v>#DIV/0!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t="e">
        <f t="shared" si="87"/>
        <v>#DIV/0!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t="e">
        <f t="shared" si="87"/>
        <v>#DIV/0!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t="e">
        <f t="shared" si="87"/>
        <v>#DIV/0!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t="e">
        <f t="shared" si="87"/>
        <v>#DIV/0!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t="e">
        <f t="shared" si="87"/>
        <v>#DIV/0!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t="e">
        <f t="shared" si="87"/>
        <v>#DIV/0!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t="e">
        <f t="shared" si="87"/>
        <v>#DIV/0!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t="e">
        <f t="shared" si="87"/>
        <v>#DIV/0!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t="e">
        <f t="shared" si="87"/>
        <v>#DIV/0!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t="e">
        <f t="shared" si="87"/>
        <v>#DIV/0!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t="e">
        <f t="shared" si="87"/>
        <v>#DIV/0!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t="e">
        <f t="shared" si="87"/>
        <v>#DIV/0!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t="e">
        <f t="shared" si="87"/>
        <v>#DIV/0!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t="e">
        <f t="shared" si="87"/>
        <v>#DIV/0!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t="e">
        <f t="shared" ref="E145:E176" si="116">IF($C$3="是",ROUND($A$3*G145/$B$3,2),ROUND($A$3*(G145-AT145)/$B$3,2))</f>
        <v>#DIV/0!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t="e">
        <f t="shared" si="116"/>
        <v>#DIV/0!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t="e">
        <f t="shared" si="116"/>
        <v>#DIV/0!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t="e">
        <f t="shared" ref="E205:E296" si="149">IF($C$3="是",ROUND($A$3*G205/$B$3,2),ROUND($A$3*(G205-AT205)/$B$3,2))</f>
        <v>#DIV/0!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t="e">
        <f t="shared" si="149"/>
        <v>#DIV/0!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t="e">
        <f t="shared" si="149"/>
        <v>#DIV/0!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t="e">
        <f t="shared" si="149"/>
        <v>#DIV/0!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t="e">
        <f t="shared" si="149"/>
        <v>#DIV/0!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t="e">
        <f t="shared" si="149"/>
        <v>#DIV/0!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t="e">
        <f t="shared" si="149"/>
        <v>#DIV/0!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t="e">
        <f t="shared" si="149"/>
        <v>#DIV/0!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t="e">
        <f t="shared" si="149"/>
        <v>#DIV/0!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t="e">
        <f t="shared" si="149"/>
        <v>#DIV/0!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t="e">
        <f t="shared" si="149"/>
        <v>#DIV/0!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t="e">
        <f t="shared" si="149"/>
        <v>#DIV/0!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t="e">
        <f t="shared" si="149"/>
        <v>#DIV/0!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t="e">
        <f t="shared" si="149"/>
        <v>#DIV/0!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t="e">
        <f t="shared" si="149"/>
        <v>#DIV/0!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t="e">
        <f t="shared" si="149"/>
        <v>#DIV/0!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t="e">
        <f t="shared" si="149"/>
        <v>#DIV/0!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t="e">
        <f t="shared" si="149"/>
        <v>#DIV/0!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t="e">
        <f t="shared" si="149"/>
        <v>#DIV/0!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t="e">
        <f t="shared" si="149"/>
        <v>#DIV/0!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t="e">
        <f t="shared" si="149"/>
        <v>#DIV/0!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t="e">
        <f t="shared" si="149"/>
        <v>#DIV/0!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t="e">
        <f t="shared" si="149"/>
        <v>#DIV/0!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t="e">
        <f t="shared" si="149"/>
        <v>#DIV/0!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t="e">
        <f t="shared" si="149"/>
        <v>#DIV/0!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t="e">
        <f t="shared" si="149"/>
        <v>#DIV/0!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t="e">
        <f t="shared" si="149"/>
        <v>#DIV/0!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t="e">
        <f t="shared" si="149"/>
        <v>#DIV/0!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t="e">
        <f t="shared" si="149"/>
        <v>#DIV/0!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t="e">
        <f t="shared" si="149"/>
        <v>#DIV/0!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t="e">
        <f t="shared" si="149"/>
        <v>#DIV/0!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t="e">
        <f t="shared" si="149"/>
        <v>#DIV/0!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t="e">
        <f t="shared" si="149"/>
        <v>#DIV/0!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t="e">
        <f t="shared" si="149"/>
        <v>#DIV/0!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t="e">
        <f t="shared" si="149"/>
        <v>#DIV/0!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t="e">
        <f t="shared" ref="E297:E328" si="203">IF($C$3="是",ROUND($A$3*G297/$B$3,2),ROUND($A$3*(G297-AT297)/$B$3,2))</f>
        <v>#DIV/0!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t="e">
        <f t="shared" si="203"/>
        <v>#DIV/0!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t="e">
        <f t="shared" si="203"/>
        <v>#DIV/0!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t="e">
        <f t="shared" si="203"/>
        <v>#DIV/0!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t="e">
        <f t="shared" si="203"/>
        <v>#DIV/0!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t="e">
        <f t="shared" si="203"/>
        <v>#DIV/0!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t="e">
        <f t="shared" si="203"/>
        <v>#DIV/0!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t="e">
        <f t="shared" si="203"/>
        <v>#DIV/0!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t="e">
        <f t="shared" si="203"/>
        <v>#DIV/0!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t="e">
        <f t="shared" si="203"/>
        <v>#DIV/0!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t="e">
        <f t="shared" si="203"/>
        <v>#DIV/0!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t="e">
        <f t="shared" si="203"/>
        <v>#DIV/0!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t="e">
        <f t="shared" si="203"/>
        <v>#DIV/0!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t="e">
        <f t="shared" si="203"/>
        <v>#DIV/0!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t="e">
        <f t="shared" si="203"/>
        <v>#DIV/0!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t="e">
        <f t="shared" si="203"/>
        <v>#DIV/0!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t="e">
        <f t="shared" si="203"/>
        <v>#DIV/0!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t="e">
        <f t="shared" si="203"/>
        <v>#DIV/0!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t="e">
        <f t="shared" si="203"/>
        <v>#DIV/0!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t="e">
        <f t="shared" si="203"/>
        <v>#DIV/0!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t="e">
        <f t="shared" si="203"/>
        <v>#DIV/0!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t="e">
        <f t="shared" si="203"/>
        <v>#DIV/0!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t="e">
        <f t="shared" si="203"/>
        <v>#DIV/0!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t="e">
        <f t="shared" si="203"/>
        <v>#DIV/0!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t="e">
        <f t="shared" si="203"/>
        <v>#DIV/0!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t="e">
        <f t="shared" si="203"/>
        <v>#DIV/0!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t="e">
        <f t="shared" si="203"/>
        <v>#DIV/0!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t="e">
        <f t="shared" si="203"/>
        <v>#DIV/0!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t="e">
        <f t="shared" si="203"/>
        <v>#DIV/0!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t="e">
        <f t="shared" si="203"/>
        <v>#DIV/0!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t="e">
        <f t="shared" si="203"/>
        <v>#DIV/0!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t="e">
        <f t="shared" si="203"/>
        <v>#DIV/0!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t="e">
        <f t="shared" ref="E329:E360" si="232">IF($C$3="是",ROUND($A$3*G329/$B$3,2),ROUND($A$3*(G329-AT329)/$B$3,2))</f>
        <v>#DIV/0!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t="e">
        <f t="shared" si="232"/>
        <v>#DIV/0!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t="e">
        <f t="shared" si="232"/>
        <v>#DIV/0!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t="e">
        <f t="shared" ref="E389:E480" si="265">IF($C$3="是",ROUND($A$3*G389/$B$3,2),ROUND($A$3*(G389-AT389)/$B$3,2))</f>
        <v>#DIV/0!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t="e">
        <f t="shared" si="265"/>
        <v>#DIV/0!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t="e">
        <f t="shared" si="265"/>
        <v>#DIV/0!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t="e">
        <f t="shared" si="265"/>
        <v>#DIV/0!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t="e">
        <f t="shared" si="265"/>
        <v>#DIV/0!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t="e">
        <f t="shared" si="265"/>
        <v>#DIV/0!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t="e">
        <f t="shared" si="265"/>
        <v>#DIV/0!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t="e">
        <f t="shared" si="265"/>
        <v>#DIV/0!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t="e">
        <f t="shared" si="265"/>
        <v>#DIV/0!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t="e">
        <f t="shared" si="265"/>
        <v>#DIV/0!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t="e">
        <f t="shared" si="265"/>
        <v>#DIV/0!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t="e">
        <f t="shared" si="265"/>
        <v>#DIV/0!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t="e">
        <f t="shared" si="265"/>
        <v>#DIV/0!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t="e">
        <f t="shared" si="265"/>
        <v>#DIV/0!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t="e">
        <f t="shared" si="265"/>
        <v>#DIV/0!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t="e">
        <f t="shared" si="265"/>
        <v>#DIV/0!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t="e">
        <f t="shared" si="265"/>
        <v>#DIV/0!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t="e">
        <f t="shared" si="265"/>
        <v>#DIV/0!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t="e">
        <f t="shared" si="265"/>
        <v>#DIV/0!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t="e">
        <f t="shared" si="265"/>
        <v>#DIV/0!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t="e">
        <f t="shared" si="265"/>
        <v>#DIV/0!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t="e">
        <f t="shared" si="265"/>
        <v>#DIV/0!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t="e">
        <f t="shared" si="265"/>
        <v>#DIV/0!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t="e">
        <f t="shared" si="265"/>
        <v>#DIV/0!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t="e">
        <f t="shared" si="265"/>
        <v>#DIV/0!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t="e">
        <f t="shared" si="265"/>
        <v>#DIV/0!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t="e">
        <f t="shared" si="265"/>
        <v>#DIV/0!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t="e">
        <f t="shared" si="265"/>
        <v>#DIV/0!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t="e">
        <f t="shared" si="265"/>
        <v>#DIV/0!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t="e">
        <f t="shared" si="265"/>
        <v>#DIV/0!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t="e">
        <f t="shared" si="265"/>
        <v>#DIV/0!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t="e">
        <f t="shared" si="265"/>
        <v>#DIV/0!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t="e">
        <f t="shared" si="265"/>
        <v>#DIV/0!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t="e">
        <f t="shared" si="265"/>
        <v>#DIV/0!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t="e">
        <f t="shared" si="265"/>
        <v>#DIV/0!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t="e">
        <f t="shared" ref="E481:E504" si="319">IF($C$3="是",ROUND($A$3*G481/$B$3,2),ROUND($A$3*(G481-AT481)/$B$3,2))</f>
        <v>#DIV/0!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t="e">
        <f t="shared" si="319"/>
        <v>#DIV/0!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t="e">
        <f t="shared" si="319"/>
        <v>#DIV/0!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t="e">
        <f t="shared" si="319"/>
        <v>#DIV/0!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t="e">
        <f t="shared" si="319"/>
        <v>#DIV/0!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t="e">
        <f t="shared" si="319"/>
        <v>#DIV/0!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t="e">
        <f t="shared" si="319"/>
        <v>#DIV/0!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t="e">
        <f t="shared" si="319"/>
        <v>#DIV/0!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t="e">
        <f t="shared" si="319"/>
        <v>#DIV/0!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t="e">
        <f t="shared" si="319"/>
        <v>#DIV/0!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t="e">
        <f t="shared" si="319"/>
        <v>#DIV/0!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t="e">
        <f t="shared" si="319"/>
        <v>#DIV/0!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t="e">
        <f t="shared" si="319"/>
        <v>#DIV/0!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t="e">
        <f t="shared" si="319"/>
        <v>#DIV/0!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t="e">
        <f t="shared" si="319"/>
        <v>#DIV/0!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t="e">
        <f t="shared" si="319"/>
        <v>#DIV/0!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t="e">
        <f t="shared" si="319"/>
        <v>#DIV/0!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t="e">
        <f t="shared" si="319"/>
        <v>#DIV/0!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t="e">
        <f t="shared" si="319"/>
        <v>#DIV/0!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t="e">
        <f t="shared" si="319"/>
        <v>#DIV/0!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t="e">
        <f t="shared" si="319"/>
        <v>#DIV/0!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t="e">
        <f t="shared" si="319"/>
        <v>#DIV/0!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t="e">
        <f t="shared" si="319"/>
        <v>#DIV/0!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t="e">
        <f t="shared" si="319"/>
        <v>#DIV/0!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t="e">
        <f t="shared" ref="E505:E536" si="323">IF($C$3="是",ROUND($A$3*G505/$B$3,2),ROUND($A$3*(G505-AT505)/$B$3,2))</f>
        <v>#DIV/0!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t="e">
        <f t="shared" si="323"/>
        <v>#DIV/0!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t="e">
        <f t="shared" si="323"/>
        <v>#DIV/0!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t="e">
        <f t="shared" si="323"/>
        <v>#DIV/0!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t="e">
        <f t="shared" si="323"/>
        <v>#DIV/0!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t="e">
        <f t="shared" si="323"/>
        <v>#DIV/0!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t="e">
        <f t="shared" si="323"/>
        <v>#DIV/0!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t="e">
        <f t="shared" si="323"/>
        <v>#DIV/0!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t="e">
        <f t="shared" si="323"/>
        <v>#DIV/0!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t="e">
        <f t="shared" si="323"/>
        <v>#DIV/0!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t="e">
        <f t="shared" si="323"/>
        <v>#DIV/0!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3" t="s">
        <v>0</v>
      </c>
      <c r="B1" s="3523" t="s">
        <v>4</v>
      </c>
      <c r="C1" s="3523" t="s">
        <v>5</v>
      </c>
      <c r="D1" s="3524" t="s">
        <v>40</v>
      </c>
      <c r="E1" s="3524" t="s">
        <v>41</v>
      </c>
      <c r="F1" s="3524"/>
      <c r="G1" s="3524"/>
      <c r="H1" s="3524"/>
      <c r="I1" s="3524"/>
      <c r="J1" s="3524"/>
      <c r="K1" s="3524"/>
      <c r="L1" s="3524"/>
      <c r="M1" s="3524"/>
    </row>
    <row r="2" spans="1:13" ht="27" customHeight="1">
      <c r="A2" s="3523"/>
      <c r="B2" s="3523"/>
      <c r="C2" s="3523"/>
      <c r="D2" s="3524"/>
      <c r="E2" s="3524" t="s">
        <v>24</v>
      </c>
      <c r="F2" s="3524" t="s">
        <v>25</v>
      </c>
      <c r="G2" s="3524"/>
      <c r="H2" s="3524"/>
      <c r="I2" s="3524"/>
      <c r="J2" s="3524" t="s">
        <v>26</v>
      </c>
      <c r="K2" s="3524"/>
      <c r="L2" s="3524"/>
      <c r="M2" s="3524"/>
    </row>
    <row r="3" spans="1:13" ht="28.5">
      <c r="A3" s="3523"/>
      <c r="B3" s="3523"/>
      <c r="C3" s="3523"/>
      <c r="D3" s="3524"/>
      <c r="E3" s="35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4" t="s">
        <v>42</v>
      </c>
      <c r="B9" s="3524"/>
      <c r="C9" s="35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34" t="s">
        <v>203</v>
      </c>
      <c r="B2" s="3534"/>
      <c r="C2" s="3534"/>
      <c r="D2" s="1843" t="s">
        <v>204</v>
      </c>
      <c r="E2" s="106" t="s">
        <v>205</v>
      </c>
      <c r="F2" s="2991"/>
      <c r="G2" s="1145"/>
      <c r="H2" s="1146"/>
      <c r="I2" s="1147" t="s">
        <v>837</v>
      </c>
      <c r="J2" s="2991"/>
      <c r="K2" s="2991"/>
      <c r="L2" s="2991"/>
      <c r="M2" s="2991"/>
      <c r="N2" s="2991"/>
      <c r="O2" s="2991"/>
      <c r="P2" s="2991"/>
    </row>
    <row r="3" spans="1:16" ht="15.75" thickBot="1">
      <c r="A3" s="3535" t="s">
        <v>206</v>
      </c>
      <c r="B3" s="3535"/>
      <c r="C3" s="3535"/>
      <c r="D3" s="107" t="e">
        <f>'数据-基础表'!AY6</f>
        <v>#DIV/0!</v>
      </c>
      <c r="E3" s="107">
        <f>'数据-基础表'!AZ5</f>
        <v>0</v>
      </c>
      <c r="F3" s="2991"/>
      <c r="G3" s="278" t="s">
        <v>838</v>
      </c>
      <c r="H3" s="273" t="s">
        <v>839</v>
      </c>
      <c r="I3" s="1844" t="e">
        <f>ROUND('数据-基础表'!B3/'数据-基础表'!A3,2)</f>
        <v>#DIV/0!</v>
      </c>
      <c r="J3" s="2991"/>
      <c r="K3" s="2991"/>
      <c r="L3" s="2991"/>
      <c r="M3" s="2991"/>
      <c r="N3" s="2991"/>
      <c r="O3" s="2991"/>
      <c r="P3" s="2991"/>
    </row>
    <row r="4" spans="1:16" ht="15">
      <c r="A4" s="3536"/>
      <c r="B4" s="3537"/>
      <c r="C4" s="3538"/>
      <c r="D4" s="108" t="s">
        <v>204</v>
      </c>
      <c r="E4" s="109" t="s">
        <v>205</v>
      </c>
      <c r="F4" s="2991"/>
      <c r="G4" s="1148"/>
      <c r="H4" s="273" t="s">
        <v>840</v>
      </c>
      <c r="I4" s="1844" t="e">
        <f>ROUND(SUMIF('数据-基础表'!I9:AS9,"地上",'数据-基础表'!I5:AS5)/'数据-基础表'!A3,2)</f>
        <v>#DIV/0!</v>
      </c>
      <c r="J4" s="2991"/>
      <c r="K4" s="2991"/>
      <c r="L4" s="2991"/>
      <c r="M4" s="2991"/>
      <c r="N4" s="2991"/>
      <c r="O4" s="2991"/>
      <c r="P4" s="2991"/>
    </row>
    <row r="5" spans="1:16">
      <c r="A5" s="110" t="s">
        <v>207</v>
      </c>
      <c r="B5" s="3539" t="s">
        <v>230</v>
      </c>
      <c r="C5" s="3539"/>
      <c r="D5" s="111" t="e">
        <f>ROUND($D$3*E5/$E$3,2)</f>
        <v>#DIV/0!</v>
      </c>
      <c r="E5" s="112">
        <f>SUMIF('数据-基础表'!$11:$11,"住宅",'数据-基础表'!$5:$5)</f>
        <v>0</v>
      </c>
      <c r="F5" s="2991"/>
      <c r="G5" s="278" t="s">
        <v>841</v>
      </c>
      <c r="H5" s="273" t="s">
        <v>839</v>
      </c>
      <c r="I5" s="1844" t="e">
        <f>ROUND(E31/D31,2)</f>
        <v>#DIV/0!</v>
      </c>
      <c r="J5" s="2991"/>
      <c r="K5" s="2991"/>
      <c r="L5" s="2991"/>
      <c r="M5" s="2991"/>
      <c r="N5" s="2991"/>
      <c r="O5" s="2991"/>
      <c r="P5" s="2991"/>
    </row>
    <row r="6" spans="1:16" ht="15" thickBot="1">
      <c r="A6" s="113"/>
      <c r="B6" s="3539" t="s">
        <v>208</v>
      </c>
      <c r="C6" s="3539"/>
      <c r="D6" s="111" t="e">
        <f>ROUND($D$3*E6/$E$3,2)</f>
        <v>#DIV/0!</v>
      </c>
      <c r="E6" s="112">
        <f>E3-E5</f>
        <v>0</v>
      </c>
      <c r="F6" s="2991"/>
      <c r="G6" s="1148"/>
      <c r="H6" s="273" t="s">
        <v>840</v>
      </c>
      <c r="I6" s="1844" t="e">
        <f>ROUND(F31/D31,2)</f>
        <v>#DIV/0!</v>
      </c>
      <c r="J6" s="2991"/>
      <c r="K6" s="2991"/>
      <c r="L6" s="2991"/>
      <c r="M6" s="2991"/>
      <c r="N6" s="2991"/>
      <c r="O6" s="2991"/>
      <c r="P6" s="2991"/>
    </row>
    <row r="7" spans="1:16" ht="15">
      <c r="A7" s="3531"/>
      <c r="B7" s="3532"/>
      <c r="C7" s="3533"/>
      <c r="D7" s="108" t="s">
        <v>204</v>
      </c>
      <c r="E7" s="114" t="s">
        <v>231</v>
      </c>
      <c r="F7" s="2991"/>
      <c r="G7" s="1103" t="s">
        <v>1444</v>
      </c>
      <c r="H7" s="1104"/>
      <c r="I7" s="1715">
        <v>1.2</v>
      </c>
      <c r="J7" s="2991"/>
      <c r="K7" s="2991"/>
      <c r="L7" s="2991"/>
      <c r="M7" s="2991"/>
      <c r="N7" s="2991"/>
      <c r="O7" s="2991"/>
      <c r="P7" s="2991"/>
    </row>
    <row r="8" spans="1:16">
      <c r="A8" s="110" t="s">
        <v>209</v>
      </c>
      <c r="B8" s="115" t="s">
        <v>210</v>
      </c>
      <c r="C8" s="111" t="s">
        <v>211</v>
      </c>
      <c r="D8" s="111" t="e">
        <f t="shared" ref="D8:D15" si="0">ROUND($D$3*E8/$E$3,2)</f>
        <v>#DIV/0!</v>
      </c>
      <c r="E8" s="116">
        <f>SUMIF('数据-基础表'!BB10:BK10,"地上",'数据-基础表'!BB5:BK5)</f>
        <v>0</v>
      </c>
      <c r="F8" s="2991"/>
      <c r="G8" s="2992"/>
      <c r="H8" s="2992"/>
      <c r="I8" s="2991"/>
      <c r="J8" s="2991"/>
      <c r="K8" s="2991"/>
      <c r="L8" s="2991"/>
      <c r="M8" s="2991"/>
      <c r="N8" s="2991"/>
      <c r="O8" s="2991"/>
      <c r="P8" s="2991"/>
    </row>
    <row r="9" spans="1:16">
      <c r="A9" s="117"/>
      <c r="B9" s="118"/>
      <c r="C9" s="111" t="s">
        <v>212</v>
      </c>
      <c r="D9" s="111" t="e">
        <f t="shared" si="0"/>
        <v>#DIV/0!</v>
      </c>
      <c r="E9" s="119">
        <v>0</v>
      </c>
      <c r="F9" s="2991"/>
      <c r="G9" s="2992"/>
      <c r="H9" s="2992"/>
      <c r="I9" s="2991"/>
      <c r="J9" s="2991"/>
      <c r="K9" s="2991"/>
      <c r="L9" s="2991"/>
      <c r="M9" s="2991"/>
      <c r="N9" s="2991"/>
      <c r="O9" s="2991"/>
      <c r="P9" s="2991"/>
    </row>
    <row r="10" spans="1:16">
      <c r="A10" s="117"/>
      <c r="B10" s="118"/>
      <c r="C10" s="111" t="s">
        <v>213</v>
      </c>
      <c r="D10" s="111" t="e">
        <f t="shared" si="0"/>
        <v>#DIV/0!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2116</v>
      </c>
      <c r="D11" s="111" t="e">
        <f t="shared" si="0"/>
        <v>#DIV/0!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t="e">
        <f t="shared" si="0"/>
        <v>#DIV/0!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2123</v>
      </c>
      <c r="D13" s="111" t="e">
        <f t="shared" si="0"/>
        <v>#DIV/0!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t="e">
        <f t="shared" si="0"/>
        <v>#DIV/0!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t="e">
        <f t="shared" si="0"/>
        <v>#DIV/0!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t="e">
        <f>SUM(D8:D15)</f>
        <v>#DIV/0!</v>
      </c>
      <c r="E16" s="120">
        <f>SUM(E8:E15)</f>
        <v>0</v>
      </c>
      <c r="F16" s="2991"/>
      <c r="G16" s="2992"/>
      <c r="H16" s="939" t="s">
        <v>219</v>
      </c>
      <c r="I16" s="940"/>
      <c r="J16" s="1852"/>
      <c r="K16" s="3525" t="s">
        <v>2283</v>
      </c>
      <c r="L16" s="3526"/>
      <c r="M16" s="3526"/>
      <c r="N16" s="3526"/>
      <c r="O16" s="3526"/>
      <c r="P16" s="3527"/>
    </row>
    <row r="17" spans="1:19" ht="15">
      <c r="A17" s="121" t="s">
        <v>216</v>
      </c>
      <c r="B17" s="122" t="s">
        <v>217</v>
      </c>
      <c r="C17" s="2132" t="s">
        <v>2102</v>
      </c>
      <c r="D17" s="108" t="s">
        <v>204</v>
      </c>
      <c r="E17" s="124" t="s">
        <v>205</v>
      </c>
      <c r="F17" s="125"/>
      <c r="G17" s="1275"/>
      <c r="H17" s="941" t="s">
        <v>218</v>
      </c>
      <c r="I17" s="942" t="s">
        <v>2101</v>
      </c>
      <c r="J17" s="1852"/>
      <c r="K17" s="3528" t="s">
        <v>2284</v>
      </c>
      <c r="L17" s="3529"/>
      <c r="M17" s="3530"/>
      <c r="N17" s="3528" t="s">
        <v>2285</v>
      </c>
      <c r="O17" s="3529"/>
      <c r="P17" s="3530"/>
      <c r="R17" s="2133" t="s">
        <v>2100</v>
      </c>
      <c r="S17" s="142"/>
    </row>
    <row r="18" spans="1:19" ht="15">
      <c r="A18" s="117"/>
      <c r="B18" s="128"/>
      <c r="C18" s="129"/>
      <c r="D18" s="2406"/>
      <c r="E18" s="130" t="s">
        <v>220</v>
      </c>
      <c r="F18" s="131" t="s">
        <v>221</v>
      </c>
      <c r="G18" s="1276" t="s">
        <v>222</v>
      </c>
      <c r="H18" s="943" t="s">
        <v>223</v>
      </c>
      <c r="I18" s="944" t="s">
        <v>224</v>
      </c>
      <c r="J18" s="1852"/>
      <c r="K18" s="2371" t="s">
        <v>2286</v>
      </c>
      <c r="L18" s="2372" t="s">
        <v>2287</v>
      </c>
      <c r="M18" s="2373" t="s">
        <v>2288</v>
      </c>
      <c r="N18" s="2371" t="s">
        <v>2286</v>
      </c>
      <c r="O18" s="2372" t="s">
        <v>2287</v>
      </c>
      <c r="P18" s="2373" t="s">
        <v>2288</v>
      </c>
      <c r="R18" s="2134" t="s">
        <v>2098</v>
      </c>
      <c r="S18" s="2134" t="s">
        <v>2099</v>
      </c>
    </row>
    <row r="19" spans="1:19">
      <c r="A19" s="133"/>
      <c r="B19" s="115" t="s">
        <v>225</v>
      </c>
      <c r="C19" s="2659"/>
      <c r="D19" s="111" t="e">
        <f t="shared" ref="D19:D26" si="1">ROUND($D$3*E19/$E$3,2)</f>
        <v>#DIV/0!</v>
      </c>
      <c r="E19" s="134">
        <f t="shared" ref="E19:E26" si="2">SUM(F19:G19)</f>
        <v>0</v>
      </c>
      <c r="F19" s="2993"/>
      <c r="G19" s="2994"/>
      <c r="H19" s="945" t="e">
        <f>ROUND($D$3*I19/$E$3,2)</f>
        <v>#DIV/0!</v>
      </c>
      <c r="I19" s="116" t="e">
        <f>IF($I$17="自定义",P19,M19)</f>
        <v>#DIV/0!</v>
      </c>
      <c r="J19" s="1852"/>
      <c r="K19" s="2374" t="e">
        <f t="shared" ref="K19:K26" si="3">ROUND(E$28*E19/E$27,2)</f>
        <v>#DIV/0!</v>
      </c>
      <c r="L19" s="273">
        <f t="shared" ref="L19:L26" si="4">ROUND(IF(COUNTIF(C19,"*住宅*")&gt;0,E$29*E19/E$32,0),2)</f>
        <v>0</v>
      </c>
      <c r="M19" s="2375" t="e">
        <f>K19+L19</f>
        <v>#DIV/0!</v>
      </c>
      <c r="N19" s="2376"/>
      <c r="O19" s="2377"/>
      <c r="P19" s="2378">
        <f>N19+O19</f>
        <v>0</v>
      </c>
      <c r="R19" s="273" t="e">
        <f t="shared" ref="R19:S26" si="5">D19+H19</f>
        <v>#DIV/0!</v>
      </c>
      <c r="S19" s="2135" t="e">
        <f t="shared" si="5"/>
        <v>#DIV/0!</v>
      </c>
    </row>
    <row r="20" spans="1:19">
      <c r="A20" s="137"/>
      <c r="B20" s="115" t="s">
        <v>226</v>
      </c>
      <c r="C20" s="2659"/>
      <c r="D20" s="111" t="e">
        <f t="shared" si="1"/>
        <v>#DIV/0!</v>
      </c>
      <c r="E20" s="134">
        <f t="shared" si="2"/>
        <v>0</v>
      </c>
      <c r="F20" s="2993"/>
      <c r="G20" s="2994"/>
      <c r="H20" s="945" t="e">
        <f t="shared" ref="H20:H26" si="6">ROUND($D$3*I20/$E$3,2)</f>
        <v>#DIV/0!</v>
      </c>
      <c r="I20" s="116" t="e">
        <f t="shared" ref="I20:I26" si="7">IF($I$17="自定义",P20,M20)</f>
        <v>#DIV/0!</v>
      </c>
      <c r="J20" s="1852"/>
      <c r="K20" s="2374" t="e">
        <f t="shared" si="3"/>
        <v>#DIV/0!</v>
      </c>
      <c r="L20" s="273">
        <f t="shared" si="4"/>
        <v>0</v>
      </c>
      <c r="M20" s="2375" t="e">
        <f t="shared" ref="M20:M26" si="8">K20+L20</f>
        <v>#DIV/0!</v>
      </c>
      <c r="N20" s="2376"/>
      <c r="O20" s="2377"/>
      <c r="P20" s="2378">
        <f t="shared" ref="P20:P26" si="9">N20+O20</f>
        <v>0</v>
      </c>
      <c r="R20" s="273" t="e">
        <f t="shared" si="5"/>
        <v>#DIV/0!</v>
      </c>
      <c r="S20" s="2135" t="e">
        <f t="shared" si="5"/>
        <v>#DIV/0!</v>
      </c>
    </row>
    <row r="21" spans="1:19">
      <c r="A21" s="137"/>
      <c r="B21" s="115" t="s">
        <v>226</v>
      </c>
      <c r="C21" s="2659"/>
      <c r="D21" s="111" t="e">
        <f t="shared" si="1"/>
        <v>#DIV/0!</v>
      </c>
      <c r="E21" s="134">
        <f t="shared" si="2"/>
        <v>0</v>
      </c>
      <c r="F21" s="2993"/>
      <c r="G21" s="2994"/>
      <c r="H21" s="945" t="e">
        <f t="shared" si="6"/>
        <v>#DIV/0!</v>
      </c>
      <c r="I21" s="116" t="e">
        <f t="shared" si="7"/>
        <v>#DIV/0!</v>
      </c>
      <c r="J21" s="1852"/>
      <c r="K21" s="2374" t="e">
        <f t="shared" si="3"/>
        <v>#DIV/0!</v>
      </c>
      <c r="L21" s="273">
        <f t="shared" si="4"/>
        <v>0</v>
      </c>
      <c r="M21" s="2375" t="e">
        <f t="shared" si="8"/>
        <v>#DIV/0!</v>
      </c>
      <c r="N21" s="2376"/>
      <c r="O21" s="2377"/>
      <c r="P21" s="2378">
        <f t="shared" si="9"/>
        <v>0</v>
      </c>
      <c r="R21" s="273" t="e">
        <f t="shared" si="5"/>
        <v>#DIV/0!</v>
      </c>
      <c r="S21" s="2135" t="e">
        <f t="shared" si="5"/>
        <v>#DIV/0!</v>
      </c>
    </row>
    <row r="22" spans="1:19">
      <c r="A22" s="137"/>
      <c r="B22" s="115" t="s">
        <v>226</v>
      </c>
      <c r="C22" s="1274"/>
      <c r="D22" s="111" t="e">
        <f t="shared" si="1"/>
        <v>#DIV/0!</v>
      </c>
      <c r="E22" s="134">
        <f t="shared" si="2"/>
        <v>0</v>
      </c>
      <c r="F22" s="2995"/>
      <c r="G22" s="2996"/>
      <c r="H22" s="945" t="e">
        <f t="shared" si="6"/>
        <v>#DIV/0!</v>
      </c>
      <c r="I22" s="116" t="e">
        <f t="shared" si="7"/>
        <v>#DIV/0!</v>
      </c>
      <c r="J22" s="1852"/>
      <c r="K22" s="2374" t="e">
        <f t="shared" si="3"/>
        <v>#DIV/0!</v>
      </c>
      <c r="L22" s="273">
        <f t="shared" si="4"/>
        <v>0</v>
      </c>
      <c r="M22" s="2375" t="e">
        <f t="shared" si="8"/>
        <v>#DIV/0!</v>
      </c>
      <c r="N22" s="2376"/>
      <c r="O22" s="2377"/>
      <c r="P22" s="2378">
        <f t="shared" si="9"/>
        <v>0</v>
      </c>
      <c r="R22" s="273" t="e">
        <f t="shared" si="5"/>
        <v>#DIV/0!</v>
      </c>
      <c r="S22" s="2135" t="e">
        <f t="shared" si="5"/>
        <v>#DIV/0!</v>
      </c>
    </row>
    <row r="23" spans="1:19">
      <c r="A23" s="137"/>
      <c r="B23" s="115" t="s">
        <v>226</v>
      </c>
      <c r="C23" s="138"/>
      <c r="D23" s="111" t="e">
        <f>ROUND($D$3*E23/$E$3,2)</f>
        <v>#DIV/0!</v>
      </c>
      <c r="E23" s="134">
        <f>SUM(F23:G23)</f>
        <v>0</v>
      </c>
      <c r="F23" s="2995"/>
      <c r="G23" s="2996"/>
      <c r="H23" s="945" t="e">
        <f>ROUND($D$3*I23/$E$3,2)</f>
        <v>#DIV/0!</v>
      </c>
      <c r="I23" s="116" t="e">
        <f t="shared" si="7"/>
        <v>#DIV/0!</v>
      </c>
      <c r="J23" s="1852"/>
      <c r="K23" s="2374" t="e">
        <f t="shared" si="3"/>
        <v>#DIV/0!</v>
      </c>
      <c r="L23" s="273">
        <f t="shared" si="4"/>
        <v>0</v>
      </c>
      <c r="M23" s="2375" t="e">
        <f t="shared" si="8"/>
        <v>#DIV/0!</v>
      </c>
      <c r="N23" s="2376"/>
      <c r="O23" s="2377"/>
      <c r="P23" s="2378">
        <f t="shared" si="9"/>
        <v>0</v>
      </c>
      <c r="R23" s="273" t="e">
        <f t="shared" si="5"/>
        <v>#DIV/0!</v>
      </c>
      <c r="S23" s="2135" t="e">
        <f t="shared" si="5"/>
        <v>#DIV/0!</v>
      </c>
    </row>
    <row r="24" spans="1:19">
      <c r="A24" s="137"/>
      <c r="B24" s="115" t="s">
        <v>226</v>
      </c>
      <c r="C24" s="138"/>
      <c r="D24" s="111" t="e">
        <f>ROUND($D$3*E24/$E$3,2)</f>
        <v>#DIV/0!</v>
      </c>
      <c r="E24" s="134">
        <f>SUM(F24:G24)</f>
        <v>0</v>
      </c>
      <c r="F24" s="2995"/>
      <c r="G24" s="2996"/>
      <c r="H24" s="945" t="e">
        <f>ROUND($D$3*I24/$E$3,2)</f>
        <v>#DIV/0!</v>
      </c>
      <c r="I24" s="116" t="e">
        <f t="shared" si="7"/>
        <v>#DIV/0!</v>
      </c>
      <c r="J24" s="1852"/>
      <c r="K24" s="2374" t="e">
        <f t="shared" si="3"/>
        <v>#DIV/0!</v>
      </c>
      <c r="L24" s="273">
        <f t="shared" si="4"/>
        <v>0</v>
      </c>
      <c r="M24" s="2375" t="e">
        <f t="shared" si="8"/>
        <v>#DIV/0!</v>
      </c>
      <c r="N24" s="2376"/>
      <c r="O24" s="2377"/>
      <c r="P24" s="2378">
        <f t="shared" si="9"/>
        <v>0</v>
      </c>
      <c r="R24" s="273" t="e">
        <f t="shared" si="5"/>
        <v>#DIV/0!</v>
      </c>
      <c r="S24" s="2135" t="e">
        <f t="shared" si="5"/>
        <v>#DIV/0!</v>
      </c>
    </row>
    <row r="25" spans="1:19">
      <c r="A25" s="137"/>
      <c r="B25" s="115" t="s">
        <v>226</v>
      </c>
      <c r="C25" s="138"/>
      <c r="D25" s="111" t="e">
        <f t="shared" si="1"/>
        <v>#DIV/0!</v>
      </c>
      <c r="E25" s="134">
        <f t="shared" si="2"/>
        <v>0</v>
      </c>
      <c r="F25" s="2995"/>
      <c r="G25" s="2996"/>
      <c r="H25" s="110" t="e">
        <f t="shared" si="6"/>
        <v>#DIV/0!</v>
      </c>
      <c r="I25" s="116" t="e">
        <f t="shared" si="7"/>
        <v>#DIV/0!</v>
      </c>
      <c r="J25" s="1852"/>
      <c r="K25" s="2374" t="e">
        <f t="shared" si="3"/>
        <v>#DIV/0!</v>
      </c>
      <c r="L25" s="273">
        <f t="shared" si="4"/>
        <v>0</v>
      </c>
      <c r="M25" s="2375" t="e">
        <f t="shared" si="8"/>
        <v>#DIV/0!</v>
      </c>
      <c r="N25" s="2376"/>
      <c r="O25" s="2377"/>
      <c r="P25" s="2378">
        <f t="shared" si="9"/>
        <v>0</v>
      </c>
      <c r="R25" s="273" t="e">
        <f t="shared" si="5"/>
        <v>#DIV/0!</v>
      </c>
      <c r="S25" s="2135" t="e">
        <f t="shared" si="5"/>
        <v>#DIV/0!</v>
      </c>
    </row>
    <row r="26" spans="1:19">
      <c r="A26" s="137"/>
      <c r="B26" s="115" t="s">
        <v>226</v>
      </c>
      <c r="C26" s="140"/>
      <c r="D26" s="111" t="e">
        <f t="shared" si="1"/>
        <v>#DIV/0!</v>
      </c>
      <c r="E26" s="134">
        <f t="shared" si="2"/>
        <v>0</v>
      </c>
      <c r="F26" s="2995"/>
      <c r="G26" s="2996"/>
      <c r="H26" s="110" t="e">
        <f t="shared" si="6"/>
        <v>#DIV/0!</v>
      </c>
      <c r="I26" s="116" t="e">
        <f t="shared" si="7"/>
        <v>#DIV/0!</v>
      </c>
      <c r="J26" s="1852"/>
      <c r="K26" s="2379" t="e">
        <f t="shared" si="3"/>
        <v>#DIV/0!</v>
      </c>
      <c r="L26" s="278">
        <f t="shared" si="4"/>
        <v>0</v>
      </c>
      <c r="M26" s="144" t="e">
        <f t="shared" si="8"/>
        <v>#DIV/0!</v>
      </c>
      <c r="N26" s="2380"/>
      <c r="O26" s="2381"/>
      <c r="P26" s="2382">
        <f t="shared" si="9"/>
        <v>0</v>
      </c>
      <c r="R26" s="273" t="e">
        <f t="shared" si="5"/>
        <v>#DIV/0!</v>
      </c>
      <c r="S26" s="2135" t="e">
        <f t="shared" si="5"/>
        <v>#DIV/0!</v>
      </c>
    </row>
    <row r="27" spans="1:19" ht="15.7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6" t="e">
        <f>SUM(H19:H26)</f>
        <v>#DIV/0!</v>
      </c>
      <c r="I27" s="947" t="e">
        <f>SUM(I19:I26)</f>
        <v>#DIV/0!</v>
      </c>
      <c r="J27" s="1852"/>
      <c r="K27" s="2383" t="e">
        <f>SUM(K19:K26)</f>
        <v>#DIV/0!</v>
      </c>
      <c r="L27" s="2384">
        <f>SUM(L19:L26)</f>
        <v>0</v>
      </c>
      <c r="M27" s="2385" t="e">
        <f>SUM(M19:M26)</f>
        <v>#DIV/0!</v>
      </c>
      <c r="N27" s="2383">
        <f t="shared" ref="N27:O27" si="10">SUM(N19:N26)</f>
        <v>0</v>
      </c>
      <c r="O27" s="2384">
        <f t="shared" si="10"/>
        <v>0</v>
      </c>
      <c r="P27" s="2386">
        <f>SUM(P19:P26)</f>
        <v>0</v>
      </c>
      <c r="R27" s="2139" t="e">
        <f>IF(SUM(R19:R26)=$D$3,SUM(R19:R26),SUM(R19:R26)&amp;"误差"&amp;ROUND(SUM(R19:R26)-$D$3,2))</f>
        <v>#DIV/0!</v>
      </c>
      <c r="S27" s="273" t="e">
        <f>IF(SUM(S19:S26)=$E$3,SUM(S19:S26),SUM(S19:S26)&amp;"误差"&amp;ROUND(SUM(S19:S26)-E3,2))</f>
        <v>#DIV/0!</v>
      </c>
    </row>
    <row r="28" spans="1:19">
      <c r="A28" s="137"/>
      <c r="B28" s="115" t="s">
        <v>227</v>
      </c>
      <c r="C28" s="135" t="s">
        <v>228</v>
      </c>
      <c r="D28" s="111" t="e">
        <f>ROUND($D$3*E28/$E$3,2)</f>
        <v>#DIV/0!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2109</v>
      </c>
      <c r="D29" s="111" t="e">
        <f>ROUND($D$3*E29/$E$3,2)</f>
        <v>#DIV/0!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t="e">
        <f>SUM(D28:D29)</f>
        <v>#DIV/0!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2111</v>
      </c>
      <c r="D31" s="1279" t="e">
        <f>D27+D30</f>
        <v>#DIV/0!</v>
      </c>
      <c r="E31" s="1279">
        <f>E27+E30</f>
        <v>0</v>
      </c>
      <c r="F31" s="1280">
        <f>F27+F30</f>
        <v>0</v>
      </c>
      <c r="G31" s="1281">
        <f>G27+G30</f>
        <v>0</v>
      </c>
      <c r="H31" s="2991"/>
      <c r="I31" s="2991"/>
      <c r="J31" s="2991"/>
      <c r="K31" s="2991"/>
      <c r="L31" s="2991"/>
      <c r="M31" s="2991"/>
      <c r="N31" s="2991"/>
      <c r="O31" s="2991"/>
      <c r="P31" s="2991"/>
    </row>
    <row r="32" spans="1:19">
      <c r="A32" s="1852"/>
      <c r="B32" s="2176" t="s">
        <v>2110</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H6" sqref="H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43923</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c r="O5" s="161" t="s">
        <v>246</v>
      </c>
      <c r="P5" s="163" t="s">
        <v>247</v>
      </c>
      <c r="Q5" s="164" t="s">
        <v>248</v>
      </c>
      <c r="R5" s="165" t="s">
        <v>249</v>
      </c>
      <c r="S5" s="2387" t="s">
        <v>2289</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2112</v>
      </c>
      <c r="AI5" s="169" t="s">
        <v>2081</v>
      </c>
      <c r="AJ5" s="169" t="s">
        <v>258</v>
      </c>
      <c r="AK5" s="157" t="s">
        <v>259</v>
      </c>
      <c r="AL5" s="157" t="s">
        <v>260</v>
      </c>
      <c r="AM5" s="170" t="s">
        <v>261</v>
      </c>
      <c r="AN5" s="2200" t="s">
        <v>2159</v>
      </c>
      <c r="AO5" s="3012"/>
      <c r="AP5" s="2997" t="s">
        <v>2704</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f>'数据-汇总表'!C19</f>
        <v>0</v>
      </c>
      <c r="B6" s="2171" t="str">
        <f>IF(A6=0,"","经营性")</f>
        <v/>
      </c>
      <c r="C6" s="171" t="s">
        <v>960</v>
      </c>
      <c r="D6" s="2142">
        <f>SUMIF(项目基本情况!D$15:I$15,C6,项目基本情况!D$18:I$18)</f>
        <v>50</v>
      </c>
      <c r="E6" s="2143" t="str">
        <f>IF(B6="","",SUMIF(项目基本情况!D$15:I$15,C6,项目基本情况!D$17:I$17))</f>
        <v/>
      </c>
      <c r="F6" s="172">
        <f>SUMIF(项目基本情况!D$15:I$15,C6,项目基本情况!D$19:I$19)</f>
        <v>50</v>
      </c>
      <c r="G6" s="173">
        <f>IF(ISERROR(ROUND(POWER(1+H6,D6-F6)*(POWER(1+H6,F6)-1)/(POWER(1+H6,D6)-1),3)),0,ROUND(POWER(1+H6,D6-F6)*(POWER(1+H6,F6)-1)/(POWER(1+H6,D6)-1),3))</f>
        <v>0</v>
      </c>
      <c r="H6" s="2660"/>
      <c r="I6" s="2660"/>
      <c r="J6" s="174"/>
      <c r="K6" s="177">
        <f>SUMIF('数据-汇总表'!C$19:C$33,'数据-取费表'!A6,'数据-汇总表'!E$19:E$33)</f>
        <v>0</v>
      </c>
      <c r="L6" s="2661"/>
      <c r="M6" s="175">
        <f t="shared" ref="M6:M14" si="0">ROUND(K6*L6/10000,0)</f>
        <v>0</v>
      </c>
      <c r="N6" s="2662"/>
      <c r="O6" s="175">
        <f>IF($N$5="成新度","——",ROUND(M6*N6,0))</f>
        <v>0</v>
      </c>
      <c r="P6" s="176">
        <f>IF($N$5="成新度","——",M6-O6)</f>
        <v>0</v>
      </c>
      <c r="Q6" s="2663"/>
      <c r="R6" s="177">
        <f>SUMIF('数据-汇总表'!C$19:C$33,A6,'数据-汇总表'!R$19:R$33)</f>
        <v>0</v>
      </c>
      <c r="S6" s="132">
        <f>IF('数据-汇总表'!$I$17="按面积比例",SUMIF('数据-汇总表'!C$19:C$33,A6,'数据-汇总表'!K$19:K$33),SUMIF('数据-汇总表'!C$19:C$33,A6,'数据-汇总表'!N$19:N$33))</f>
        <v>0</v>
      </c>
      <c r="T6" s="2068" t="str">
        <f>IF($T$4="按面积比例",IF(ISERROR(ROUND($M$14*S6/S$16,0)),"0",ROUND($M$14*S6/S$16,0)),"需自行计算录入")</f>
        <v>0</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2"/>
      <c r="AN6" s="2201"/>
      <c r="AO6" s="3001"/>
      <c r="AP6" s="1151">
        <f>ROUND(1-1/(1+H6)^F6,3)</f>
        <v>0</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2103</v>
      </c>
      <c r="B14" s="2140" t="s">
        <v>1478</v>
      </c>
      <c r="C14" s="2141" t="s">
        <v>2103</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2105</v>
      </c>
      <c r="B15" s="2140" t="s">
        <v>1478</v>
      </c>
      <c r="C15" s="2141" t="s">
        <v>2104</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45">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t="e">
        <f>ROUND(SUMPRODUCT(AP6:AP13,K6:K13)/SUMPRODUCT((AP6:AP13&gt;0)*(K6:K13)),3)</f>
        <v>#DIV/0!</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c r="C19" s="3013" t="s">
        <v>2716</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c r="C20" s="3013" t="s">
        <v>2124</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0</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2126</v>
      </c>
      <c r="B27" s="225"/>
      <c r="C27" s="3014" t="s">
        <v>2717</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2127</v>
      </c>
      <c r="B28" s="227"/>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2125</v>
      </c>
      <c r="B29" s="230"/>
      <c r="C29" s="3015" t="s">
        <v>2128</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c r="C33" s="3016" t="s">
        <v>2705</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c r="C34" s="3016" t="s">
        <v>2706</v>
      </c>
      <c r="D34" s="3017" t="s">
        <v>2713</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c r="C35" s="3016" t="s">
        <v>2707</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c r="C36" s="3016" t="s">
        <v>2708</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c r="C37" s="3016" t="s">
        <v>2709</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c r="C38" s="3016" t="s">
        <v>2709</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2235</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2732</v>
      </c>
      <c r="B40" s="2288" t="e">
        <f ca="1">IF(A40="利息：取LPR",存贷款利率!E2,存贷款利率!E2+C40)</f>
        <v>#VALUE!</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0</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c r="C42" s="3018">
        <f>IF(B2&lt;DATE(2016,5,1),0,B42)</f>
        <v>0</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0</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c r="C44" s="3016" t="s">
        <v>2714</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c r="C45" s="3019" t="s">
        <v>2710</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c r="C46" s="3019" t="s">
        <v>2711</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2718</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c r="C48" s="3019" t="s">
        <v>2710</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c r="C49" s="3019" t="s">
        <v>2712</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0</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c r="C53" s="3009" t="s">
        <v>2605</v>
      </c>
      <c r="D53" s="3020" t="s">
        <v>2715</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2606</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2607</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2608</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2609</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2610</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2611</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2612</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2613</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2614</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2615</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40" t="s">
        <v>1462</v>
      </c>
      <c r="B1" s="3541"/>
      <c r="C1" s="3541"/>
      <c r="D1" s="3541"/>
      <c r="E1" s="3541"/>
      <c r="F1" s="3541"/>
      <c r="G1" s="3541"/>
      <c r="H1" s="3021"/>
      <c r="I1" s="3022"/>
      <c r="J1" s="3023"/>
      <c r="K1" s="3021"/>
      <c r="L1" s="3022"/>
      <c r="M1" s="3023"/>
      <c r="N1" s="3021"/>
      <c r="O1" s="3022"/>
      <c r="P1" s="3023"/>
      <c r="Q1" s="3024"/>
      <c r="R1" s="3025"/>
    </row>
    <row r="2" spans="1:18" ht="14.25" thickBot="1">
      <c r="A2" s="3027"/>
      <c r="B2" s="3028"/>
      <c r="C2" s="3029" t="s">
        <v>1463</v>
      </c>
      <c r="D2" s="3030"/>
      <c r="E2" s="3027"/>
      <c r="F2" s="3031"/>
      <c r="G2" s="3029" t="s">
        <v>1464</v>
      </c>
      <c r="H2" s="3032"/>
      <c r="I2" s="3032"/>
      <c r="J2" s="3032"/>
      <c r="K2" s="3032"/>
      <c r="L2" s="3032"/>
      <c r="M2" s="3032"/>
      <c r="N2" s="3032"/>
      <c r="O2" s="3032"/>
      <c r="P2" s="3032"/>
      <c r="Q2" s="3032"/>
      <c r="R2" s="3032"/>
    </row>
    <row r="3" spans="1:18" ht="40.5">
      <c r="A3" s="3033" t="s">
        <v>1465</v>
      </c>
      <c r="B3" s="3034" t="s">
        <v>1452</v>
      </c>
      <c r="C3" s="3035" t="s">
        <v>2622</v>
      </c>
      <c r="D3" s="3036"/>
      <c r="E3" s="3037" t="s">
        <v>1465</v>
      </c>
      <c r="F3" s="3038" t="s">
        <v>1453</v>
      </c>
      <c r="G3" s="3039" t="s">
        <v>2621</v>
      </c>
      <c r="H3" s="3032"/>
      <c r="I3" s="3032"/>
      <c r="J3" s="3032"/>
      <c r="K3" s="3032"/>
      <c r="L3" s="3032"/>
      <c r="M3" s="3032"/>
      <c r="N3" s="3032"/>
      <c r="O3" s="3032"/>
      <c r="P3" s="3032"/>
      <c r="Q3" s="3032"/>
      <c r="R3" s="3032"/>
    </row>
    <row r="4" spans="1:18" ht="40.5">
      <c r="A4" s="3037"/>
      <c r="B4" s="3040" t="s">
        <v>1466</v>
      </c>
      <c r="C4" s="3041" t="s">
        <v>2623</v>
      </c>
      <c r="D4" s="3036"/>
      <c r="E4" s="3042"/>
      <c r="F4" s="3043" t="s">
        <v>1467</v>
      </c>
      <c r="G4" s="3044" t="s">
        <v>2618</v>
      </c>
      <c r="H4" s="3032"/>
      <c r="I4" s="3032"/>
      <c r="J4" s="3032"/>
      <c r="K4" s="3032"/>
      <c r="L4" s="3032"/>
      <c r="M4" s="3032"/>
      <c r="N4" s="3032"/>
      <c r="O4" s="3032"/>
      <c r="P4" s="3032"/>
      <c r="Q4" s="3032"/>
      <c r="R4" s="3032"/>
    </row>
    <row r="5" spans="1:18" ht="41.25">
      <c r="A5" s="3037"/>
      <c r="B5" s="3040" t="s">
        <v>1468</v>
      </c>
      <c r="C5" s="3041" t="s">
        <v>2624</v>
      </c>
      <c r="D5" s="3036"/>
      <c r="E5" s="3042"/>
      <c r="F5" s="3040" t="s">
        <v>2263</v>
      </c>
      <c r="G5" s="3044" t="s">
        <v>2619</v>
      </c>
      <c r="H5" s="3032"/>
      <c r="I5" s="3032"/>
      <c r="J5" s="3032"/>
      <c r="K5" s="3032"/>
      <c r="L5" s="3032"/>
      <c r="M5" s="3032"/>
      <c r="N5" s="3032"/>
      <c r="O5" s="3032"/>
      <c r="P5" s="3032"/>
      <c r="Q5" s="3032"/>
      <c r="R5" s="3032"/>
    </row>
    <row r="6" spans="1:18" ht="40.5">
      <c r="A6" s="3037"/>
      <c r="B6" s="3040" t="s">
        <v>1454</v>
      </c>
      <c r="C6" s="3044" t="s">
        <v>2618</v>
      </c>
      <c r="D6" s="3036"/>
      <c r="E6" s="3042"/>
      <c r="F6" s="3040" t="s">
        <v>2264</v>
      </c>
      <c r="G6" s="3044" t="s">
        <v>2616</v>
      </c>
      <c r="H6" s="3032"/>
      <c r="I6" s="3032"/>
      <c r="J6" s="3032"/>
      <c r="K6" s="3032"/>
      <c r="L6" s="3032"/>
      <c r="M6" s="3032"/>
      <c r="N6" s="3032"/>
      <c r="O6" s="3032"/>
      <c r="P6" s="3032"/>
      <c r="Q6" s="3032"/>
      <c r="R6" s="3032"/>
    </row>
    <row r="7" spans="1:18" ht="27.75" thickBot="1">
      <c r="A7" s="3037"/>
      <c r="B7" s="3040" t="s">
        <v>2263</v>
      </c>
      <c r="C7" s="3044" t="s">
        <v>2619</v>
      </c>
      <c r="D7" s="3045"/>
      <c r="E7" s="3046"/>
      <c r="F7" s="3047" t="s">
        <v>1469</v>
      </c>
      <c r="G7" s="3048" t="s">
        <v>2620</v>
      </c>
      <c r="H7" s="3032"/>
      <c r="I7" s="3032"/>
      <c r="J7" s="3032"/>
      <c r="K7" s="3032"/>
      <c r="L7" s="3032"/>
      <c r="M7" s="3032"/>
      <c r="N7" s="3032"/>
      <c r="O7" s="3032"/>
      <c r="P7" s="3032"/>
      <c r="Q7" s="3032"/>
      <c r="R7" s="3032"/>
    </row>
    <row r="8" spans="1:18">
      <c r="A8" s="3037"/>
      <c r="B8" s="3040" t="s">
        <v>2264</v>
      </c>
      <c r="C8" s="3044" t="s">
        <v>2616</v>
      </c>
      <c r="D8" s="3045"/>
      <c r="E8" s="3045"/>
      <c r="F8" s="3049"/>
      <c r="G8" s="3049"/>
      <c r="H8" s="3032"/>
      <c r="I8" s="3032"/>
      <c r="J8" s="3032"/>
      <c r="K8" s="3032"/>
      <c r="L8" s="3032"/>
      <c r="M8" s="3032"/>
      <c r="N8" s="3032"/>
      <c r="O8" s="3032"/>
      <c r="P8" s="3032"/>
      <c r="Q8" s="3032"/>
      <c r="R8" s="3032"/>
    </row>
    <row r="9" spans="1:18" ht="27">
      <c r="A9" s="3037"/>
      <c r="B9" s="3040" t="s">
        <v>1455</v>
      </c>
      <c r="C9" s="3041" t="s">
        <v>2617</v>
      </c>
      <c r="D9" s="3036"/>
      <c r="E9" s="3045"/>
      <c r="F9" s="3049"/>
      <c r="G9" s="3049"/>
      <c r="H9" s="3032"/>
      <c r="I9" s="3032"/>
      <c r="J9" s="3032"/>
      <c r="K9" s="3032"/>
      <c r="L9" s="3032"/>
      <c r="M9" s="3032"/>
      <c r="N9" s="3032"/>
      <c r="O9" s="3032"/>
      <c r="P9" s="3032"/>
      <c r="Q9" s="3032"/>
      <c r="R9" s="3032"/>
    </row>
    <row r="10" spans="1:18" s="3056" customFormat="1" ht="15" thickBot="1">
      <c r="A10" s="3050"/>
      <c r="B10" s="3051" t="s">
        <v>1470</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1471</v>
      </c>
      <c r="B13" s="3059"/>
      <c r="C13" s="3059"/>
      <c r="D13" s="3030"/>
      <c r="E13" s="3059"/>
      <c r="F13" s="3059"/>
      <c r="G13" s="3059"/>
    </row>
    <row r="14" spans="1:18" ht="14.25" thickBot="1">
      <c r="A14" s="3071"/>
      <c r="B14" s="3071"/>
      <c r="C14" s="3072" t="s">
        <v>1463</v>
      </c>
      <c r="D14" s="3036"/>
      <c r="E14" s="3073"/>
      <c r="F14" s="3073"/>
      <c r="G14" s="3029" t="s">
        <v>1464</v>
      </c>
    </row>
    <row r="15" spans="1:18" ht="40.5">
      <c r="A15" s="3074" t="s">
        <v>1456</v>
      </c>
      <c r="B15" s="3075" t="s">
        <v>1452</v>
      </c>
      <c r="C15" s="3076" t="str">
        <f>C3</f>
        <v>估价对象周边居住用地比例、居住小区规模和社区发展完善程度，综合评价居住社区成熟度一般</v>
      </c>
      <c r="D15" s="3036"/>
      <c r="E15" s="3077" t="s">
        <v>1457</v>
      </c>
      <c r="F15" s="3075" t="s">
        <v>1472</v>
      </c>
      <c r="G15" s="3078" t="str">
        <f>G3</f>
        <v>估价对象位于XX开发区，园区建设成熟度XX，产业集聚程度XX</v>
      </c>
    </row>
    <row r="16" spans="1:18" ht="40.5">
      <c r="A16" s="3079"/>
      <c r="B16" s="3080" t="s">
        <v>1466</v>
      </c>
      <c r="C16" s="3081" t="str">
        <f>C4</f>
        <v>估价对象位于XX商圈，周边商业氛围成熟，人流量大，商业繁华度好</v>
      </c>
      <c r="D16" s="3036"/>
      <c r="E16" s="3082"/>
      <c r="F16" s="3083" t="s">
        <v>1467</v>
      </c>
      <c r="G16" s="3084" t="str">
        <f>G4</f>
        <v>估价对象周边道路状况、公共交通通达情况、停车便捷程度，综合评价交通便捷度较好</v>
      </c>
    </row>
    <row r="17" spans="1:7" ht="40.5">
      <c r="A17" s="3079"/>
      <c r="B17" s="3080" t="s">
        <v>1468</v>
      </c>
      <c r="C17" s="3081" t="str">
        <f>C5</f>
        <v>估价对象位于XX商圈，周边办公楼项目较多，入驻率高，办公集聚程度较好</v>
      </c>
      <c r="D17" s="3045"/>
      <c r="E17" s="3082"/>
      <c r="F17" s="3083" t="s">
        <v>1473</v>
      </c>
      <c r="G17" s="3085"/>
    </row>
    <row r="18" spans="1:7" ht="40.5">
      <c r="A18" s="3079"/>
      <c r="B18" s="3083" t="s">
        <v>1454</v>
      </c>
      <c r="C18" s="3084" t="str">
        <f>C6</f>
        <v>估价对象周边道路状况、公共交通通达情况、停车便捷程度，综合评价交通便捷度较好</v>
      </c>
      <c r="D18" s="3045"/>
      <c r="E18" s="3082"/>
      <c r="F18" s="3083" t="s">
        <v>1469</v>
      </c>
      <c r="G18" s="3084" t="str">
        <f>G7</f>
        <v>该园区内是否有污染型企业，绿化情况，卫生条件，整体环境状况判断</v>
      </c>
    </row>
    <row r="19" spans="1:7" ht="27">
      <c r="A19" s="3079"/>
      <c r="B19" s="3083" t="s">
        <v>1458</v>
      </c>
      <c r="C19" s="3085"/>
      <c r="D19" s="3036"/>
      <c r="E19" s="3082"/>
      <c r="F19" s="3040" t="s">
        <v>2263</v>
      </c>
      <c r="G19" s="3084" t="str">
        <f>G5</f>
        <v>估价对象所在区域公共配套设施齐备情况</v>
      </c>
    </row>
    <row r="20" spans="1:7" ht="27">
      <c r="A20" s="3079"/>
      <c r="B20" s="3083" t="s">
        <v>1459</v>
      </c>
      <c r="C20" s="3081" t="str">
        <f>C9</f>
        <v>区域自然环境：；人文环境；综合评价环境状况一般</v>
      </c>
      <c r="D20" s="3045"/>
      <c r="E20" s="3082"/>
      <c r="F20" s="3040" t="s">
        <v>2264</v>
      </c>
      <c r="G20" s="3084" t="str">
        <f>G6</f>
        <v>估价对象所在区域基础设施水平</v>
      </c>
    </row>
    <row r="21" spans="1:7" ht="27">
      <c r="A21" s="3079"/>
      <c r="B21" s="3040" t="s">
        <v>2263</v>
      </c>
      <c r="C21" s="3084" t="str">
        <f>C7</f>
        <v>估价对象所在区域公共配套设施齐备情况</v>
      </c>
      <c r="D21" s="3036"/>
      <c r="E21" s="3082"/>
      <c r="F21" s="3083" t="s">
        <v>1460</v>
      </c>
      <c r="G21" s="3086"/>
    </row>
    <row r="22" spans="1:7" ht="14.25">
      <c r="A22" s="3079"/>
      <c r="B22" s="3040" t="s">
        <v>2264</v>
      </c>
      <c r="C22" s="3084" t="str">
        <f>C8</f>
        <v>估价对象所在区域基础设施水平</v>
      </c>
      <c r="D22" s="3036"/>
      <c r="E22" s="3082"/>
      <c r="F22" s="3083" t="s">
        <v>1470</v>
      </c>
      <c r="G22" s="3085"/>
    </row>
    <row r="23" spans="1:7" ht="15" thickBot="1">
      <c r="A23" s="3079"/>
      <c r="B23" s="3083" t="s">
        <v>1460</v>
      </c>
      <c r="C23" s="3086"/>
      <c r="E23" s="3087"/>
      <c r="F23" s="3088" t="s">
        <v>1474</v>
      </c>
      <c r="G23" s="3089"/>
    </row>
    <row r="24" spans="1:7" ht="14.25" thickBot="1">
      <c r="A24" s="3090"/>
      <c r="B24" s="3088" t="s">
        <v>1461</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5" customWidth="1"/>
    <col min="2" max="16384" width="14.625" style="3095"/>
  </cols>
  <sheetData>
    <row r="1" spans="1:10" ht="16.5">
      <c r="A1" s="3094" t="s">
        <v>2556</v>
      </c>
      <c r="B1" s="3094">
        <f>SUM(B14:B23)</f>
        <v>0</v>
      </c>
      <c r="C1" s="3103"/>
      <c r="D1" s="3103"/>
      <c r="E1" s="3103"/>
      <c r="F1" s="3103"/>
      <c r="G1" s="3104"/>
      <c r="H1" s="3104"/>
      <c r="I1" s="3104"/>
      <c r="J1" s="3104"/>
    </row>
    <row r="2" spans="1:10" ht="16.5">
      <c r="A2" s="3094" t="s">
        <v>2557</v>
      </c>
      <c r="B2" s="3094" t="e">
        <f>SUM(C14:C23)</f>
        <v>#DIV/0!</v>
      </c>
      <c r="C2" s="3103"/>
      <c r="D2" s="3103"/>
      <c r="E2" s="3103"/>
      <c r="F2" s="3103"/>
      <c r="G2" s="3104"/>
      <c r="H2" s="3104"/>
      <c r="I2" s="3104"/>
      <c r="J2" s="3104"/>
    </row>
    <row r="3" spans="1:10" ht="16.5">
      <c r="A3" s="3094" t="s">
        <v>2558</v>
      </c>
      <c r="B3" s="3096">
        <f>项目基本情况!D3</f>
        <v>43923</v>
      </c>
      <c r="C3" s="3103"/>
      <c r="D3" s="3103"/>
      <c r="E3" s="3103"/>
      <c r="F3" s="3103"/>
      <c r="G3" s="3104"/>
      <c r="H3" s="3104"/>
      <c r="I3" s="3104"/>
      <c r="J3" s="3104"/>
    </row>
    <row r="4" spans="1:10" ht="33">
      <c r="A4" s="3094" t="s">
        <v>2559</v>
      </c>
      <c r="B4" s="3094" t="s">
        <v>2560</v>
      </c>
      <c r="C4" s="3094" t="s">
        <v>2561</v>
      </c>
      <c r="D4" s="3094" t="s">
        <v>2562</v>
      </c>
      <c r="E4" s="3103"/>
      <c r="F4" s="3103"/>
      <c r="G4" s="3104"/>
      <c r="H4" s="3104"/>
      <c r="I4" s="3104"/>
      <c r="J4" s="3104"/>
    </row>
    <row r="5" spans="1:10" ht="16.5">
      <c r="A5" s="3094" t="s">
        <v>2563</v>
      </c>
      <c r="B5" s="3094" t="e">
        <f ca="1">SUM(D14:D23)</f>
        <v>#REF!</v>
      </c>
      <c r="C5" s="3094" t="e">
        <f ca="1">ROUND(B5*10000/$B$1,0)</f>
        <v>#REF!</v>
      </c>
      <c r="D5" s="3094" t="e">
        <f ca="1">ROUND(B5*10000/$B$2,0)</f>
        <v>#REF!</v>
      </c>
      <c r="E5" s="3103"/>
      <c r="F5" s="3103"/>
      <c r="G5" s="3104"/>
      <c r="H5" s="3104"/>
      <c r="I5" s="3104"/>
      <c r="J5" s="3104"/>
    </row>
    <row r="6" spans="1:10" ht="16.5">
      <c r="A6" s="3094" t="s">
        <v>2564</v>
      </c>
      <c r="B6" s="3094">
        <f>SUM(G14:G23)</f>
        <v>0</v>
      </c>
      <c r="C6" s="3094" t="e">
        <f t="shared" ref="C6:C8" si="0">ROUND(B6*10000/$B$1,0)</f>
        <v>#DIV/0!</v>
      </c>
      <c r="D6" s="3094" t="e">
        <f t="shared" ref="D6:D8" si="1">ROUND(B6*10000/$B$2,0)</f>
        <v>#DIV/0!</v>
      </c>
      <c r="E6" s="3103"/>
      <c r="F6" s="3103"/>
      <c r="G6" s="3104"/>
      <c r="H6" s="3104"/>
      <c r="I6" s="3104"/>
      <c r="J6" s="3104"/>
    </row>
    <row r="7" spans="1:10" ht="16.5">
      <c r="A7" s="3094" t="s">
        <v>2565</v>
      </c>
      <c r="B7" s="3094">
        <f>SUM(H14:H23)</f>
        <v>0</v>
      </c>
      <c r="C7" s="3094" t="e">
        <f t="shared" si="0"/>
        <v>#DIV/0!</v>
      </c>
      <c r="D7" s="3094" t="e">
        <f t="shared" si="1"/>
        <v>#DIV/0!</v>
      </c>
      <c r="E7" s="3103"/>
      <c r="F7" s="3103"/>
      <c r="G7" s="3104"/>
      <c r="H7" s="3104"/>
      <c r="I7" s="3104"/>
      <c r="J7" s="3104"/>
    </row>
    <row r="8" spans="1:10" ht="16.5">
      <c r="A8" s="3094" t="s">
        <v>2566</v>
      </c>
      <c r="B8" s="3094">
        <f>SUM(I14:I23)</f>
        <v>0</v>
      </c>
      <c r="C8" s="3094" t="e">
        <f t="shared" si="0"/>
        <v>#DIV/0!</v>
      </c>
      <c r="D8" s="3094" t="e">
        <f t="shared" si="1"/>
        <v>#DIV/0!</v>
      </c>
      <c r="E8" s="3103"/>
      <c r="F8" s="3103"/>
      <c r="G8" s="3104"/>
      <c r="H8" s="3104"/>
      <c r="I8" s="3104"/>
      <c r="J8" s="3104"/>
    </row>
    <row r="9" spans="1:10" ht="16.5">
      <c r="A9" s="3094" t="s">
        <v>2567</v>
      </c>
      <c r="B9" s="3102"/>
      <c r="C9" s="3103"/>
      <c r="D9" s="3103"/>
      <c r="E9" s="3103"/>
      <c r="F9" s="3103"/>
      <c r="G9" s="3104"/>
      <c r="H9" s="3104"/>
      <c r="I9" s="3104"/>
      <c r="J9" s="3104"/>
    </row>
    <row r="10" spans="1:10" ht="16.5">
      <c r="A10" s="3094" t="s">
        <v>2568</v>
      </c>
      <c r="B10" s="3102"/>
      <c r="C10" s="3103"/>
      <c r="D10" s="3103"/>
      <c r="E10" s="3103"/>
      <c r="F10" s="3103"/>
      <c r="G10" s="3104"/>
      <c r="H10" s="3104"/>
      <c r="I10" s="3104"/>
      <c r="J10" s="3104"/>
    </row>
    <row r="11" spans="1:10" ht="16.5">
      <c r="A11" s="3094" t="s">
        <v>2585</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2584</v>
      </c>
      <c r="B13" s="3098" t="s">
        <v>2556</v>
      </c>
      <c r="C13" s="3098" t="s">
        <v>2557</v>
      </c>
      <c r="D13" s="3098" t="s">
        <v>2569</v>
      </c>
      <c r="E13" s="3094" t="s">
        <v>2583</v>
      </c>
      <c r="F13" s="3094" t="s">
        <v>2562</v>
      </c>
      <c r="G13" s="3098" t="s">
        <v>2570</v>
      </c>
      <c r="H13" s="3098" t="s">
        <v>2571</v>
      </c>
      <c r="I13" s="3098" t="s">
        <v>2572</v>
      </c>
      <c r="J13" s="3104"/>
    </row>
    <row r="14" spans="1:10" ht="16.5">
      <c r="A14" s="3099" t="s">
        <v>2582</v>
      </c>
      <c r="B14" s="3100">
        <f>结果表!L38</f>
        <v>0</v>
      </c>
      <c r="C14" s="3100" t="e">
        <f>结果表!K38</f>
        <v>#DIV/0!</v>
      </c>
      <c r="D14" s="3100" t="e">
        <f ca="1">结果表!C42</f>
        <v>#REF!</v>
      </c>
      <c r="E14" s="3100" t="e">
        <f ca="1">ROUND(D14*10000/B14,0)</f>
        <v>#REF!</v>
      </c>
      <c r="F14" s="3100" t="e">
        <f ca="1">ROUND(D14*10000/C14,0)</f>
        <v>#REF!</v>
      </c>
      <c r="G14" s="3100" t="str">
        <f>结果表!C44</f>
        <v>——</v>
      </c>
      <c r="H14" s="3100" t="str">
        <f>结果表!C45</f>
        <v>——</v>
      </c>
      <c r="I14" s="3100" t="str">
        <f>结果表!C46</f>
        <v>——</v>
      </c>
      <c r="J14" s="3104"/>
    </row>
    <row r="15" spans="1:10" ht="16.5">
      <c r="A15" s="3099" t="s">
        <v>2573</v>
      </c>
      <c r="B15" s="3101"/>
      <c r="C15" s="3101"/>
      <c r="D15" s="3101"/>
      <c r="E15" s="3100" t="e">
        <f t="shared" ref="E15:E23" si="2">ROUND(D15*10000/B15,0)</f>
        <v>#DIV/0!</v>
      </c>
      <c r="F15" s="3100" t="e">
        <f t="shared" ref="F15:F23" si="3">ROUND(D15*10000/C15,0)</f>
        <v>#DIV/0!</v>
      </c>
      <c r="G15" s="2676"/>
      <c r="H15" s="2676"/>
      <c r="I15" s="3101"/>
      <c r="J15" s="3104"/>
    </row>
    <row r="16" spans="1:10" ht="16.5">
      <c r="A16" s="3099" t="s">
        <v>2574</v>
      </c>
      <c r="B16" s="3101"/>
      <c r="C16" s="3101"/>
      <c r="D16" s="3101"/>
      <c r="E16" s="3100" t="e">
        <f t="shared" si="2"/>
        <v>#DIV/0!</v>
      </c>
      <c r="F16" s="3100" t="e">
        <f t="shared" si="3"/>
        <v>#DIV/0!</v>
      </c>
      <c r="G16" s="2676"/>
      <c r="H16" s="2676"/>
      <c r="I16" s="3101"/>
      <c r="J16" s="3104"/>
    </row>
    <row r="17" spans="1:10" ht="16.5">
      <c r="A17" s="3099" t="s">
        <v>2575</v>
      </c>
      <c r="B17" s="3101"/>
      <c r="C17" s="3101"/>
      <c r="D17" s="3101"/>
      <c r="E17" s="3100" t="e">
        <f t="shared" si="2"/>
        <v>#DIV/0!</v>
      </c>
      <c r="F17" s="3100" t="e">
        <f t="shared" si="3"/>
        <v>#DIV/0!</v>
      </c>
      <c r="G17" s="2676"/>
      <c r="H17" s="2676"/>
      <c r="I17" s="3101"/>
      <c r="J17" s="3104"/>
    </row>
    <row r="18" spans="1:10" ht="16.5">
      <c r="A18" s="3099" t="s">
        <v>2576</v>
      </c>
      <c r="B18" s="3101"/>
      <c r="C18" s="3101"/>
      <c r="D18" s="3101"/>
      <c r="E18" s="3100" t="e">
        <f t="shared" si="2"/>
        <v>#DIV/0!</v>
      </c>
      <c r="F18" s="3100" t="e">
        <f t="shared" si="3"/>
        <v>#DIV/0!</v>
      </c>
      <c r="G18" s="3101"/>
      <c r="H18" s="3101"/>
      <c r="I18" s="3101"/>
      <c r="J18" s="3104"/>
    </row>
    <row r="19" spans="1:10" ht="16.5">
      <c r="A19" s="3099" t="s">
        <v>2577</v>
      </c>
      <c r="B19" s="3101"/>
      <c r="C19" s="3101"/>
      <c r="D19" s="3101"/>
      <c r="E19" s="3100" t="e">
        <f t="shared" si="2"/>
        <v>#DIV/0!</v>
      </c>
      <c r="F19" s="3100" t="e">
        <f t="shared" si="3"/>
        <v>#DIV/0!</v>
      </c>
      <c r="G19" s="3101"/>
      <c r="H19" s="3101"/>
      <c r="I19" s="3101"/>
      <c r="J19" s="3104"/>
    </row>
    <row r="20" spans="1:10" ht="16.5">
      <c r="A20" s="3099" t="s">
        <v>2578</v>
      </c>
      <c r="B20" s="3101"/>
      <c r="C20" s="3101"/>
      <c r="D20" s="3101"/>
      <c r="E20" s="3100" t="e">
        <f t="shared" si="2"/>
        <v>#DIV/0!</v>
      </c>
      <c r="F20" s="3100" t="e">
        <f t="shared" si="3"/>
        <v>#DIV/0!</v>
      </c>
      <c r="G20" s="3101"/>
      <c r="H20" s="3101"/>
      <c r="I20" s="3101"/>
      <c r="J20" s="3104"/>
    </row>
    <row r="21" spans="1:10" ht="16.5">
      <c r="A21" s="3099" t="s">
        <v>2579</v>
      </c>
      <c r="B21" s="3101"/>
      <c r="C21" s="3101"/>
      <c r="D21" s="3101"/>
      <c r="E21" s="3100" t="e">
        <f t="shared" si="2"/>
        <v>#DIV/0!</v>
      </c>
      <c r="F21" s="3100" t="e">
        <f t="shared" si="3"/>
        <v>#DIV/0!</v>
      </c>
      <c r="G21" s="3101"/>
      <c r="H21" s="3101"/>
      <c r="I21" s="3101"/>
      <c r="J21" s="3104"/>
    </row>
    <row r="22" spans="1:10" ht="16.5">
      <c r="A22" s="3099" t="s">
        <v>2580</v>
      </c>
      <c r="B22" s="3101"/>
      <c r="C22" s="3101"/>
      <c r="D22" s="3101"/>
      <c r="E22" s="3100" t="e">
        <f t="shared" si="2"/>
        <v>#DIV/0!</v>
      </c>
      <c r="F22" s="3100" t="e">
        <f t="shared" si="3"/>
        <v>#DIV/0!</v>
      </c>
      <c r="G22" s="3101"/>
      <c r="H22" s="3101"/>
      <c r="I22" s="3101"/>
      <c r="J22" s="3104"/>
    </row>
    <row r="23" spans="1:10" ht="16.5">
      <c r="A23" s="3099" t="s">
        <v>2581</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1846</v>
      </c>
      <c r="B1" s="1647"/>
      <c r="C1" s="1675" t="s">
        <v>1847</v>
      </c>
      <c r="D1" s="1676"/>
      <c r="E1" s="1675" t="s">
        <v>1848</v>
      </c>
      <c r="F1" s="1677"/>
      <c r="G1" s="309"/>
      <c r="H1" s="309"/>
      <c r="I1" s="309"/>
      <c r="J1" s="1866"/>
      <c r="K1" s="1866"/>
      <c r="L1" s="1866"/>
      <c r="M1" s="1866"/>
      <c r="N1" s="1866"/>
      <c r="O1" s="1866"/>
      <c r="P1" s="1866"/>
      <c r="Q1" s="1866"/>
      <c r="R1" s="1866"/>
      <c r="S1" s="1866"/>
      <c r="T1" s="1866"/>
      <c r="U1" s="1866"/>
      <c r="V1" s="1866"/>
    </row>
    <row r="2" spans="1:22" ht="21.75" customHeight="1" thickBot="1">
      <c r="A2" s="3586" t="str">
        <f>项目基本情况!K2</f>
        <v>北京市划拨国有建设用地使用权</v>
      </c>
      <c r="B2" s="3587"/>
      <c r="C2" s="3588"/>
      <c r="D2" s="3588"/>
      <c r="E2" s="3588"/>
      <c r="F2" s="3588"/>
      <c r="G2" s="3587"/>
      <c r="H2" s="3587"/>
      <c r="I2" s="3589"/>
      <c r="J2" s="1867"/>
      <c r="K2" s="1866"/>
      <c r="L2" s="1866"/>
      <c r="M2" s="1866"/>
      <c r="N2" s="1866"/>
      <c r="O2" s="1866"/>
      <c r="P2" s="1866"/>
      <c r="Q2" s="1866"/>
      <c r="R2" s="1866"/>
      <c r="S2" s="1866"/>
      <c r="T2" s="1866"/>
      <c r="U2" s="1866"/>
      <c r="V2" s="1866"/>
    </row>
    <row r="3" spans="1:22" ht="14.25">
      <c r="A3" s="3579" t="s">
        <v>298</v>
      </c>
      <c r="B3" s="3580"/>
      <c r="C3" s="3580"/>
      <c r="D3" s="3580"/>
      <c r="E3" s="3580"/>
      <c r="F3" s="3580"/>
      <c r="G3" s="3580"/>
      <c r="H3" s="3580"/>
      <c r="I3" s="3580"/>
      <c r="J3" s="1867"/>
      <c r="K3" s="1866"/>
      <c r="L3" s="1866"/>
      <c r="M3" s="1866"/>
      <c r="N3" s="1866"/>
      <c r="O3" s="1866"/>
      <c r="P3" s="1866"/>
      <c r="Q3" s="1866"/>
      <c r="R3" s="1866"/>
      <c r="S3" s="1866"/>
      <c r="T3" s="1866"/>
      <c r="U3" s="1866"/>
      <c r="V3" s="1866"/>
    </row>
    <row r="4" spans="1:22" ht="14.25">
      <c r="A4" s="256" t="s">
        <v>299</v>
      </c>
      <c r="B4" s="257" t="s">
        <v>300</v>
      </c>
      <c r="C4" s="258"/>
      <c r="D4" s="258"/>
      <c r="E4" s="3545" t="s">
        <v>301</v>
      </c>
      <c r="F4" s="3546"/>
      <c r="G4" s="3546"/>
      <c r="H4" s="3546"/>
      <c r="I4" s="3581"/>
      <c r="J4" s="1867"/>
      <c r="K4" s="1866"/>
      <c r="L4" s="3105"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基准地价系数修正法</v>
      </c>
      <c r="N4" s="1866"/>
      <c r="O4" s="1866"/>
      <c r="P4" s="1866"/>
      <c r="Q4" s="1866"/>
      <c r="R4" s="1866"/>
      <c r="S4" s="1866"/>
      <c r="T4" s="1866"/>
      <c r="U4" s="1866"/>
      <c r="V4" s="1866"/>
    </row>
    <row r="5" spans="1:22" ht="14.25">
      <c r="A5" s="3544" t="s">
        <v>302</v>
      </c>
      <c r="B5" s="3573">
        <v>25</v>
      </c>
      <c r="C5" s="3571"/>
      <c r="D5" s="3575"/>
      <c r="E5" s="259" t="s">
        <v>303</v>
      </c>
      <c r="F5" s="260"/>
      <c r="G5" s="260"/>
      <c r="H5" s="260"/>
      <c r="I5" s="261"/>
      <c r="J5" s="1867"/>
      <c r="K5" s="1866"/>
      <c r="L5" s="1866"/>
      <c r="M5" s="1866"/>
      <c r="N5" s="1866"/>
      <c r="O5" s="1866"/>
      <c r="P5" s="1866"/>
      <c r="Q5" s="1866"/>
      <c r="R5" s="1866"/>
      <c r="S5" s="1866"/>
      <c r="T5" s="1866"/>
      <c r="U5" s="1866"/>
      <c r="V5" s="1866"/>
    </row>
    <row r="6" spans="1:22" ht="14.25">
      <c r="A6" s="3544"/>
      <c r="B6" s="3573"/>
      <c r="C6" s="3574"/>
      <c r="D6" s="3575"/>
      <c r="E6" s="259" t="s">
        <v>304</v>
      </c>
      <c r="F6" s="260"/>
      <c r="G6" s="260"/>
      <c r="H6" s="260"/>
      <c r="I6" s="261"/>
      <c r="J6" s="1867"/>
      <c r="K6" s="1866"/>
      <c r="L6" s="1866"/>
      <c r="M6" s="1866"/>
      <c r="N6" s="1866"/>
      <c r="O6" s="1866"/>
      <c r="P6" s="1866"/>
      <c r="Q6" s="1866"/>
      <c r="R6" s="1866"/>
      <c r="S6" s="1866"/>
      <c r="T6" s="1866"/>
      <c r="U6" s="1866"/>
      <c r="V6" s="1866"/>
    </row>
    <row r="7" spans="1:22" ht="14.25">
      <c r="A7" s="3544"/>
      <c r="B7" s="3573"/>
      <c r="C7" s="3572"/>
      <c r="D7" s="3575"/>
      <c r="E7" s="259" t="s">
        <v>305</v>
      </c>
      <c r="F7" s="260"/>
      <c r="G7" s="260"/>
      <c r="H7" s="260"/>
      <c r="I7" s="261"/>
      <c r="J7" s="1867"/>
      <c r="K7" s="1866"/>
      <c r="L7" s="1866"/>
      <c r="M7" s="1866"/>
      <c r="N7" s="1866"/>
      <c r="O7" s="1866"/>
      <c r="P7" s="1866"/>
      <c r="Q7" s="1866"/>
      <c r="R7" s="1866"/>
      <c r="S7" s="1866"/>
      <c r="T7" s="1866"/>
      <c r="U7" s="1866"/>
      <c r="V7" s="1866"/>
    </row>
    <row r="8" spans="1:22" ht="14.25">
      <c r="A8" s="3544" t="s">
        <v>306</v>
      </c>
      <c r="B8" s="3573">
        <v>15</v>
      </c>
      <c r="C8" s="3571"/>
      <c r="D8" s="3575"/>
      <c r="E8" s="259" t="s">
        <v>307</v>
      </c>
      <c r="F8" s="260"/>
      <c r="G8" s="260"/>
      <c r="H8" s="260"/>
      <c r="I8" s="261"/>
      <c r="J8" s="1867"/>
      <c r="K8" s="1866"/>
      <c r="L8" s="1866"/>
      <c r="M8" s="1866"/>
      <c r="N8" s="1866"/>
      <c r="O8" s="1866"/>
      <c r="P8" s="1866"/>
      <c r="Q8" s="1866"/>
      <c r="R8" s="1866"/>
      <c r="S8" s="1866"/>
      <c r="T8" s="1866"/>
      <c r="U8" s="1866"/>
      <c r="V8" s="1866"/>
    </row>
    <row r="9" spans="1:22" ht="14.25">
      <c r="A9" s="3544"/>
      <c r="B9" s="3573"/>
      <c r="C9" s="3572"/>
      <c r="D9" s="3575"/>
      <c r="E9" s="259" t="s">
        <v>308</v>
      </c>
      <c r="F9" s="260"/>
      <c r="G9" s="260"/>
      <c r="H9" s="260"/>
      <c r="I9" s="261"/>
      <c r="J9" s="1867"/>
      <c r="K9" s="1866"/>
      <c r="L9" s="1866"/>
      <c r="M9" s="1866"/>
      <c r="N9" s="1866"/>
      <c r="O9" s="1866"/>
      <c r="P9" s="1866"/>
      <c r="Q9" s="1866"/>
      <c r="R9" s="1866"/>
      <c r="S9" s="1866"/>
      <c r="T9" s="1866"/>
      <c r="U9" s="1866"/>
      <c r="V9" s="1866"/>
    </row>
    <row r="10" spans="1:22" ht="14.25">
      <c r="A10" s="3544" t="s">
        <v>309</v>
      </c>
      <c r="B10" s="3573">
        <v>15</v>
      </c>
      <c r="C10" s="3571"/>
      <c r="D10" s="3575"/>
      <c r="E10" s="259" t="s">
        <v>310</v>
      </c>
      <c r="F10" s="260"/>
      <c r="G10" s="260"/>
      <c r="H10" s="260"/>
      <c r="I10" s="261"/>
      <c r="J10" s="1867"/>
      <c r="K10" s="1866"/>
      <c r="L10" s="1866"/>
      <c r="M10" s="1866"/>
      <c r="N10" s="1866"/>
      <c r="O10" s="1866"/>
      <c r="P10" s="1866"/>
      <c r="Q10" s="1866"/>
      <c r="R10" s="1866"/>
      <c r="S10" s="1866"/>
      <c r="T10" s="1866"/>
      <c r="U10" s="1866"/>
      <c r="V10" s="1866"/>
    </row>
    <row r="11" spans="1:22" ht="14.25">
      <c r="A11" s="3544"/>
      <c r="B11" s="3573"/>
      <c r="C11" s="3572"/>
      <c r="D11" s="3575"/>
      <c r="E11" s="259" t="s">
        <v>311</v>
      </c>
      <c r="F11" s="260"/>
      <c r="G11" s="260"/>
      <c r="H11" s="260"/>
      <c r="I11" s="261"/>
      <c r="J11" s="1867"/>
      <c r="K11" s="1866"/>
      <c r="L11" s="1866"/>
      <c r="M11" s="1866"/>
      <c r="N11" s="1866"/>
      <c r="O11" s="1866"/>
      <c r="P11" s="1866"/>
      <c r="Q11" s="1866"/>
      <c r="R11" s="1866"/>
      <c r="S11" s="1866"/>
      <c r="T11" s="1866"/>
      <c r="U11" s="1866"/>
      <c r="V11" s="1866"/>
    </row>
    <row r="12" spans="1:22" ht="14.25">
      <c r="A12" s="3544" t="s">
        <v>312</v>
      </c>
      <c r="B12" s="3573">
        <v>15</v>
      </c>
      <c r="C12" s="3571"/>
      <c r="D12" s="3575"/>
      <c r="E12" s="259" t="s">
        <v>313</v>
      </c>
      <c r="F12" s="260"/>
      <c r="G12" s="260"/>
      <c r="H12" s="260"/>
      <c r="I12" s="261"/>
      <c r="J12" s="1867"/>
      <c r="K12" s="1866"/>
      <c r="L12" s="1866"/>
      <c r="M12" s="1866"/>
      <c r="N12" s="1866"/>
      <c r="O12" s="1866"/>
      <c r="P12" s="1866"/>
      <c r="Q12" s="1866"/>
      <c r="R12" s="1866"/>
      <c r="S12" s="1866"/>
      <c r="T12" s="1866"/>
      <c r="U12" s="1866"/>
      <c r="V12" s="1866"/>
    </row>
    <row r="13" spans="1:22" ht="14.25">
      <c r="A13" s="3544"/>
      <c r="B13" s="3573"/>
      <c r="C13" s="3572"/>
      <c r="D13" s="3575"/>
      <c r="E13" s="259" t="s">
        <v>314</v>
      </c>
      <c r="F13" s="260"/>
      <c r="G13" s="260"/>
      <c r="H13" s="260"/>
      <c r="I13" s="261"/>
      <c r="J13" s="1867"/>
      <c r="K13" s="1866"/>
      <c r="L13" s="1866"/>
      <c r="M13" s="1866"/>
      <c r="N13" s="1866"/>
      <c r="O13" s="1866"/>
      <c r="P13" s="1866"/>
      <c r="Q13" s="1866"/>
      <c r="R13" s="1866"/>
      <c r="S13" s="1866"/>
      <c r="T13" s="1866"/>
      <c r="U13" s="1866"/>
      <c r="V13" s="1866"/>
    </row>
    <row r="14" spans="1:22" ht="14.25">
      <c r="A14" s="3544" t="s">
        <v>315</v>
      </c>
      <c r="B14" s="3573">
        <v>30</v>
      </c>
      <c r="C14" s="3571"/>
      <c r="D14" s="3575"/>
      <c r="E14" s="259" t="s">
        <v>316</v>
      </c>
      <c r="F14" s="260"/>
      <c r="G14" s="260"/>
      <c r="H14" s="260"/>
      <c r="I14" s="261"/>
      <c r="J14" s="1867"/>
      <c r="K14" s="1866"/>
      <c r="L14" s="1866"/>
      <c r="M14" s="1866"/>
      <c r="N14" s="1866"/>
      <c r="O14" s="1866"/>
      <c r="P14" s="1866"/>
      <c r="Q14" s="1866"/>
      <c r="R14" s="1866"/>
      <c r="S14" s="1866"/>
      <c r="T14" s="1866"/>
      <c r="U14" s="1866"/>
      <c r="V14" s="1866"/>
    </row>
    <row r="15" spans="1:22" ht="14.25">
      <c r="A15" s="3544"/>
      <c r="B15" s="3573"/>
      <c r="C15" s="3574"/>
      <c r="D15" s="3575"/>
      <c r="E15" s="259" t="s">
        <v>317</v>
      </c>
      <c r="F15" s="260"/>
      <c r="G15" s="260"/>
      <c r="H15" s="260"/>
      <c r="I15" s="261"/>
      <c r="J15" s="1867"/>
      <c r="K15" s="1866"/>
      <c r="L15" s="1866"/>
      <c r="M15" s="1866"/>
      <c r="N15" s="1866"/>
      <c r="O15" s="1866"/>
      <c r="P15" s="1866"/>
      <c r="Q15" s="1866"/>
      <c r="R15" s="1866"/>
      <c r="S15" s="1866"/>
      <c r="T15" s="1866"/>
      <c r="U15" s="1866"/>
      <c r="V15" s="1866"/>
    </row>
    <row r="16" spans="1:22" ht="14.25">
      <c r="A16" s="3544"/>
      <c r="B16" s="3573"/>
      <c r="C16" s="3572"/>
      <c r="D16" s="3575"/>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0</v>
      </c>
      <c r="D17" s="263">
        <f>SUM(D5:D16)</f>
        <v>0</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t="e">
        <f>ROUND(C17/SUM(C17:D17),2)</f>
        <v>#DIV/0!</v>
      </c>
      <c r="D18" s="265" t="e">
        <f>1-C18</f>
        <v>#DIV/0!</v>
      </c>
      <c r="E18" s="3576" t="s">
        <v>2694</v>
      </c>
      <c r="F18" s="3577"/>
      <c r="G18" s="3577"/>
      <c r="H18" s="3577"/>
      <c r="I18" s="3577"/>
      <c r="J18" s="1866"/>
      <c r="K18" s="1866"/>
      <c r="L18" s="1866"/>
      <c r="M18" s="1866"/>
      <c r="N18" s="1866"/>
      <c r="O18" s="1866"/>
      <c r="P18" s="1866"/>
      <c r="Q18" s="1866"/>
      <c r="R18" s="1866"/>
      <c r="S18" s="1866"/>
      <c r="T18" s="1866"/>
      <c r="U18" s="1866"/>
      <c r="V18" s="1866"/>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t="e">
        <f ca="1">IF(C19&lt;D19,D19/C19-1,C19/D19-1)</f>
        <v>#REF!</v>
      </c>
      <c r="E22" s="282"/>
      <c r="F22" s="283"/>
      <c r="G22" s="284" t="e">
        <f ca="1">ROUND(G19/('数据-汇总表'!D3/666.67),0)</f>
        <v>#REF!</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50"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551"/>
      <c r="B25" s="1239" t="s">
        <v>331</v>
      </c>
      <c r="C25" s="288">
        <f>IF(B30=0,0,C30)</f>
        <v>0</v>
      </c>
      <c r="D25" s="289"/>
      <c r="E25" s="309"/>
      <c r="F25" s="309"/>
      <c r="G25" s="309"/>
      <c r="H25" s="309"/>
      <c r="I25" s="309"/>
      <c r="J25" s="1866"/>
      <c r="K25" s="1173" t="e">
        <f ca="1">项目基本情况!B16&amp;"国有建设用地使用权价格："&amp;O38&amp;"万元"</f>
        <v>#REF!</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e">
        <f ca="1">"大写金额：人民币"&amp;NUMBERSTRING(INT(O38*10000),2)&amp;"元整"</f>
        <v>#REF!</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e">
        <f ca="1">"单位面积地价："&amp;M38&amp;"元/平方米"</f>
        <v>#REF!</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e">
        <f ca="1">"楼面地价："&amp;N38&amp;"元/平方米"</f>
        <v>#REF!</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9" t="s">
        <v>336</v>
      </c>
      <c r="B30" s="307"/>
      <c r="C30" s="307"/>
      <c r="D30" s="308"/>
      <c r="E30" s="2912" t="s">
        <v>2695</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578" t="s">
        <v>2696</v>
      </c>
      <c r="B31" s="3578"/>
      <c r="C31" s="3578"/>
      <c r="D31" s="3578"/>
      <c r="E31" s="3578"/>
      <c r="F31" s="3578"/>
      <c r="G31" s="3578"/>
      <c r="H31" s="3578"/>
      <c r="I31" s="3578"/>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3" t="s">
        <v>1487</v>
      </c>
      <c r="C32" s="264" t="e">
        <f ca="1">G19-C24</f>
        <v>#REF!</v>
      </c>
      <c r="D32" s="2914" t="s">
        <v>1488</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1489</v>
      </c>
      <c r="C33" s="262" t="e">
        <f ca="1">ROUND(C32*10000/'数据-汇总表'!E3,0)</f>
        <v>#REF!</v>
      </c>
      <c r="D33" s="1290" t="s">
        <v>1490</v>
      </c>
      <c r="E33" s="3550"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1491</v>
      </c>
      <c r="C34" s="262" t="e">
        <f ca="1">ROUND(C32*10000/'数据-汇总表'!D3,0)</f>
        <v>#REF!</v>
      </c>
      <c r="D34" s="1292" t="s">
        <v>1490</v>
      </c>
      <c r="E34" s="3594"/>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t="e">
        <f ca="1">ROUND(C32/('数据-汇总表'!D3/666.67),0)</f>
        <v>#REF!</v>
      </c>
      <c r="D35" s="1295" t="s">
        <v>1492</v>
      </c>
      <c r="E35" s="3595"/>
      <c r="F35" s="299" t="s">
        <v>342</v>
      </c>
      <c r="G35" s="953"/>
      <c r="H35" s="952" t="s">
        <v>343</v>
      </c>
      <c r="I35" s="309"/>
      <c r="J35" s="1866"/>
      <c r="K35" s="3568" t="s">
        <v>350</v>
      </c>
      <c r="L35" s="3568" t="s">
        <v>351</v>
      </c>
      <c r="M35" s="1182" t="s">
        <v>352</v>
      </c>
      <c r="N35" s="3568" t="s">
        <v>353</v>
      </c>
      <c r="O35" s="3568" t="s">
        <v>354</v>
      </c>
      <c r="P35" s="1866"/>
      <c r="V35" s="1866"/>
    </row>
    <row r="36" spans="1:26" ht="16.5" customHeight="1">
      <c r="A36" s="301" t="s">
        <v>344</v>
      </c>
      <c r="B36" s="302" t="s">
        <v>333</v>
      </c>
      <c r="C36" s="303" t="s">
        <v>345</v>
      </c>
      <c r="D36" s="303" t="s">
        <v>346</v>
      </c>
      <c r="E36" s="304" t="s">
        <v>347</v>
      </c>
      <c r="F36" s="309"/>
      <c r="G36" s="309"/>
      <c r="H36" s="309"/>
      <c r="I36" s="309"/>
      <c r="J36" s="1868"/>
      <c r="K36" s="3569"/>
      <c r="L36" s="3569"/>
      <c r="M36" s="1184" t="s">
        <v>355</v>
      </c>
      <c r="N36" s="3569"/>
      <c r="O36" s="3569"/>
      <c r="P36" s="1866"/>
      <c r="V36" s="1866"/>
    </row>
    <row r="37" spans="1:26" ht="16.5" customHeight="1" thickBot="1">
      <c r="A37" s="1178" t="s">
        <v>348</v>
      </c>
      <c r="B37" s="305"/>
      <c r="C37" s="292"/>
      <c r="D37" s="292"/>
      <c r="E37" s="293"/>
      <c r="F37" s="309"/>
      <c r="G37" s="309"/>
      <c r="H37" s="309"/>
      <c r="I37" s="309"/>
      <c r="J37" s="1868"/>
      <c r="K37" s="3570"/>
      <c r="L37" s="3570"/>
      <c r="M37" s="1185"/>
      <c r="N37" s="3570"/>
      <c r="O37" s="3570"/>
      <c r="P37" s="1866"/>
      <c r="V37" s="1866"/>
    </row>
    <row r="38" spans="1:26" ht="16.5" customHeight="1" thickBot="1">
      <c r="A38" s="1178" t="s">
        <v>349</v>
      </c>
      <c r="B38" s="305"/>
      <c r="C38" s="292"/>
      <c r="D38" s="292"/>
      <c r="E38" s="293"/>
      <c r="F38" s="309"/>
      <c r="G38" s="309"/>
      <c r="H38" s="309"/>
      <c r="I38" s="309"/>
      <c r="J38" s="1868"/>
      <c r="K38" s="1186" t="e">
        <f>'数据-汇总表'!D3</f>
        <v>#DIV/0!</v>
      </c>
      <c r="L38" s="1187">
        <f>'数据-汇总表'!E3</f>
        <v>0</v>
      </c>
      <c r="M38" s="1187" t="e">
        <f ca="1">C34</f>
        <v>#REF!</v>
      </c>
      <c r="N38" s="1187" t="e">
        <f ca="1">C33</f>
        <v>#REF!</v>
      </c>
      <c r="O38" s="1188" t="e">
        <f ca="1">C32</f>
        <v>#REF!</v>
      </c>
      <c r="P38" s="1866"/>
      <c r="V38" s="1866"/>
    </row>
    <row r="39" spans="1:26" ht="16.5" customHeight="1" thickBot="1">
      <c r="A39" s="1183"/>
      <c r="B39" s="306"/>
      <c r="C39" s="307"/>
      <c r="D39" s="307"/>
      <c r="E39" s="308"/>
      <c r="F39" s="309"/>
      <c r="G39" s="309"/>
      <c r="H39" s="309"/>
      <c r="I39" s="309"/>
      <c r="J39" s="1868"/>
      <c r="K39" s="3608" t="str">
        <f>MID(A44,3,LEN(A44)-2)</f>
        <v/>
      </c>
      <c r="L39" s="3609"/>
      <c r="M39" s="3609"/>
      <c r="N39" s="3610"/>
      <c r="O39" s="1297" t="str">
        <f>C44</f>
        <v>——</v>
      </c>
      <c r="P39" s="1866"/>
      <c r="V39" s="1866"/>
    </row>
    <row r="40" spans="1:26" ht="19.5" thickBot="1">
      <c r="A40" s="104" t="s">
        <v>852</v>
      </c>
      <c r="B40" s="309"/>
      <c r="C40" s="309"/>
      <c r="D40" s="309"/>
      <c r="E40" s="309"/>
      <c r="F40" s="309"/>
      <c r="G40" s="309"/>
      <c r="H40" s="309"/>
      <c r="I40" s="309"/>
      <c r="J40" s="1868"/>
      <c r="K40" s="3608" t="str">
        <f t="shared" ref="K40:K41" si="0">MID(A45,3,LEN(A45)-2)</f>
        <v/>
      </c>
      <c r="L40" s="3609"/>
      <c r="M40" s="3609"/>
      <c r="N40" s="3610"/>
      <c r="O40" s="1297" t="str">
        <f>C45</f>
        <v>——</v>
      </c>
      <c r="P40" s="1866"/>
      <c r="V40" s="1866"/>
    </row>
    <row r="41" spans="1:26" ht="16.5" thickBot="1">
      <c r="A41" s="310" t="s">
        <v>356</v>
      </c>
      <c r="B41" s="311"/>
      <c r="C41" s="312" t="s">
        <v>357</v>
      </c>
      <c r="D41" s="313" t="s">
        <v>358</v>
      </c>
      <c r="E41" s="313" t="s">
        <v>359</v>
      </c>
      <c r="F41" s="314" t="s">
        <v>360</v>
      </c>
      <c r="G41" s="309"/>
      <c r="H41" s="309"/>
      <c r="I41" s="309"/>
      <c r="J41" s="1868"/>
      <c r="K41" s="3608" t="str">
        <f t="shared" si="0"/>
        <v/>
      </c>
      <c r="L41" s="3609"/>
      <c r="M41" s="3609"/>
      <c r="N41" s="3610"/>
      <c r="O41" s="1297" t="str">
        <f>C46</f>
        <v>——</v>
      </c>
      <c r="P41" s="1866"/>
      <c r="V41" s="1866"/>
    </row>
    <row r="42" spans="1:26" ht="29.25">
      <c r="A42" s="3552" t="s">
        <v>1858</v>
      </c>
      <c r="B42" s="3553"/>
      <c r="C42" s="262" t="e">
        <f ca="1">C32</f>
        <v>#REF!</v>
      </c>
      <c r="D42" s="315" t="e">
        <f ca="1">C33</f>
        <v>#REF!</v>
      </c>
      <c r="E42" s="315" t="e">
        <f ca="1">C34</f>
        <v>#REF!</v>
      </c>
      <c r="F42" s="316" t="e">
        <f ca="1">C35</f>
        <v>#REF!</v>
      </c>
      <c r="G42" s="309"/>
      <c r="H42" s="309"/>
      <c r="I42" s="317"/>
      <c r="J42" s="1868"/>
      <c r="K42" s="1189" t="s">
        <v>361</v>
      </c>
      <c r="L42" s="1885" t="s">
        <v>362</v>
      </c>
      <c r="M42" s="1190" t="s">
        <v>363</v>
      </c>
      <c r="N42" s="1886" t="s">
        <v>364</v>
      </c>
      <c r="O42" s="1887" t="s">
        <v>365</v>
      </c>
      <c r="P42" s="1866"/>
      <c r="V42" s="1866"/>
    </row>
    <row r="43" spans="1:26" ht="18">
      <c r="A43" s="3563" t="s">
        <v>2446</v>
      </c>
      <c r="B43" s="3564"/>
      <c r="C43" s="262">
        <f>IF(H33="正常操作",G33+G34+G35,G34+G35)</f>
        <v>0</v>
      </c>
      <c r="D43" s="315" t="s">
        <v>43</v>
      </c>
      <c r="E43" s="315" t="s">
        <v>44</v>
      </c>
      <c r="F43" s="316" t="s">
        <v>44</v>
      </c>
      <c r="G43" s="2506" t="s">
        <v>931</v>
      </c>
      <c r="H43" s="309"/>
      <c r="I43" s="317"/>
      <c r="J43" s="1868"/>
      <c r="K43" s="1191">
        <f>C4</f>
        <v>0</v>
      </c>
      <c r="L43" s="1192" t="e">
        <f ca="1">IF(L42="估价结果/万元",C19,C20)</f>
        <v>#REF!</v>
      </c>
      <c r="M43" s="1193" t="e">
        <f>C18</f>
        <v>#DIV/0!</v>
      </c>
      <c r="N43" s="1194" t="e">
        <f ca="1">IF(N42="测算结果/万元",G19,G20)</f>
        <v>#REF!</v>
      </c>
      <c r="O43" s="1195" t="e">
        <f ca="1">IF(O42="最终结果/万元",C32,C33)</f>
        <v>#REF!</v>
      </c>
      <c r="P43" s="1866"/>
      <c r="V43" s="1866"/>
    </row>
    <row r="44" spans="1:26" ht="18.75" thickBot="1">
      <c r="A44" s="3552" t="str">
        <f>IF(OR(项目基本情况!E8="抵押价格",项目基本情况!E8="已注销及未注销"),"3.抵押价格","——")</f>
        <v>——</v>
      </c>
      <c r="B44" s="3553"/>
      <c r="C44" s="262" t="str">
        <f>IF(A44="——","——",C42-C43)</f>
        <v>——</v>
      </c>
      <c r="D44" s="315" t="e">
        <f>ROUND(C44*10000/'数据-汇总表'!E3,0)</f>
        <v>#VALUE!</v>
      </c>
      <c r="E44" s="315" t="e">
        <f>ROUND(C44*10000/'数据-汇总表'!D3,0)</f>
        <v>#VALUE!</v>
      </c>
      <c r="F44" s="316" t="e">
        <f>ROUND(C44/('数据-汇总表'!D3/666.67),0)</f>
        <v>#VALUE!</v>
      </c>
      <c r="G44" s="309"/>
      <c r="H44" s="309"/>
      <c r="I44" s="317"/>
      <c r="J44" s="1868"/>
      <c r="K44" s="1196">
        <f>D4</f>
        <v>0</v>
      </c>
      <c r="L44" s="1197" t="e">
        <f ca="1">IF(L42="估价结果/万元",D19,D20)</f>
        <v>#REF!</v>
      </c>
      <c r="M44" s="1198" t="e">
        <f>D18</f>
        <v>#DIV/0!</v>
      </c>
      <c r="N44" s="1199"/>
      <c r="O44" s="1200"/>
      <c r="P44" s="1866"/>
      <c r="V44" s="1866"/>
    </row>
    <row r="45" spans="1:26" ht="15">
      <c r="A45" s="3558" t="str">
        <f>IF(项目基本情况!E8="已注销及未注销","4.抵押担保权已注销时的抵押价格",IF(项目基本情况!E8="已注销","3.抵押担保权已注销时的抵押价格","——"))</f>
        <v>——</v>
      </c>
      <c r="B45" s="3559"/>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554" t="str">
        <f>IF(项目基本情况!E9="抵押净值",IF(A45="——","4.抵押净值","5.抵押净值"),"——")</f>
        <v>——</v>
      </c>
      <c r="B46" s="3555"/>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602" t="s">
        <v>374</v>
      </c>
      <c r="B63" s="3603"/>
      <c r="C63" s="3604"/>
      <c r="D63" s="339" t="e">
        <f ca="1">ROUND(C42*F63,0)</f>
        <v>#REF!</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560" t="s">
        <v>378</v>
      </c>
      <c r="B64" s="3561"/>
      <c r="C64" s="3561"/>
      <c r="D64" s="3561"/>
      <c r="E64" s="3561"/>
      <c r="F64" s="3561"/>
      <c r="G64" s="3562"/>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556" t="s">
        <v>386</v>
      </c>
      <c r="B66" s="3557"/>
      <c r="C66" s="3557"/>
      <c r="D66" s="259" t="b">
        <f>IF(H66="情况1",0,IF(H66="情况2",D70,IF(H66="情况3",D71,IF(H66="情况4",D72))))</f>
        <v>0</v>
      </c>
      <c r="E66" s="964" t="str">
        <f>IF(H66="情况4","(销售额-原购置价)×税（费）率","销售额×税（费）率")</f>
        <v>销售额×税（费）率</v>
      </c>
      <c r="F66" s="348">
        <f>IF(H66="情况1","免征",'数据-取费表'!B41)</f>
        <v>0</v>
      </c>
      <c r="G66" s="349" t="s">
        <v>387</v>
      </c>
      <c r="H66" s="189"/>
      <c r="I66" s="1206"/>
      <c r="J66" s="1872"/>
      <c r="K66" s="1209">
        <v>1</v>
      </c>
      <c r="L66" s="3617" t="s">
        <v>385</v>
      </c>
      <c r="M66" s="3618"/>
      <c r="N66" s="2267"/>
      <c r="O66" s="2268"/>
      <c r="P66" s="2269"/>
      <c r="Q66" s="1866"/>
      <c r="R66" s="1866"/>
      <c r="S66" s="1866"/>
      <c r="T66" s="1866"/>
      <c r="U66" s="1866"/>
      <c r="V66" s="1866"/>
    </row>
    <row r="67" spans="1:22" ht="25.5" customHeight="1">
      <c r="A67" s="350" t="s">
        <v>389</v>
      </c>
      <c r="B67" s="3547" t="s">
        <v>390</v>
      </c>
      <c r="C67" s="3547"/>
      <c r="D67" s="351">
        <v>0</v>
      </c>
      <c r="E67" s="41" t="s">
        <v>391</v>
      </c>
      <c r="F67" s="62" t="s">
        <v>21</v>
      </c>
      <c r="G67" s="3605"/>
      <c r="H67" s="2915" t="s">
        <v>2697</v>
      </c>
      <c r="I67" s="2917"/>
      <c r="J67" s="1873"/>
      <c r="K67" s="1845">
        <v>2</v>
      </c>
      <c r="L67" s="3611" t="s">
        <v>388</v>
      </c>
      <c r="M67" s="3611"/>
      <c r="N67" s="1243">
        <f>'数据-取费表'!B2</f>
        <v>43923</v>
      </c>
      <c r="O67" s="1243"/>
      <c r="P67" s="1243"/>
      <c r="Q67" s="1866"/>
      <c r="R67" s="1866"/>
      <c r="S67" s="1866"/>
      <c r="T67" s="1866"/>
      <c r="U67" s="1866"/>
      <c r="V67" s="1866"/>
    </row>
    <row r="68" spans="1:22" ht="25.5" customHeight="1">
      <c r="A68" s="352"/>
      <c r="B68" s="3547" t="s">
        <v>393</v>
      </c>
      <c r="C68" s="3547"/>
      <c r="D68" s="353"/>
      <c r="E68" s="77"/>
      <c r="F68" s="354"/>
      <c r="G68" s="3606"/>
      <c r="H68" s="2916" t="s">
        <v>2698</v>
      </c>
      <c r="I68" s="2917"/>
      <c r="J68" s="1873"/>
      <c r="K68" s="1845">
        <v>3</v>
      </c>
      <c r="L68" s="3611" t="s">
        <v>392</v>
      </c>
      <c r="M68" s="3611"/>
      <c r="N68" s="1211" t="e">
        <f ca="1">C42</f>
        <v>#REF!</v>
      </c>
      <c r="O68" s="1211"/>
      <c r="P68" s="1211"/>
      <c r="Q68" s="1866"/>
      <c r="R68" s="1866"/>
      <c r="S68" s="1866"/>
      <c r="T68" s="1866"/>
      <c r="U68" s="1866"/>
      <c r="V68" s="1866"/>
    </row>
    <row r="69" spans="1:22" ht="23.45" customHeight="1">
      <c r="A69" s="355"/>
      <c r="B69" s="3547" t="s">
        <v>394</v>
      </c>
      <c r="C69" s="3547"/>
      <c r="D69" s="356"/>
      <c r="E69" s="73"/>
      <c r="F69" s="354"/>
      <c r="G69" s="3607"/>
      <c r="H69" s="2916" t="s">
        <v>2699</v>
      </c>
      <c r="I69" s="2917"/>
      <c r="J69" s="1873"/>
      <c r="K69" s="1212">
        <v>4</v>
      </c>
      <c r="L69" s="3621" t="s">
        <v>2595</v>
      </c>
      <c r="M69" s="3622"/>
      <c r="N69" s="1213" t="str">
        <f>C44</f>
        <v>——</v>
      </c>
      <c r="O69" s="1213"/>
      <c r="P69" s="1213"/>
      <c r="Q69" s="1866"/>
      <c r="R69" s="1866"/>
      <c r="S69" s="1866"/>
      <c r="T69" s="1866"/>
      <c r="U69" s="1866"/>
      <c r="V69" s="1866"/>
    </row>
    <row r="70" spans="1:22" ht="24" customHeight="1">
      <c r="A70" s="357" t="s">
        <v>395</v>
      </c>
      <c r="B70" s="3547" t="s">
        <v>396</v>
      </c>
      <c r="C70" s="3547"/>
      <c r="D70" s="356" t="e">
        <f ca="1">ROUND(D63*'数据-取费表'!B41/(1+'数据-取费表'!C42),0)</f>
        <v>#REF!</v>
      </c>
      <c r="E70" s="17" t="s">
        <v>397</v>
      </c>
      <c r="F70" s="358">
        <f>'数据-取费表'!B41</f>
        <v>0</v>
      </c>
      <c r="G70" s="359"/>
      <c r="H70" s="309"/>
      <c r="I70" s="1210"/>
      <c r="J70" s="1873"/>
      <c r="K70" s="2684"/>
      <c r="L70" s="2685"/>
      <c r="M70" s="2685"/>
      <c r="N70" s="2686" t="s">
        <v>2599</v>
      </c>
      <c r="O70" s="2685"/>
      <c r="P70" s="2687"/>
      <c r="Q70" s="1866"/>
      <c r="R70" s="1866"/>
      <c r="S70" s="1866"/>
      <c r="T70" s="1866"/>
      <c r="U70" s="1866"/>
      <c r="V70" s="1866"/>
    </row>
    <row r="71" spans="1:22" ht="12" customHeight="1">
      <c r="A71" s="357" t="s">
        <v>403</v>
      </c>
      <c r="B71" s="3548" t="s">
        <v>2727</v>
      </c>
      <c r="C71" s="3549"/>
      <c r="D71" s="356" t="e">
        <f ca="1">ROUND(D63*'数据-取费表'!B41/(1+'数据-取费表'!C42),0)</f>
        <v>#REF!</v>
      </c>
      <c r="E71" s="17" t="s">
        <v>397</v>
      </c>
      <c r="F71" s="358">
        <f>'数据-取费表'!B41</f>
        <v>0</v>
      </c>
      <c r="G71" s="359"/>
      <c r="H71" s="309"/>
      <c r="I71" s="1210"/>
      <c r="J71" s="1873"/>
      <c r="K71" s="2683" t="s">
        <v>398</v>
      </c>
      <c r="L71" s="3623" t="s">
        <v>399</v>
      </c>
      <c r="M71" s="3623"/>
      <c r="N71" s="2683" t="s">
        <v>400</v>
      </c>
      <c r="O71" s="2683" t="s">
        <v>401</v>
      </c>
      <c r="P71" s="2683" t="s">
        <v>402</v>
      </c>
      <c r="Q71" s="1866"/>
      <c r="R71" s="1866"/>
      <c r="S71" s="1866"/>
      <c r="T71" s="1866"/>
      <c r="U71" s="1866"/>
      <c r="V71" s="1866"/>
    </row>
    <row r="72" spans="1:22" ht="12" customHeight="1">
      <c r="A72" s="357" t="s">
        <v>405</v>
      </c>
      <c r="B72" s="3548" t="s">
        <v>2728</v>
      </c>
      <c r="C72" s="3549"/>
      <c r="D72" s="356" t="e">
        <f ca="1">C86</f>
        <v>#REF!</v>
      </c>
      <c r="E72" s="73" t="s">
        <v>406</v>
      </c>
      <c r="F72" s="358">
        <f>'数据-取费表'!B41</f>
        <v>0</v>
      </c>
      <c r="G72" s="359"/>
      <c r="H72" s="1216"/>
      <c r="I72" s="1210"/>
      <c r="J72" s="1873"/>
      <c r="K72" s="1845">
        <v>1</v>
      </c>
      <c r="L72" s="3598" t="s">
        <v>404</v>
      </c>
      <c r="M72" s="3598"/>
      <c r="N72" s="1214" t="b">
        <f>D66</f>
        <v>0</v>
      </c>
      <c r="O72" s="1729" t="str">
        <f>E66</f>
        <v>销售额×税（费）率</v>
      </c>
      <c r="P72" s="1215">
        <f>F66</f>
        <v>0</v>
      </c>
      <c r="Q72" s="1866"/>
      <c r="R72" s="1866"/>
      <c r="S72" s="1866"/>
      <c r="T72" s="1866"/>
      <c r="U72" s="1866"/>
      <c r="V72" s="1866"/>
    </row>
    <row r="73" spans="1:22" ht="24" customHeight="1">
      <c r="A73" s="3593" t="s">
        <v>408</v>
      </c>
      <c r="B73" s="3557"/>
      <c r="C73" s="3557"/>
      <c r="D73" s="360" t="e">
        <f ca="1">IF(H73="个人住宅",0,ROUND(D63*I73,0))</f>
        <v>#REF!</v>
      </c>
      <c r="E73" s="17" t="s">
        <v>409</v>
      </c>
      <c r="F73" s="358" t="str">
        <f>IF(H73="正常",I73,"免征")</f>
        <v>免征</v>
      </c>
      <c r="G73" s="359"/>
      <c r="H73" s="189"/>
      <c r="I73" s="358">
        <f>'数据-取费表'!B49</f>
        <v>0</v>
      </c>
      <c r="J73" s="1873"/>
      <c r="K73" s="1845">
        <v>2</v>
      </c>
      <c r="L73" s="3598" t="s">
        <v>407</v>
      </c>
      <c r="M73" s="3598"/>
      <c r="N73" s="1214" t="e">
        <f t="shared" ref="N73:P74" ca="1" si="1">D73</f>
        <v>#REF!</v>
      </c>
      <c r="O73" s="1729" t="str">
        <f t="shared" si="1"/>
        <v>销售额×税（费）率</v>
      </c>
      <c r="P73" s="1215" t="str">
        <f t="shared" si="1"/>
        <v>免征</v>
      </c>
      <c r="Q73" s="1866"/>
      <c r="R73" s="1866"/>
      <c r="S73" s="1866"/>
      <c r="T73" s="1866"/>
      <c r="U73" s="1866"/>
      <c r="V73" s="1866"/>
    </row>
    <row r="74" spans="1:22" ht="24.75">
      <c r="A74" s="3593" t="s">
        <v>411</v>
      </c>
      <c r="B74" s="3557"/>
      <c r="C74" s="3557"/>
      <c r="D74" s="360" t="e">
        <f ca="1">IF(H74="个人住宅",D75,D76)</f>
        <v>#REF!</v>
      </c>
      <c r="E74" s="17" t="s">
        <v>412</v>
      </c>
      <c r="F74" s="358" t="str">
        <f>IF(H74="正常",F76,"免征")</f>
        <v>免征</v>
      </c>
      <c r="G74" s="954" t="s">
        <v>413</v>
      </c>
      <c r="H74" s="361"/>
      <c r="I74" s="42"/>
      <c r="J74" s="1873"/>
      <c r="K74" s="1845">
        <v>3</v>
      </c>
      <c r="L74" s="3598" t="s">
        <v>410</v>
      </c>
      <c r="M74" s="3598"/>
      <c r="N74" s="1214" t="e">
        <f t="shared" ca="1" si="1"/>
        <v>#REF!</v>
      </c>
      <c r="O74" s="1729" t="str">
        <f t="shared" si="1"/>
        <v>增值额×税（费）率</v>
      </c>
      <c r="P74" s="1217" t="str">
        <f t="shared" si="1"/>
        <v>免征</v>
      </c>
      <c r="Q74" s="1866"/>
      <c r="R74" s="1866"/>
      <c r="S74" s="1866"/>
      <c r="T74" s="1866"/>
      <c r="U74" s="1866"/>
      <c r="V74" s="1866"/>
    </row>
    <row r="75" spans="1:22" ht="12.75">
      <c r="A75" s="357" t="s">
        <v>414</v>
      </c>
      <c r="B75" s="3545" t="s">
        <v>415</v>
      </c>
      <c r="C75" s="3581"/>
      <c r="D75" s="362">
        <v>0</v>
      </c>
      <c r="E75" s="41" t="s">
        <v>416</v>
      </c>
      <c r="F75" s="363"/>
      <c r="G75" s="359"/>
      <c r="H75" s="42"/>
      <c r="I75" s="42"/>
      <c r="J75" s="1873"/>
      <c r="K75" s="2677">
        <f>IF(H77="非个人房产","",4)</f>
        <v>4</v>
      </c>
      <c r="L75" s="3598" t="str">
        <f>IF(H77="非个人房产","——","个人所得税")</f>
        <v>个人所得税</v>
      </c>
      <c r="M75" s="3598"/>
      <c r="N75" s="1218">
        <f>D77</f>
        <v>0</v>
      </c>
      <c r="O75" s="1742" t="str">
        <f>E77</f>
        <v>差额计税</v>
      </c>
      <c r="P75" s="1219">
        <f>F77</f>
        <v>0.01</v>
      </c>
      <c r="Q75" s="1866"/>
      <c r="R75" s="1866"/>
      <c r="S75" s="1866"/>
      <c r="T75" s="1866"/>
      <c r="U75" s="1866"/>
      <c r="V75" s="1866"/>
    </row>
    <row r="76" spans="1:22" ht="24.75">
      <c r="A76" s="357" t="s">
        <v>395</v>
      </c>
      <c r="B76" s="3545" t="s">
        <v>418</v>
      </c>
      <c r="C76" s="3546"/>
      <c r="D76" s="360" t="e">
        <f ca="1">IF(H76="转让取得",C99,C115)</f>
        <v>#REF!</v>
      </c>
      <c r="E76" s="17" t="s">
        <v>419</v>
      </c>
      <c r="F76" s="53" t="s">
        <v>21</v>
      </c>
      <c r="G76" s="359"/>
      <c r="H76" s="361"/>
      <c r="I76" s="42"/>
      <c r="J76" s="1873"/>
      <c r="K76" s="2677" t="str">
        <f>IF(项目基本情况!K6="上海银行",IF(K75="",4,K75+1),"")</f>
        <v/>
      </c>
      <c r="L76" s="3613" t="str">
        <f>IF(项目基本情况!K6="上海银行","其他处置费用","")</f>
        <v/>
      </c>
      <c r="M76" s="3614"/>
      <c r="N76" s="1214" t="str">
        <f>IF(项目基本情况!K6="上海银行",N89,"")</f>
        <v/>
      </c>
      <c r="O76" s="3615" t="str">
        <f>IF(项目基本情况!K6="上海银行","包含处置中涉及的律师、诉讼、拍卖、评估等费用","")</f>
        <v/>
      </c>
      <c r="P76" s="3616"/>
      <c r="Q76" s="1866"/>
      <c r="R76" s="1866"/>
      <c r="S76" s="1866"/>
      <c r="T76" s="1866"/>
      <c r="U76" s="1866"/>
      <c r="V76" s="1866"/>
    </row>
    <row r="77" spans="1:22" ht="24.75" thickBot="1">
      <c r="A77" s="3600" t="s">
        <v>421</v>
      </c>
      <c r="B77" s="3601"/>
      <c r="C77" s="3601"/>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2700</v>
      </c>
      <c r="J77" s="1873"/>
      <c r="K77" s="3599">
        <f>IF(AND(K75="",K76=""),4,IF(项目基本情况!K6="上海银行",K76+1,K75+1))</f>
        <v>5</v>
      </c>
      <c r="L77" s="3598" t="s">
        <v>2596</v>
      </c>
      <c r="M77" s="2682" t="s">
        <v>417</v>
      </c>
      <c r="N77" s="1220"/>
      <c r="O77" s="1221">
        <f ca="1">SUMIF(N72:N76,"&lt;9e307")</f>
        <v>0</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599"/>
      <c r="L78" s="3598"/>
      <c r="M78" s="2682" t="s">
        <v>420</v>
      </c>
      <c r="N78" s="1220"/>
      <c r="O78" s="1221" t="str">
        <f ca="1">NUMBERSTRING(INT(O77*10000),2)&amp;"元整"</f>
        <v>零元整</v>
      </c>
      <c r="P78" s="1222"/>
      <c r="Q78" s="1866"/>
      <c r="R78" s="1866"/>
      <c r="S78" s="1866"/>
      <c r="T78" s="1866"/>
      <c r="U78" s="1866"/>
      <c r="V78" s="1866"/>
    </row>
    <row r="79" spans="1:22" ht="13.5" thickBot="1">
      <c r="A79" s="3565" t="s">
        <v>422</v>
      </c>
      <c r="B79" s="3565"/>
      <c r="C79" s="3565"/>
      <c r="D79" s="3565"/>
      <c r="E79" s="3565"/>
      <c r="F79" s="42"/>
      <c r="G79" s="42"/>
      <c r="H79" s="974"/>
      <c r="I79" s="309"/>
      <c r="J79" s="1873"/>
      <c r="K79" s="3619">
        <f>K77+1</f>
        <v>6</v>
      </c>
      <c r="L79" s="3598" t="s">
        <v>2597</v>
      </c>
      <c r="M79" s="2682" t="s">
        <v>417</v>
      </c>
      <c r="N79" s="1220"/>
      <c r="O79" s="1221" t="e">
        <f ca="1">N69-O77</f>
        <v>#VALUE!</v>
      </c>
      <c r="P79" s="1222"/>
      <c r="Q79" s="1866"/>
      <c r="R79" s="1866"/>
      <c r="S79" s="1866"/>
      <c r="T79" s="1866"/>
      <c r="U79" s="1866"/>
      <c r="V79" s="1866"/>
    </row>
    <row r="80" spans="1:22" ht="12.75">
      <c r="A80" s="3566" t="s">
        <v>423</v>
      </c>
      <c r="B80" s="3567"/>
      <c r="C80" s="965"/>
      <c r="D80" s="965" t="s">
        <v>424</v>
      </c>
      <c r="E80" s="364" t="s">
        <v>425</v>
      </c>
      <c r="F80" s="42"/>
      <c r="G80" s="42"/>
      <c r="H80" s="974"/>
      <c r="I80" s="309"/>
      <c r="J80" s="1866"/>
      <c r="K80" s="3620"/>
      <c r="L80" s="3598"/>
      <c r="M80" s="2682" t="s">
        <v>420</v>
      </c>
      <c r="N80" s="1220"/>
      <c r="O80" s="1221" t="e">
        <f ca="1">NUMBERSTRING(INT(O79*10000),2)&amp;"元整"</f>
        <v>#VALUE!</v>
      </c>
      <c r="P80" s="1222"/>
      <c r="Q80" s="1866"/>
      <c r="R80" s="1866"/>
      <c r="S80" s="1866"/>
      <c r="T80" s="1866"/>
      <c r="U80" s="1866"/>
      <c r="V80" s="1866"/>
    </row>
    <row r="81" spans="1:26" ht="13.5" thickBot="1">
      <c r="A81" s="375" t="s">
        <v>1622</v>
      </c>
      <c r="B81" s="365" t="s">
        <v>426</v>
      </c>
      <c r="C81" s="366" t="e">
        <f ca="1">ROUND((C82+C83)/(1+'数据-取费表'!C42),0)</f>
        <v>#REF!</v>
      </c>
      <c r="D81" s="367"/>
      <c r="E81" s="368"/>
      <c r="F81" s="42"/>
      <c r="G81" s="42"/>
      <c r="H81" s="974"/>
      <c r="I81" s="309"/>
      <c r="J81" s="1866"/>
      <c r="K81" s="2677">
        <f>K79+1</f>
        <v>7</v>
      </c>
      <c r="L81" s="3596" t="s">
        <v>2598</v>
      </c>
      <c r="M81" s="3597"/>
      <c r="N81" s="1224"/>
      <c r="O81" s="1225" t="e">
        <f ca="1">ROUND(O79*10000/'数据-汇总表'!E3,0)</f>
        <v>#VALUE!</v>
      </c>
      <c r="P81" s="1226"/>
      <c r="Q81" s="1866"/>
      <c r="R81" s="1866"/>
      <c r="S81" s="1866"/>
      <c r="T81" s="1866"/>
      <c r="U81" s="1866"/>
      <c r="V81" s="1866"/>
    </row>
    <row r="82" spans="1:26" ht="13.5" thickTop="1">
      <c r="A82" s="369" t="s">
        <v>1623</v>
      </c>
      <c r="B82" s="370" t="s">
        <v>427</v>
      </c>
      <c r="C82" s="371" t="e">
        <f ca="1">D63</f>
        <v>#REF!</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1624</v>
      </c>
      <c r="B83" s="370" t="s">
        <v>428</v>
      </c>
      <c r="C83" s="374"/>
      <c r="D83" s="372"/>
      <c r="E83" s="373"/>
      <c r="F83" s="42"/>
      <c r="G83" s="42"/>
      <c r="H83" s="974"/>
      <c r="I83" s="309"/>
      <c r="J83" s="1866"/>
      <c r="K83" s="3612" t="s">
        <v>2586</v>
      </c>
      <c r="L83" s="2688" t="s">
        <v>2587</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12.75">
      <c r="A84" s="375" t="s">
        <v>1625</v>
      </c>
      <c r="B84" s="376" t="s">
        <v>429</v>
      </c>
      <c r="C84" s="377"/>
      <c r="D84" s="378" t="s">
        <v>19</v>
      </c>
      <c r="E84" s="2706" t="s">
        <v>2641</v>
      </c>
      <c r="F84" s="42"/>
      <c r="G84" s="42"/>
      <c r="H84" s="974"/>
      <c r="I84" s="309"/>
      <c r="J84" s="1866"/>
      <c r="K84" s="3612"/>
      <c r="L84" s="2688" t="s">
        <v>2588</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2589</v>
      </c>
      <c r="P84" s="1866"/>
      <c r="Q84" s="1866"/>
      <c r="R84" s="1866"/>
      <c r="S84" s="1866"/>
      <c r="T84" s="1866"/>
      <c r="U84" s="1866"/>
      <c r="V84" s="1866"/>
    </row>
    <row r="85" spans="1:26" ht="12.75">
      <c r="A85" s="375" t="s">
        <v>1626</v>
      </c>
      <c r="B85" s="376" t="s">
        <v>430</v>
      </c>
      <c r="C85" s="379" t="e">
        <f ca="1">C81-C84</f>
        <v>#REF!</v>
      </c>
      <c r="D85" s="372" t="s">
        <v>19</v>
      </c>
      <c r="E85" s="373"/>
      <c r="F85" s="42"/>
      <c r="G85" s="42"/>
      <c r="H85" s="974"/>
      <c r="I85" s="309"/>
      <c r="J85" s="1866"/>
      <c r="K85" s="3612"/>
      <c r="L85" s="2688" t="s">
        <v>2590</v>
      </c>
      <c r="M85" s="2678" t="e">
        <f>IF(N69&gt;1000,N69*0.1%,IF(AND(N69&gt;500,N69&lt;=1000),N69*0.5%,IF(AND(N69&gt;50,N69&lt;=500),N69*1%,IF(AND(N69&gt;1,N69&lt;=50),N69*1.5%))))</f>
        <v>#VALUE!</v>
      </c>
      <c r="N85" s="53" t="e">
        <f t="shared" si="2"/>
        <v>#VALUE!</v>
      </c>
      <c r="O85" s="1866" t="s">
        <v>2589</v>
      </c>
      <c r="P85" s="1866"/>
      <c r="Q85" s="1866"/>
      <c r="R85" s="1866"/>
      <c r="S85" s="1866"/>
      <c r="T85" s="1866"/>
      <c r="U85" s="1866"/>
      <c r="V85" s="1866"/>
    </row>
    <row r="86" spans="1:26" ht="13.5" thickBot="1">
      <c r="A86" s="380" t="s">
        <v>1627</v>
      </c>
      <c r="B86" s="381" t="s">
        <v>431</v>
      </c>
      <c r="C86" s="382" t="e">
        <f ca="1">IF(C85&lt;=0,0,ROUND(C85*D86,0))</f>
        <v>#REF!</v>
      </c>
      <c r="D86" s="383">
        <f>'数据-取费表'!B41</f>
        <v>0</v>
      </c>
      <c r="E86" s="384"/>
      <c r="F86" s="42"/>
      <c r="G86" s="42"/>
      <c r="H86" s="974"/>
      <c r="I86" s="309"/>
      <c r="J86" s="1866"/>
      <c r="K86" s="3612"/>
      <c r="L86" s="2688" t="s">
        <v>2591</v>
      </c>
      <c r="M86" s="2678" t="e">
        <f>N69*0.5%</f>
        <v>#VALUE!</v>
      </c>
      <c r="N86" s="53" t="e">
        <f>IF(M86&gt;0.5,0.5,ROUND(M86,0))</f>
        <v>#VALUE!</v>
      </c>
      <c r="O86" s="1866" t="s">
        <v>2592</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612"/>
      <c r="L87" s="2688" t="s">
        <v>2593</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5" thickBot="1">
      <c r="A88" s="3591" t="s">
        <v>432</v>
      </c>
      <c r="B88" s="3592"/>
      <c r="C88" s="3592"/>
      <c r="D88" s="3592"/>
      <c r="E88" s="3592"/>
      <c r="F88" s="3592"/>
      <c r="G88" s="3592"/>
      <c r="H88" s="3592"/>
      <c r="I88" s="1233"/>
      <c r="J88" s="1874"/>
      <c r="K88" s="3612"/>
      <c r="L88" s="2688" t="s">
        <v>2594</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4.25">
      <c r="A89" s="3566" t="s">
        <v>423</v>
      </c>
      <c r="B89" s="3567"/>
      <c r="C89" s="965"/>
      <c r="D89" s="965" t="s">
        <v>424</v>
      </c>
      <c r="E89" s="385" t="s">
        <v>433</v>
      </c>
      <c r="F89" s="386"/>
      <c r="G89" s="386"/>
      <c r="H89" s="387"/>
      <c r="I89" s="1234"/>
      <c r="J89" s="1876"/>
      <c r="K89" s="3612"/>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4.25">
      <c r="A90" s="375" t="s">
        <v>1622</v>
      </c>
      <c r="B90" s="376" t="s">
        <v>434</v>
      </c>
      <c r="C90" s="379" t="e">
        <f ca="1">ROUND(D63/(1+'数据-取费表'!C42),0)</f>
        <v>#REF!</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1628</v>
      </c>
      <c r="B91" s="346" t="s">
        <v>435</v>
      </c>
      <c r="C91" s="379" t="e">
        <f ca="1">C92+C96</f>
        <v>#REF!</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1629</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1630</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1631</v>
      </c>
      <c r="B94" s="394" t="s">
        <v>440</v>
      </c>
      <c r="C94" s="372">
        <f>IF(F93="购房发票",ROUND(C93*H93*5%,0),0)</f>
        <v>0</v>
      </c>
      <c r="D94" s="395">
        <v>0.05</v>
      </c>
      <c r="E94" s="3548" t="s">
        <v>441</v>
      </c>
      <c r="F94" s="3547"/>
      <c r="G94" s="3547"/>
      <c r="H94" s="3590"/>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1632</v>
      </c>
      <c r="B95" s="370" t="s">
        <v>442</v>
      </c>
      <c r="C95" s="372">
        <f>ROUND(IF(G95="个人买卖住房",0,IF(G95="2016年5月1日前购买",C93*D95,C93*D95/(1+'数据-取费表'!C42))),0)</f>
        <v>0</v>
      </c>
      <c r="D95" s="396">
        <f>'数据-取费表'!B48+'数据-取费表'!B49</f>
        <v>0</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1633</v>
      </c>
      <c r="B96" s="370" t="s">
        <v>444</v>
      </c>
      <c r="C96" s="399" t="e">
        <f ca="1">ROUND(D63*D96/(1+'数据-取费表'!C42),0)</f>
        <v>#REF!</v>
      </c>
      <c r="D96" s="400">
        <f>'数据-取费表'!B43</f>
        <v>0</v>
      </c>
      <c r="E96" s="3582" t="s">
        <v>2214</v>
      </c>
      <c r="F96" s="3583"/>
      <c r="G96" s="3583"/>
      <c r="H96" s="3584"/>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1634</v>
      </c>
      <c r="B97" s="376" t="s">
        <v>445</v>
      </c>
      <c r="C97" s="379" t="e">
        <f ca="1">C90-C91</f>
        <v>#REF!</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1635</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1636</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591" t="s">
        <v>448</v>
      </c>
      <c r="B101" s="3592"/>
      <c r="C101" s="3592"/>
      <c r="D101" s="3592"/>
      <c r="E101" s="3592"/>
      <c r="F101" s="3592"/>
      <c r="G101" s="3592"/>
      <c r="H101" s="3592"/>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66" t="s">
        <v>423</v>
      </c>
      <c r="B102" s="3567"/>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1622</v>
      </c>
      <c r="B103" s="376" t="s">
        <v>434</v>
      </c>
      <c r="C103" s="379" t="e">
        <f ca="1">ROUND(D63/(1+'数据-取费表'!C42),0)</f>
        <v>#REF!</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1628</v>
      </c>
      <c r="B104" s="346" t="s">
        <v>435</v>
      </c>
      <c r="C104" s="379" t="e">
        <f ca="1">IF(H106="仅含出让金",C105+C108+C109+C110+C111+C112,C105+C109+C110+C111+C112)</f>
        <v>#REF!</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1629</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1630</v>
      </c>
      <c r="B106" s="370" t="s">
        <v>450</v>
      </c>
      <c r="C106" s="410"/>
      <c r="D106" s="400"/>
      <c r="E106" s="411" t="s">
        <v>451</v>
      </c>
      <c r="F106" s="957"/>
      <c r="G106" s="412" t="s">
        <v>452</v>
      </c>
      <c r="H106" s="413"/>
      <c r="I106" s="11"/>
      <c r="J106" s="1871"/>
      <c r="K106" s="3153" t="s">
        <v>2720</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1631</v>
      </c>
      <c r="B107" s="370" t="s">
        <v>442</v>
      </c>
      <c r="C107" s="399">
        <f>ROUND(C106*D107,0)</f>
        <v>0</v>
      </c>
      <c r="D107" s="400">
        <f>'数据-取费表'!B48+'数据-取费表'!B49</f>
        <v>0</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1633</v>
      </c>
      <c r="B108" s="370" t="s">
        <v>454</v>
      </c>
      <c r="C108" s="410"/>
      <c r="D108" s="400"/>
      <c r="E108" s="411" t="str">
        <f>IF(H106="-","土地取得成本中已包含该笔费用"," ")</f>
        <v xml:space="preserve"> </v>
      </c>
      <c r="F108" s="957"/>
      <c r="G108" s="3542" t="s">
        <v>2692</v>
      </c>
      <c r="H108" s="3543"/>
      <c r="I108" s="2778"/>
      <c r="J108" s="1871"/>
      <c r="K108" s="3153" t="s">
        <v>2721</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1637</v>
      </c>
      <c r="B109" s="370" t="s">
        <v>455</v>
      </c>
      <c r="C109" s="399">
        <f>IF(H109="——",IF(F1="现房",'剩余法-现房'!C18,0),I109)</f>
        <v>0</v>
      </c>
      <c r="D109" s="400"/>
      <c r="E109" s="3585" t="s">
        <v>456</v>
      </c>
      <c r="F109" s="3583"/>
      <c r="G109" s="3583"/>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1638</v>
      </c>
      <c r="B110" s="370" t="s">
        <v>457</v>
      </c>
      <c r="C110" s="399">
        <f>ROUND((C105+C108+C109)*D110,0)</f>
        <v>0</v>
      </c>
      <c r="D110" s="3184">
        <v>0</v>
      </c>
      <c r="E110" s="3585" t="s">
        <v>458</v>
      </c>
      <c r="F110" s="3583"/>
      <c r="G110" s="3583"/>
      <c r="H110" s="3584"/>
      <c r="I110" s="11"/>
      <c r="J110" s="1871"/>
      <c r="K110" s="3154" t="s">
        <v>2722</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1639</v>
      </c>
      <c r="B111" s="370" t="s">
        <v>444</v>
      </c>
      <c r="C111" s="399" t="e">
        <f ca="1">ROUND(D63*D111/(1+'数据-取费表'!C42),0)</f>
        <v>#REF!</v>
      </c>
      <c r="D111" s="400">
        <f>'数据-取费表'!B43</f>
        <v>0</v>
      </c>
      <c r="E111" s="3582" t="s">
        <v>2214</v>
      </c>
      <c r="F111" s="3583"/>
      <c r="G111" s="3583"/>
      <c r="H111" s="3584"/>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1640</v>
      </c>
      <c r="B112" s="370" t="s">
        <v>459</v>
      </c>
      <c r="C112" s="399">
        <f>ROUND(C108*D112,0)</f>
        <v>0</v>
      </c>
      <c r="D112" s="400">
        <v>0.2</v>
      </c>
      <c r="E112" s="3585" t="s">
        <v>2233</v>
      </c>
      <c r="F112" s="3583"/>
      <c r="G112" s="3583"/>
      <c r="H112" s="3584"/>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1634</v>
      </c>
      <c r="B113" s="376" t="s">
        <v>445</v>
      </c>
      <c r="C113" s="379" t="e">
        <f ca="1">ROUND(C103-C104,0)</f>
        <v>#REF!</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1635</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1636</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31" s="1879" customFormat="1" ht="18" customHeight="1">
      <c r="A2" s="1938" t="s">
        <v>461</v>
      </c>
      <c r="B2" s="1942" t="e">
        <f ca="1">C36</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1483</v>
      </c>
      <c r="B3" s="1944"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1641</v>
      </c>
      <c r="B6" s="2469"/>
      <c r="C6" s="2470">
        <f>SUM(C10:K10)</f>
        <v>0</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c r="D7" s="430"/>
      <c r="E7" s="430"/>
      <c r="F7" s="430"/>
      <c r="G7" s="430"/>
      <c r="H7" s="430"/>
      <c r="I7" s="430"/>
      <c r="J7" s="430"/>
      <c r="K7" s="431"/>
      <c r="AA7" s="1949"/>
      <c r="AB7" s="1949"/>
      <c r="AC7" s="1949"/>
      <c r="AD7" s="1949"/>
      <c r="AE7" s="1949"/>
    </row>
    <row r="8" spans="1:31" s="1952" customFormat="1" ht="13.5" customHeight="1">
      <c r="A8" s="776" t="s">
        <v>1644</v>
      </c>
      <c r="B8" s="259" t="s">
        <v>466</v>
      </c>
      <c r="C8" s="2474"/>
      <c r="D8" s="2474"/>
      <c r="E8" s="2474"/>
      <c r="F8" s="2474"/>
      <c r="G8" s="2474"/>
      <c r="H8" s="2474"/>
      <c r="I8" s="2474"/>
      <c r="J8" s="2474"/>
      <c r="K8" s="2475"/>
      <c r="AA8" s="1951"/>
      <c r="AB8" s="1951"/>
      <c r="AC8" s="1951"/>
      <c r="AD8" s="1951"/>
      <c r="AE8" s="1951"/>
    </row>
    <row r="9" spans="1:31" s="1952" customFormat="1" ht="13.5" customHeight="1">
      <c r="A9" s="776" t="s">
        <v>1645</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1646</v>
      </c>
      <c r="B10" s="2462" t="s">
        <v>468</v>
      </c>
      <c r="C10" s="2664"/>
      <c r="D10" s="2664"/>
      <c r="E10" s="2664"/>
      <c r="F10" s="2477"/>
      <c r="G10" s="2477"/>
      <c r="H10" s="2477"/>
      <c r="I10" s="2477"/>
      <c r="J10" s="2477"/>
      <c r="K10" s="2478"/>
      <c r="AA10" s="1951"/>
      <c r="AB10" s="1951"/>
      <c r="AC10" s="1951"/>
      <c r="AD10" s="1951"/>
      <c r="AE10" s="1951"/>
    </row>
    <row r="11" spans="1:31" s="1948" customFormat="1" ht="16.5" customHeight="1">
      <c r="A11" s="2479" t="s">
        <v>1642</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1647</v>
      </c>
      <c r="B13" s="2483" t="s">
        <v>473</v>
      </c>
      <c r="C13" s="443">
        <f ca="1">IF(B1="",'数据-取费表'!P16,INDIRECT("'数据-取费表'!p"&amp;$K$1)+INDIRECT("'数据-取费表'!t"&amp;$K$1))</f>
        <v>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1648</v>
      </c>
      <c r="B14" s="2483" t="s">
        <v>474</v>
      </c>
      <c r="C14" s="53">
        <f ca="1">ROUND(C13*F14,0)</f>
        <v>0</v>
      </c>
      <c r="D14" s="2484"/>
      <c r="E14" s="2485"/>
      <c r="F14" s="2487">
        <f>'数据-取费表'!B33</f>
        <v>0</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1649</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1650</v>
      </c>
      <c r="B16" s="2483" t="s">
        <v>478</v>
      </c>
      <c r="C16" s="53">
        <f ca="1">ROUND(D16*E16/10000,0)</f>
        <v>0</v>
      </c>
      <c r="D16" s="2484">
        <f ca="1">IF(B1="",'数据-汇总表'!E3,INDIRECT("'数据-取费表'!K"&amp;$K$1)+INDIRECT("'数据-取费表'!S"&amp;$K$1))</f>
        <v>0</v>
      </c>
      <c r="E16" s="53">
        <f>'数据-取费表'!B35</f>
        <v>0</v>
      </c>
      <c r="F16" s="2487"/>
      <c r="G16" s="2452"/>
      <c r="H16" s="2453"/>
      <c r="I16" s="2453"/>
      <c r="J16" s="2453"/>
      <c r="K16" s="2454"/>
      <c r="AA16" s="1953"/>
      <c r="AB16" s="1953"/>
      <c r="AC16" s="1953"/>
      <c r="AD16" s="1953"/>
      <c r="AE16" s="1953"/>
    </row>
    <row r="17" spans="1:26" s="1953" customFormat="1" ht="13.5" customHeight="1">
      <c r="A17" s="2482" t="s">
        <v>1651</v>
      </c>
      <c r="B17" s="2483" t="s">
        <v>479</v>
      </c>
      <c r="C17" s="2488">
        <f ca="1">ROUND(C13*F17,0)</f>
        <v>0</v>
      </c>
      <c r="D17" s="468"/>
      <c r="E17" s="2488"/>
      <c r="F17" s="2489">
        <f>'数据-取费表'!B36</f>
        <v>0</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1652</v>
      </c>
      <c r="B18" s="2491" t="s">
        <v>481</v>
      </c>
      <c r="C18" s="2492">
        <f ca="1">SUM(C13:C17)</f>
        <v>0</v>
      </c>
      <c r="D18" s="2493"/>
      <c r="E18" s="461"/>
      <c r="F18" s="461"/>
      <c r="G18" s="2456" t="s">
        <v>2215</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1653</v>
      </c>
      <c r="B19" s="2491" t="s">
        <v>482</v>
      </c>
      <c r="C19" s="2448">
        <f ca="1">ROUND(D19*E19/10000,0)</f>
        <v>0</v>
      </c>
      <c r="D19" s="2494">
        <f ca="1">D16</f>
        <v>0</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1654</v>
      </c>
      <c r="B20" s="2491" t="s">
        <v>484</v>
      </c>
      <c r="C20" s="2448">
        <f ca="1">C21+C22-IF(B1="",'数据-取费表'!B29,IF(G20="已全部缴纳",C21+C22,H20))</f>
        <v>0</v>
      </c>
      <c r="D20" s="2494"/>
      <c r="E20" s="2448"/>
      <c r="F20" s="2495"/>
      <c r="G20" s="2695"/>
      <c r="H20" s="2450"/>
      <c r="I20" s="2451" t="s">
        <v>2367</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1655</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1656</v>
      </c>
      <c r="B22" s="2483" t="s">
        <v>486</v>
      </c>
      <c r="C22" s="53">
        <f ca="1">ROUND(D22*E22/10000,0)</f>
        <v>0</v>
      </c>
      <c r="D22" s="2484">
        <f ca="1">IF(B1="",'数据-汇总表'!E6,IF(INDIRECT("'数据-取费表'!c"&amp;$K$1)="住宅",INDIRECT("'数据-取费表'!s"&amp;$K$1),INDIRECT("'数据-取费表'!k"&amp;$K$1)+INDIRECT("'数据-取费表'!s"&amp;$K$1)))</f>
        <v>0</v>
      </c>
      <c r="E22" s="53">
        <f>'数据-取费表'!B28</f>
        <v>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1657</v>
      </c>
      <c r="B23" s="2668" t="s">
        <v>2547</v>
      </c>
      <c r="C23" s="2492">
        <f ca="1">ROUND((C18+C19+C20)*F23,0)</f>
        <v>0</v>
      </c>
      <c r="D23" s="461"/>
      <c r="E23" s="461"/>
      <c r="F23" s="2496">
        <f>'数据-取费表'!B37</f>
        <v>0</v>
      </c>
      <c r="G23" s="2452" t="s">
        <v>2216</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1658</v>
      </c>
      <c r="B24" s="2668" t="s">
        <v>2550</v>
      </c>
      <c r="C24" s="2492">
        <f>ROUND(C6*F24,0)</f>
        <v>0</v>
      </c>
      <c r="D24" s="468"/>
      <c r="E24" s="466"/>
      <c r="F24" s="2496">
        <f>'数据-取费表'!B38</f>
        <v>0</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1659</v>
      </c>
      <c r="B25" s="2668" t="s">
        <v>2548</v>
      </c>
      <c r="C25" s="460">
        <f>ROUND(F25/(1+'数据-取费表'!C42),4)</f>
        <v>0</v>
      </c>
      <c r="D25" s="455" t="s">
        <v>2543</v>
      </c>
      <c r="E25" s="462"/>
      <c r="F25" s="2496">
        <f>IF(项目基本情况!B8="出让",0,'数据-取费表'!B48+'数据-取费表'!B49)</f>
        <v>0</v>
      </c>
      <c r="G25" s="2460" t="s">
        <v>2079</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1660</v>
      </c>
      <c r="B26" s="2669" t="s">
        <v>2549</v>
      </c>
      <c r="C26" s="2497" t="e">
        <f ca="1">C28</f>
        <v>#VALUE!</v>
      </c>
      <c r="D26" s="460" t="e">
        <f ca="1">C27</f>
        <v>#VALUE!</v>
      </c>
      <c r="E26" s="462" t="s">
        <v>489</v>
      </c>
      <c r="F26" s="464" t="e">
        <f ca="1">'数据-取费表'!B40</f>
        <v>#VALUE!</v>
      </c>
      <c r="G26" s="2347" t="str">
        <f>IF('数据-取费表'!B22&lt;=1,"单利计息。","复利计息。")&amp;"后续开发成本、管理费用及销售费用产生的利息。"</f>
        <v>单利计息。后续开发成本、管理费用及销售费用产生的利息。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1655</v>
      </c>
      <c r="B27" s="2498" t="s">
        <v>490</v>
      </c>
      <c r="C27" s="2499" t="e">
        <f ca="1">ROUND(IF('数据-取费表'!B22&lt;=1,(1+C25)*F26*'数据-取费表'!B24,(1+C25)*(POWER((1+F26),'数据-取费表'!B24)-1)),4)</f>
        <v>#VALUE!</v>
      </c>
      <c r="D27" s="465"/>
      <c r="E27" s="466"/>
      <c r="F27" s="467"/>
      <c r="G27" s="2347" t="str">
        <f>IF('数据-取费表'!B22&lt;=1,"（1+取得税费率/(1+5%)）×年利率×建设期","（1+取得税费率）/(1+5%)×((1+年利率)^建设期-1)")</f>
        <v>（1+取得税费率/(1+5%)）×年利率×建设期</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1656</v>
      </c>
      <c r="B28" s="2498" t="s">
        <v>2551</v>
      </c>
      <c r="C28" s="2500" t="e">
        <f ca="1">ROUND(IF('数据-取费表'!B22&lt;=1,(C18+C19+C20+C23+C24)*F26*'数据-取费表'!B24/2,(C18+C19+C20+C23+C24)*(POWER((1+F26),'数据-取费表'!B24/2)-1)),0)</f>
        <v>#VALUE!</v>
      </c>
      <c r="D28" s="465"/>
      <c r="E28" s="466"/>
      <c r="F28" s="467"/>
      <c r="G28" s="2347" t="str">
        <f>IF('数据-取费表'!B22&lt;=1,"（1）-（4）项×年利率×建设期÷2","（1）-（4）项×((1+年利率)^(建设期÷2)-1)")</f>
        <v>（1）-（4）项×年利率×建设期÷2</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1661</v>
      </c>
      <c r="B29" s="2491" t="s">
        <v>491</v>
      </c>
      <c r="C29" s="2492">
        <f>ROUND(C6*F29/(1+'数据-取费表'!C42),0)</f>
        <v>0</v>
      </c>
      <c r="D29" s="461"/>
      <c r="E29" s="461"/>
      <c r="F29" s="2670">
        <f>'数据-取费表'!B41</f>
        <v>0</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1662</v>
      </c>
      <c r="B30" s="2502" t="s">
        <v>494</v>
      </c>
      <c r="C30" s="2497" t="e">
        <f ca="1">C31</f>
        <v>#VALUE!</v>
      </c>
      <c r="D30" s="470" t="e">
        <f ca="1">C32</f>
        <v>#VALUE!</v>
      </c>
      <c r="E30" s="462" t="s">
        <v>489</v>
      </c>
      <c r="F30" s="464"/>
      <c r="G30" s="2460" t="s">
        <v>2668</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1655</v>
      </c>
      <c r="B31" s="2498"/>
      <c r="C31" s="443" t="e">
        <f ca="1">C18+C19+C20+C23+C24+C26+C29</f>
        <v>#VALUE!</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1656</v>
      </c>
      <c r="B32" s="2498"/>
      <c r="C32" s="53" t="e">
        <f ca="1">ROUND(C25+D26,4)</f>
        <v>#VALUE!</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2546</v>
      </c>
      <c r="B33" s="2665" t="s">
        <v>2544</v>
      </c>
      <c r="C33" s="471" t="e">
        <f ca="1">C35</f>
        <v>#DIV/0!</v>
      </c>
      <c r="D33" s="460" t="e">
        <f ca="1">C34</f>
        <v>#DIV/0!</v>
      </c>
      <c r="E33" s="462" t="s">
        <v>489</v>
      </c>
      <c r="F33" s="472" t="e">
        <f ca="1">IF(B1="",'数据-取费表'!Q16,INDIRECT("'数据-取费表'!q"&amp;$K$1))</f>
        <v>#DIV/0!</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1655</v>
      </c>
      <c r="B34" s="2503" t="s">
        <v>495</v>
      </c>
      <c r="C34" s="465" t="e">
        <f ca="1">ROUND((1+C25)*F33,4)</f>
        <v>#DIV/0!</v>
      </c>
      <c r="D34" s="465"/>
      <c r="E34" s="466"/>
      <c r="F34" s="473"/>
      <c r="G34" s="259" t="s">
        <v>2080</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1656</v>
      </c>
      <c r="B35" s="2666" t="s">
        <v>2552</v>
      </c>
      <c r="C35" s="1513" t="e">
        <f ca="1">ROUND((C18+C19+C20+C23+C24)*F33,0)</f>
        <v>#DIV/0!</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1643</v>
      </c>
      <c r="B36" s="2466"/>
      <c r="C36" s="2505" t="e">
        <f ca="1">ROUND((C6-C30-C33)/(1+D30+D33),0)</f>
        <v>#VALUE!</v>
      </c>
      <c r="D36" s="2466"/>
      <c r="E36" s="2466"/>
      <c r="F36" s="2466"/>
      <c r="G36" s="2465" t="s">
        <v>2553</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41" s="1879" customFormat="1" ht="18" customHeight="1">
      <c r="A2" s="417" t="s">
        <v>461</v>
      </c>
      <c r="B2" s="418" t="e">
        <f ca="1">C27</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1483</v>
      </c>
      <c r="B3" s="419"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t="e">
        <f ca="1">ROUND(B2*10000/IF(B1="",'数据-汇总表'!D3,INDIRECT("'数据-取费表'!R"&amp;$K$1)),0)</f>
        <v>#VALUE!</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t="e">
        <f ca="1">ROUND(B2/(IF(B1="",'数据-汇总表'!D3,INDIRECT("'数据-取费表'!R"&amp;$K$1))/666.67),0)</f>
        <v>#VALUE!</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2368</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1644</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1646</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1663</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1647</v>
      </c>
      <c r="B13" s="442" t="s">
        <v>473</v>
      </c>
      <c r="C13" s="443">
        <f ca="1">IF(B1="",'数据-取费表'!M16,INDIRECT("'数据-取费表'!M"&amp;$K$1)+INDIRECT("'数据-取费表'!t"&amp;$K$1))</f>
        <v>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1648</v>
      </c>
      <c r="B14" s="442" t="s">
        <v>474</v>
      </c>
      <c r="C14" s="53">
        <f ca="1">ROUND(C13*F14,0)</f>
        <v>0</v>
      </c>
      <c r="D14" s="444"/>
      <c r="E14" s="363"/>
      <c r="F14" s="446">
        <f>'数据-取费表'!B33</f>
        <v>0</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1649</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1650</v>
      </c>
      <c r="B16" s="442" t="s">
        <v>478</v>
      </c>
      <c r="C16" s="53">
        <f ca="1">ROUND(D16*E16/10000,0)</f>
        <v>0</v>
      </c>
      <c r="D16" s="444">
        <f ca="1">IF(B1="",'数据-汇总表'!E3,INDIRECT("'数据-取费表'!K"&amp;$K$1)+INDIRECT("'数据-取费表'!S"&amp;$K$1))</f>
        <v>0</v>
      </c>
      <c r="E16" s="53">
        <f>'数据-取费表'!B35</f>
        <v>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1651</v>
      </c>
      <c r="B17" s="442" t="s">
        <v>479</v>
      </c>
      <c r="C17" s="447">
        <f ca="1">ROUND(C13*F17,0)</f>
        <v>0</v>
      </c>
      <c r="D17" s="448"/>
      <c r="E17" s="447"/>
      <c r="F17" s="449">
        <f>'数据-取费表'!B36</f>
        <v>0</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1652</v>
      </c>
      <c r="B18" s="452" t="s">
        <v>481</v>
      </c>
      <c r="C18" s="453">
        <f ca="1">SUM(C13:C17)</f>
        <v>0</v>
      </c>
      <c r="D18" s="454"/>
      <c r="E18" s="455"/>
      <c r="F18" s="455"/>
      <c r="G18" s="1244" t="s">
        <v>2217</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1653</v>
      </c>
      <c r="B19" s="452" t="s">
        <v>487</v>
      </c>
      <c r="C19" s="453">
        <f ca="1">ROUND(C18*F19,0)</f>
        <v>0</v>
      </c>
      <c r="D19" s="454"/>
      <c r="E19" s="455"/>
      <c r="F19" s="459">
        <f>'数据-取费表'!B37</f>
        <v>0</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1654</v>
      </c>
      <c r="B20" s="454" t="s">
        <v>488</v>
      </c>
      <c r="C20" s="463" t="e">
        <f ca="1">ROUND(IF('数据-取费表'!B22&lt;=1,(C18+C19)*F20*'数据-取费表'!B20/2,(C18+C19)*(POWER((1+F20),'数据-取费表'!B20/2)-1)),0)</f>
        <v>#VALUE!</v>
      </c>
      <c r="D20" s="455" t="e">
        <f ca="1">ROUND(((1+F20)^'数据-取费表'!B20)-1,4)</f>
        <v>#VALUE!</v>
      </c>
      <c r="E20" s="455"/>
      <c r="F20" s="464" t="e">
        <f ca="1">'数据-取费表'!B40</f>
        <v>#VALUE!</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7" t="s">
        <v>2234</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2545</v>
      </c>
      <c r="C21" s="471" t="e">
        <f ca="1">ROUND((C18+C19)*F21,0)</f>
        <v>#DIV/0!</v>
      </c>
      <c r="D21" s="3196"/>
      <c r="E21" s="455"/>
      <c r="F21" s="472" t="e">
        <f ca="1">IF(B1="",'数据-取费表'!Q16,INDIRECT("'数据-取费表'!q"&amp;$K$1))</f>
        <v>#DIV/0!</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1658</v>
      </c>
      <c r="B22" s="469" t="s">
        <v>498</v>
      </c>
      <c r="C22" s="476"/>
      <c r="D22" s="476"/>
      <c r="E22" s="477"/>
      <c r="F22" s="3198" t="e">
        <f ca="1">IF(B1="",'数据-取费表'!N16,INDIRECT("'数据-取费表'!N"&amp;$K$1))</f>
        <v>#DIV/0!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1659</v>
      </c>
      <c r="B23" s="3200" t="s">
        <v>2741</v>
      </c>
      <c r="C23" s="3201" t="e">
        <f ca="1">ROUND((C18+C19+C20+C21)*F22,0)</f>
        <v>#VALUE!</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24" t="s">
        <v>1664</v>
      </c>
      <c r="B24" s="3625"/>
      <c r="C24" s="3206">
        <f>ROUND(C6*F24/(1+'数据-取费表'!B42),0)</f>
        <v>0</v>
      </c>
      <c r="D24" s="3207"/>
      <c r="E24" s="3208"/>
      <c r="F24" s="3209">
        <f>'数据-取费表'!B41</f>
        <v>0</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24" t="s">
        <v>2738</v>
      </c>
      <c r="B25" s="3625"/>
      <c r="C25" s="3206">
        <f>ROUND(C6*F25,0)</f>
        <v>0</v>
      </c>
      <c r="D25" s="3207"/>
      <c r="E25" s="3208"/>
      <c r="F25" s="3212">
        <f>'数据-取费表'!B38</f>
        <v>0</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24" t="s">
        <v>2739</v>
      </c>
      <c r="B26" s="3625"/>
      <c r="C26" s="3218"/>
      <c r="D26" s="3219"/>
      <c r="E26" s="3219"/>
      <c r="F26" s="3220">
        <f>'数据-取费表'!B48+'数据-取费表'!B49</f>
        <v>0</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26" t="s">
        <v>2737</v>
      </c>
      <c r="B27" s="3627"/>
      <c r="C27" s="3214" t="e">
        <f ca="1">(C6-C23-C24-C25)/((1+F26)*(1+D20+F21))</f>
        <v>#VALUE!</v>
      </c>
      <c r="D27" s="3215"/>
      <c r="E27" s="3215"/>
      <c r="F27" s="3215"/>
      <c r="G27" s="3216" t="s">
        <v>2669</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1696</v>
      </c>
      <c r="B36" s="1538" t="s">
        <v>1697</v>
      </c>
    </row>
    <row r="37" spans="1:9" ht="28.5" customHeight="1">
      <c r="A37" s="1538"/>
      <c r="B37" s="3451" t="str">
        <f>项目基本情况!B1</f>
        <v>北京市划拨国有建设用地使用权预评估</v>
      </c>
      <c r="C37" s="3451"/>
      <c r="D37" s="3451"/>
      <c r="E37" s="3451"/>
      <c r="F37" s="3451"/>
      <c r="G37" s="3451"/>
      <c r="H37" s="3451"/>
      <c r="I37" s="3451"/>
    </row>
    <row r="38" spans="1:9">
      <c r="A38" s="1540"/>
      <c r="B38" s="1540"/>
    </row>
    <row r="39" spans="1:9">
      <c r="A39" s="1538" t="s">
        <v>1696</v>
      </c>
      <c r="B39" s="1538" t="s">
        <v>1837</v>
      </c>
    </row>
    <row r="40" spans="1:9">
      <c r="A40" s="1538"/>
      <c r="B40" s="1538">
        <f>项目基本情况!B5</f>
        <v>0</v>
      </c>
    </row>
    <row r="41" spans="1:9">
      <c r="A41" s="1538"/>
      <c r="B41" s="1538"/>
    </row>
    <row r="42" spans="1:9">
      <c r="A42" s="1538" t="s">
        <v>1696</v>
      </c>
      <c r="B42" s="1538" t="s">
        <v>1838</v>
      </c>
    </row>
    <row r="43" spans="1:9">
      <c r="A43" s="1538"/>
      <c r="B43" s="1538" t="s">
        <v>1698</v>
      </c>
    </row>
    <row r="44" spans="1:9">
      <c r="A44" s="1538"/>
      <c r="B44" s="1538"/>
    </row>
    <row r="45" spans="1:9">
      <c r="A45" s="1538" t="s">
        <v>1696</v>
      </c>
      <c r="B45" s="1538" t="s">
        <v>1836</v>
      </c>
    </row>
    <row r="46" spans="1:9" s="1538" customFormat="1" ht="12.75">
      <c r="B46" s="1538" t="str">
        <f>项目基本情况!K4</f>
        <v>土地估价师、土地估价师</v>
      </c>
    </row>
    <row r="47" spans="1:9">
      <c r="A47" s="1538"/>
      <c r="B47" s="1538"/>
    </row>
    <row r="48" spans="1:9">
      <c r="A48" s="1538" t="s">
        <v>1696</v>
      </c>
      <c r="B48" s="1538" t="s">
        <v>1839</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F38" sqref="F38"/>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t="e">
        <f>F67</f>
        <v>#DIV/0!</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1483</v>
      </c>
      <c r="B3" s="487" t="e">
        <f>ROUND(B2*10000/'数据-汇总表'!E3,0)</f>
        <v>#DIV/0!</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t="e">
        <f>IF(B48="单位面积地价",C50,ROUND(B2*10000/'数据-汇总表'!D3,0))</f>
        <v>#DIV/0!</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35" t="s">
        <v>505</v>
      </c>
      <c r="D6" s="3636"/>
      <c r="E6" s="3635" t="s">
        <v>506</v>
      </c>
      <c r="F6" s="3636"/>
      <c r="G6" s="3635" t="s">
        <v>507</v>
      </c>
      <c r="H6" s="3636"/>
      <c r="I6" s="3635" t="s">
        <v>508</v>
      </c>
      <c r="J6" s="3636"/>
      <c r="K6" s="491" t="s">
        <v>509</v>
      </c>
      <c r="L6" s="1970"/>
      <c r="M6" s="1969"/>
      <c r="N6" s="1969"/>
      <c r="O6" s="1971"/>
      <c r="P6" s="3637" t="s">
        <v>510</v>
      </c>
      <c r="Q6" s="3638"/>
      <c r="R6" s="3643" t="s">
        <v>506</v>
      </c>
      <c r="S6" s="3644"/>
      <c r="T6" s="3643" t="s">
        <v>507</v>
      </c>
      <c r="U6" s="3644"/>
      <c r="V6" s="3630" t="s">
        <v>508</v>
      </c>
      <c r="W6" s="3630"/>
      <c r="X6" s="1458"/>
      <c r="Y6" s="3643" t="s">
        <v>510</v>
      </c>
      <c r="Z6" s="3644"/>
      <c r="AA6" s="3632" t="s">
        <v>506</v>
      </c>
      <c r="AB6" s="3633" t="s">
        <v>507</v>
      </c>
      <c r="AC6" s="3632" t="s">
        <v>508</v>
      </c>
    </row>
    <row r="7" spans="1:30" ht="20.25">
      <c r="A7" s="492"/>
      <c r="B7" s="493"/>
      <c r="C7" s="3651" t="s">
        <v>2630</v>
      </c>
      <c r="D7" s="3652"/>
      <c r="E7" s="3651" t="s">
        <v>2631</v>
      </c>
      <c r="F7" s="3652"/>
      <c r="G7" s="3651" t="s">
        <v>2632</v>
      </c>
      <c r="H7" s="3652"/>
      <c r="I7" s="3651" t="s">
        <v>2633</v>
      </c>
      <c r="J7" s="3652"/>
      <c r="K7" s="491"/>
      <c r="L7" s="1970"/>
      <c r="M7" s="1969"/>
      <c r="N7" s="1969"/>
      <c r="O7" s="1971"/>
      <c r="P7" s="3639"/>
      <c r="Q7" s="3640"/>
      <c r="R7" s="3645"/>
      <c r="S7" s="3646"/>
      <c r="T7" s="3645"/>
      <c r="U7" s="3646"/>
      <c r="V7" s="3630"/>
      <c r="W7" s="3630"/>
      <c r="X7" s="1458"/>
      <c r="Y7" s="3645"/>
      <c r="Z7" s="3646"/>
      <c r="AA7" s="3633"/>
      <c r="AB7" s="3633"/>
      <c r="AC7" s="3633"/>
    </row>
    <row r="8" spans="1:30" ht="21" thickBot="1">
      <c r="A8" s="492"/>
      <c r="B8" s="493"/>
      <c r="C8" s="3653" t="s">
        <v>2634</v>
      </c>
      <c r="D8" s="3654"/>
      <c r="E8" s="3653" t="s">
        <v>2634</v>
      </c>
      <c r="F8" s="3654"/>
      <c r="G8" s="3649" t="s">
        <v>2634</v>
      </c>
      <c r="H8" s="3650"/>
      <c r="I8" s="3649" t="s">
        <v>2634</v>
      </c>
      <c r="J8" s="3650"/>
      <c r="K8" s="491" t="s">
        <v>511</v>
      </c>
      <c r="L8" s="1970"/>
      <c r="M8" s="1969"/>
      <c r="N8" s="1969"/>
      <c r="O8" s="1971"/>
      <c r="P8" s="3641"/>
      <c r="Q8" s="3642"/>
      <c r="R8" s="3645"/>
      <c r="S8" s="3646"/>
      <c r="T8" s="3647"/>
      <c r="U8" s="3648"/>
      <c r="V8" s="3630"/>
      <c r="W8" s="3630"/>
      <c r="X8" s="1458"/>
      <c r="Y8" s="3647"/>
      <c r="Z8" s="3648"/>
      <c r="AA8" s="3634"/>
      <c r="AB8" s="3634"/>
      <c r="AC8" s="3634"/>
    </row>
    <row r="9" spans="1:30" s="1167" customFormat="1" ht="21" thickBot="1">
      <c r="A9" s="2552"/>
      <c r="B9" s="2559" t="s">
        <v>512</v>
      </c>
      <c r="C9" s="2551">
        <f>'数据-取费表'!B2</f>
        <v>43923</v>
      </c>
      <c r="D9" s="497">
        <v>100</v>
      </c>
      <c r="E9" s="498"/>
      <c r="F9" s="499">
        <f>SUMIF(71:71,YEAR(E9)&amp;"-"&amp;INT((MONTH(E9)+2)/3),72:72)</f>
        <v>0</v>
      </c>
      <c r="G9" s="500"/>
      <c r="H9" s="497">
        <f>SUMIF(71:71,YEAR(G9)&amp;"-"&amp;INT((MONTH(G9)+2)/3),72:72)</f>
        <v>0</v>
      </c>
      <c r="I9" s="500"/>
      <c r="J9" s="497">
        <f>SUMIF(71:71,YEAR(I9)&amp;"-"&amp;INT((MONTH(I9)+2)/3),72:72)</f>
        <v>0</v>
      </c>
      <c r="K9" s="501"/>
      <c r="L9" s="1972"/>
      <c r="M9" s="1969"/>
      <c r="N9" s="1969"/>
      <c r="O9" s="1973"/>
      <c r="P9" s="3659" t="s">
        <v>513</v>
      </c>
      <c r="Q9" s="3661"/>
      <c r="R9" s="1459" t="s">
        <v>8</v>
      </c>
      <c r="S9" s="1460">
        <f t="shared" ref="S9:S17" si="0">F9</f>
        <v>0</v>
      </c>
      <c r="T9" s="1459" t="s">
        <v>8</v>
      </c>
      <c r="U9" s="1460">
        <f t="shared" ref="U9:U17" si="1">H9</f>
        <v>0</v>
      </c>
      <c r="V9" s="1459" t="s">
        <v>8</v>
      </c>
      <c r="W9" s="1460">
        <f t="shared" ref="W9:W17" si="2">J9</f>
        <v>0</v>
      </c>
      <c r="X9" s="1461"/>
      <c r="Y9" s="3659" t="s">
        <v>513</v>
      </c>
      <c r="Z9" s="3660"/>
      <c r="AA9" s="1462" t="e">
        <f>D9/F9</f>
        <v>#DIV/0!</v>
      </c>
      <c r="AB9" s="1462" t="e">
        <f>D9/H9</f>
        <v>#DIV/0!</v>
      </c>
      <c r="AC9" s="1462" t="e">
        <f>D9/J9</f>
        <v>#DIV/0!</v>
      </c>
    </row>
    <row r="10" spans="1:30" s="1167" customFormat="1" ht="21" thickBot="1">
      <c r="A10" s="2553"/>
      <c r="B10" s="2560"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72"/>
      <c r="M10" s="1969"/>
      <c r="N10" s="1969"/>
      <c r="O10" s="1973"/>
      <c r="P10" s="3659" t="s">
        <v>516</v>
      </c>
      <c r="Q10" s="3660"/>
      <c r="R10" s="1459" t="s">
        <v>8</v>
      </c>
      <c r="S10" s="1460">
        <f t="shared" si="0"/>
        <v>0</v>
      </c>
      <c r="T10" s="1459" t="s">
        <v>8</v>
      </c>
      <c r="U10" s="1460">
        <f t="shared" si="1"/>
        <v>0</v>
      </c>
      <c r="V10" s="1459" t="s">
        <v>8</v>
      </c>
      <c r="W10" s="1460">
        <f t="shared" si="2"/>
        <v>0</v>
      </c>
      <c r="X10" s="1461"/>
      <c r="Y10" s="3659" t="s">
        <v>516</v>
      </c>
      <c r="Z10" s="3660"/>
      <c r="AA10" s="1462" t="e">
        <f t="shared" ref="AA10:AA47" si="3">D10/F10</f>
        <v>#DIV/0!</v>
      </c>
      <c r="AB10" s="1462" t="e">
        <f t="shared" ref="AB10:AB47" si="4">D10/H10</f>
        <v>#DIV/0!</v>
      </c>
      <c r="AC10" s="1462" t="e">
        <f t="shared" ref="AC10:AC47" si="5">D10/J10</f>
        <v>#DIV/0!</v>
      </c>
    </row>
    <row r="11" spans="1:30" s="1167" customFormat="1" ht="20.25">
      <c r="A11" s="2554"/>
      <c r="B11" s="2561" t="s">
        <v>2472</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29" t="s">
        <v>518</v>
      </c>
      <c r="Q11" s="1098" t="str">
        <f t="shared" ref="Q11:Q17" si="6">B11</f>
        <v>用途</v>
      </c>
      <c r="R11" s="1459" t="s">
        <v>8</v>
      </c>
      <c r="S11" s="1460">
        <f t="shared" si="0"/>
        <v>100</v>
      </c>
      <c r="T11" s="1459" t="s">
        <v>8</v>
      </c>
      <c r="U11" s="1460">
        <f t="shared" si="1"/>
        <v>100</v>
      </c>
      <c r="V11" s="1459" t="s">
        <v>8</v>
      </c>
      <c r="W11" s="1460">
        <f t="shared" si="2"/>
        <v>100</v>
      </c>
      <c r="X11" s="1461"/>
      <c r="Y11" s="3573" t="s">
        <v>519</v>
      </c>
      <c r="Z11" s="1097" t="str">
        <f t="shared" ref="Z11:Z17" si="7">Q11</f>
        <v>用途</v>
      </c>
      <c r="AA11" s="1462">
        <f t="shared" si="3"/>
        <v>1</v>
      </c>
      <c r="AB11" s="1462">
        <f t="shared" si="4"/>
        <v>1</v>
      </c>
      <c r="AC11" s="1462">
        <f t="shared" si="5"/>
        <v>1</v>
      </c>
    </row>
    <row r="12" spans="1:30" s="1248" customFormat="1" ht="27">
      <c r="A12" s="2555"/>
      <c r="B12" s="2560" t="s">
        <v>2473</v>
      </c>
      <c r="C12" s="882"/>
      <c r="D12" s="253">
        <v>100</v>
      </c>
      <c r="E12" s="506"/>
      <c r="F12" s="253" t="e">
        <f>ROUND(100/'数据-取费表'!G16,0)</f>
        <v>#DIV/0!</v>
      </c>
      <c r="G12" s="507"/>
      <c r="H12" s="253" t="e">
        <f>ROUND(100/'数据-取费表'!G16,0)</f>
        <v>#DIV/0!</v>
      </c>
      <c r="I12" s="507"/>
      <c r="J12" s="253" t="e">
        <f>ROUND(100/'数据-取费表'!G16,0)</f>
        <v>#DIV/0!</v>
      </c>
      <c r="K12" s="508"/>
      <c r="L12" s="1975"/>
      <c r="M12" s="1969"/>
      <c r="N12" s="1969"/>
      <c r="O12" s="1976"/>
      <c r="P12" s="3629"/>
      <c r="Q12" s="1098" t="str">
        <f t="shared" si="6"/>
        <v>土地使用年限（年）</v>
      </c>
      <c r="R12" s="1459" t="s">
        <v>8</v>
      </c>
      <c r="S12" s="1460" t="e">
        <f t="shared" si="0"/>
        <v>#DIV/0!</v>
      </c>
      <c r="T12" s="1459" t="s">
        <v>8</v>
      </c>
      <c r="U12" s="1460" t="e">
        <f t="shared" si="1"/>
        <v>#DIV/0!</v>
      </c>
      <c r="V12" s="1459" t="s">
        <v>8</v>
      </c>
      <c r="W12" s="1460" t="e">
        <f t="shared" si="2"/>
        <v>#DIV/0!</v>
      </c>
      <c r="X12" s="1461"/>
      <c r="Y12" s="3573"/>
      <c r="Z12" s="1097" t="str">
        <f t="shared" si="7"/>
        <v>土地使用年限（年）</v>
      </c>
      <c r="AA12" s="1462" t="e">
        <f t="shared" si="3"/>
        <v>#DIV/0!</v>
      </c>
      <c r="AB12" s="1462" t="e">
        <f t="shared" si="4"/>
        <v>#DIV/0!</v>
      </c>
      <c r="AC12" s="1462" t="e">
        <f t="shared" si="5"/>
        <v>#DIV/0!</v>
      </c>
    </row>
    <row r="13" spans="1:30" ht="20.25">
      <c r="A13" s="2556"/>
      <c r="B13" s="2560" t="s">
        <v>2474</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7"/>
      <c r="M13" s="1969"/>
      <c r="N13" s="1969"/>
      <c r="O13" s="1978"/>
      <c r="P13" s="3629"/>
      <c r="Q13" s="1098" t="str">
        <f t="shared" si="6"/>
        <v>容积率</v>
      </c>
      <c r="R13" s="1459" t="s">
        <v>8</v>
      </c>
      <c r="S13" s="1460" t="e">
        <f t="shared" si="0"/>
        <v>#N/A</v>
      </c>
      <c r="T13" s="1459" t="s">
        <v>8</v>
      </c>
      <c r="U13" s="1460" t="e">
        <f t="shared" si="1"/>
        <v>#N/A</v>
      </c>
      <c r="V13" s="1459" t="s">
        <v>8</v>
      </c>
      <c r="W13" s="1460" t="e">
        <f t="shared" si="2"/>
        <v>#N/A</v>
      </c>
      <c r="X13" s="1461"/>
      <c r="Y13" s="3573"/>
      <c r="Z13" s="1097" t="str">
        <f t="shared" si="7"/>
        <v>容积率</v>
      </c>
      <c r="AA13" s="1462" t="e">
        <f t="shared" si="3"/>
        <v>#N/A</v>
      </c>
      <c r="AB13" s="1462" t="e">
        <f t="shared" si="4"/>
        <v>#N/A</v>
      </c>
      <c r="AC13" s="1462" t="e">
        <f t="shared" si="5"/>
        <v>#N/A</v>
      </c>
    </row>
    <row r="14" spans="1:30" s="1167" customFormat="1" ht="20.25">
      <c r="A14" s="2553"/>
      <c r="B14" s="2562" t="s">
        <v>2475</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29"/>
      <c r="Q14" s="1098" t="str">
        <f t="shared" si="6"/>
        <v>配建</v>
      </c>
      <c r="R14" s="1459" t="s">
        <v>8</v>
      </c>
      <c r="S14" s="1460">
        <f t="shared" si="0"/>
        <v>100</v>
      </c>
      <c r="T14" s="1459" t="s">
        <v>8</v>
      </c>
      <c r="U14" s="1460">
        <f t="shared" si="1"/>
        <v>100</v>
      </c>
      <c r="V14" s="1459" t="s">
        <v>8</v>
      </c>
      <c r="W14" s="1460">
        <f t="shared" si="2"/>
        <v>100</v>
      </c>
      <c r="X14" s="1461"/>
      <c r="Y14" s="3573"/>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29"/>
      <c r="Q15" s="1098">
        <f t="shared" si="6"/>
        <v>111</v>
      </c>
      <c r="R15" s="1459" t="s">
        <v>8</v>
      </c>
      <c r="S15" s="1460">
        <f t="shared" si="0"/>
        <v>100</v>
      </c>
      <c r="T15" s="1459" t="s">
        <v>8</v>
      </c>
      <c r="U15" s="1460">
        <f t="shared" si="1"/>
        <v>100</v>
      </c>
      <c r="V15" s="1459" t="s">
        <v>8</v>
      </c>
      <c r="W15" s="1460">
        <f t="shared" si="2"/>
        <v>100</v>
      </c>
      <c r="X15" s="1461"/>
      <c r="Y15" s="3573"/>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29"/>
      <c r="Q16" s="1098">
        <f t="shared" si="6"/>
        <v>111</v>
      </c>
      <c r="R16" s="1459" t="s">
        <v>8</v>
      </c>
      <c r="S16" s="1460">
        <f t="shared" si="0"/>
        <v>100</v>
      </c>
      <c r="T16" s="1459" t="s">
        <v>8</v>
      </c>
      <c r="U16" s="1460">
        <f t="shared" si="1"/>
        <v>100</v>
      </c>
      <c r="V16" s="1459" t="s">
        <v>8</v>
      </c>
      <c r="W16" s="1460">
        <f t="shared" si="2"/>
        <v>100</v>
      </c>
      <c r="X16" s="1461"/>
      <c r="Y16" s="3573"/>
      <c r="Z16" s="1097">
        <f t="shared" si="7"/>
        <v>111</v>
      </c>
      <c r="AA16" s="1462">
        <f>D16/F16</f>
        <v>1</v>
      </c>
      <c r="AB16" s="1462">
        <f>D16/H16</f>
        <v>1</v>
      </c>
      <c r="AC16" s="1462">
        <f>D16/J16</f>
        <v>1</v>
      </c>
    </row>
    <row r="17" spans="1:29" ht="99.75">
      <c r="A17" s="2550"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62" t="s">
        <v>523</v>
      </c>
      <c r="Q17" s="1463" t="str">
        <f t="shared" si="6"/>
        <v>居住社区成熟度</v>
      </c>
      <c r="R17" s="1464" t="s">
        <v>8</v>
      </c>
      <c r="S17" s="1465">
        <f t="shared" si="0"/>
        <v>100</v>
      </c>
      <c r="T17" s="1464" t="s">
        <v>8</v>
      </c>
      <c r="U17" s="1465">
        <f t="shared" si="1"/>
        <v>100</v>
      </c>
      <c r="V17" s="1464" t="s">
        <v>8</v>
      </c>
      <c r="W17" s="1465">
        <f t="shared" si="2"/>
        <v>100</v>
      </c>
      <c r="X17" s="1458"/>
      <c r="Y17" s="3662"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63"/>
      <c r="Q18" s="1463"/>
      <c r="R18" s="1464"/>
      <c r="S18" s="1465"/>
      <c r="T18" s="1464"/>
      <c r="U18" s="1465"/>
      <c r="V18" s="1464"/>
      <c r="W18" s="1465"/>
      <c r="X18" s="1458"/>
      <c r="Y18" s="3663"/>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63"/>
      <c r="Q19" s="1463" t="str">
        <f>B19</f>
        <v>商业繁华度</v>
      </c>
      <c r="R19" s="1464" t="s">
        <v>8</v>
      </c>
      <c r="S19" s="1465">
        <f>F19</f>
        <v>100</v>
      </c>
      <c r="T19" s="1464" t="s">
        <v>8</v>
      </c>
      <c r="U19" s="1465">
        <f>H19</f>
        <v>100</v>
      </c>
      <c r="V19" s="1464" t="s">
        <v>8</v>
      </c>
      <c r="W19" s="1465">
        <f>J19</f>
        <v>100</v>
      </c>
      <c r="X19" s="1458"/>
      <c r="Y19" s="3663"/>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63"/>
      <c r="Q20" s="1463"/>
      <c r="R20" s="1464"/>
      <c r="S20" s="1465"/>
      <c r="T20" s="1464"/>
      <c r="U20" s="1465"/>
      <c r="V20" s="1464"/>
      <c r="W20" s="1465"/>
      <c r="X20" s="1458"/>
      <c r="Y20" s="3663"/>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63"/>
      <c r="Q21" s="1463" t="str">
        <f>B21</f>
        <v>办公集聚程度</v>
      </c>
      <c r="R21" s="1464" t="s">
        <v>8</v>
      </c>
      <c r="S21" s="1465">
        <f>F21</f>
        <v>100</v>
      </c>
      <c r="T21" s="1464" t="s">
        <v>8</v>
      </c>
      <c r="U21" s="1465">
        <f>H21</f>
        <v>100</v>
      </c>
      <c r="V21" s="1464" t="s">
        <v>8</v>
      </c>
      <c r="W21" s="1465">
        <f>J21</f>
        <v>100</v>
      </c>
      <c r="X21" s="1458"/>
      <c r="Y21" s="3663"/>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63"/>
      <c r="Q22" s="1463"/>
      <c r="R22" s="1464"/>
      <c r="S22" s="1465"/>
      <c r="T22" s="1464"/>
      <c r="U22" s="1465"/>
      <c r="V22" s="1464"/>
      <c r="W22" s="1465"/>
      <c r="X22" s="1458"/>
      <c r="Y22" s="3663"/>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63"/>
      <c r="Q23" s="1463" t="str">
        <f>B23</f>
        <v>交通便捷度</v>
      </c>
      <c r="R23" s="1464" t="s">
        <v>8</v>
      </c>
      <c r="S23" s="1465">
        <f>F23</f>
        <v>100</v>
      </c>
      <c r="T23" s="1464" t="s">
        <v>8</v>
      </c>
      <c r="U23" s="1465">
        <f>H23</f>
        <v>100</v>
      </c>
      <c r="V23" s="1464" t="s">
        <v>8</v>
      </c>
      <c r="W23" s="1465">
        <f>J23</f>
        <v>100</v>
      </c>
      <c r="X23" s="1458"/>
      <c r="Y23" s="3663"/>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63"/>
      <c r="Q24" s="1463"/>
      <c r="R24" s="1464"/>
      <c r="S24" s="1465"/>
      <c r="T24" s="1464"/>
      <c r="U24" s="1465"/>
      <c r="V24" s="1464"/>
      <c r="W24" s="1465"/>
      <c r="X24" s="1458"/>
      <c r="Y24" s="3663"/>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63"/>
      <c r="Q25" s="1463" t="str">
        <f t="shared" ref="Q25:Q39" si="8">B25</f>
        <v>区域土地利用方向</v>
      </c>
      <c r="R25" s="1464" t="s">
        <v>8</v>
      </c>
      <c r="S25" s="1465">
        <f>F25</f>
        <v>100</v>
      </c>
      <c r="T25" s="1464" t="s">
        <v>8</v>
      </c>
      <c r="U25" s="1465">
        <f>H25</f>
        <v>100</v>
      </c>
      <c r="V25" s="1464" t="s">
        <v>8</v>
      </c>
      <c r="W25" s="1465">
        <f>J25</f>
        <v>100</v>
      </c>
      <c r="X25" s="1458"/>
      <c r="Y25" s="3663"/>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63"/>
      <c r="Q26" s="1463"/>
      <c r="R26" s="1464"/>
      <c r="S26" s="1465"/>
      <c r="T26" s="1464"/>
      <c r="U26" s="1465"/>
      <c r="V26" s="1464"/>
      <c r="W26" s="1465"/>
      <c r="X26" s="1458"/>
      <c r="Y26" s="3663"/>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63"/>
      <c r="Q27" s="1463" t="str">
        <f t="shared" si="8"/>
        <v>自然及人文环境状况</v>
      </c>
      <c r="R27" s="1464" t="s">
        <v>8</v>
      </c>
      <c r="S27" s="1465">
        <f>F27</f>
        <v>100</v>
      </c>
      <c r="T27" s="1464" t="s">
        <v>8</v>
      </c>
      <c r="U27" s="1465">
        <f>H27</f>
        <v>100</v>
      </c>
      <c r="V27" s="1464" t="s">
        <v>8</v>
      </c>
      <c r="W27" s="1465">
        <f>J27</f>
        <v>100</v>
      </c>
      <c r="X27" s="1458"/>
      <c r="Y27" s="3663"/>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63"/>
      <c r="Q28" s="1463"/>
      <c r="R28" s="1464"/>
      <c r="S28" s="1465"/>
      <c r="T28" s="1464"/>
      <c r="U28" s="1465"/>
      <c r="V28" s="1464"/>
      <c r="W28" s="1465"/>
      <c r="X28" s="1458"/>
      <c r="Y28" s="3663"/>
      <c r="Z28" s="1466"/>
      <c r="AA28" s="1467">
        <v>1</v>
      </c>
      <c r="AB28" s="1467">
        <v>1</v>
      </c>
      <c r="AC28" s="1467">
        <v>1</v>
      </c>
    </row>
    <row r="29" spans="1:29" s="1167" customFormat="1" ht="42.75">
      <c r="A29" s="554"/>
      <c r="B29" s="2358"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63"/>
      <c r="Q29" s="1098" t="str">
        <f t="shared" si="8"/>
        <v>公共配套设施</v>
      </c>
      <c r="R29" s="1459" t="s">
        <v>8</v>
      </c>
      <c r="S29" s="1460">
        <f>F29</f>
        <v>100</v>
      </c>
      <c r="T29" s="1459" t="s">
        <v>8</v>
      </c>
      <c r="U29" s="1460">
        <f>H29</f>
        <v>100</v>
      </c>
      <c r="V29" s="1459" t="s">
        <v>8</v>
      </c>
      <c r="W29" s="1460">
        <f>J29</f>
        <v>100</v>
      </c>
      <c r="X29" s="1461"/>
      <c r="Y29" s="3663"/>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63"/>
      <c r="Q30" s="1098"/>
      <c r="R30" s="1459"/>
      <c r="S30" s="1460"/>
      <c r="T30" s="1459"/>
      <c r="U30" s="1460"/>
      <c r="V30" s="1459"/>
      <c r="W30" s="1460"/>
      <c r="X30" s="1461"/>
      <c r="Y30" s="3663"/>
      <c r="Z30" s="1097"/>
      <c r="AA30" s="1467">
        <v>1</v>
      </c>
      <c r="AB30" s="1467">
        <v>1</v>
      </c>
      <c r="AC30" s="1467">
        <v>1</v>
      </c>
    </row>
    <row r="31" spans="1:29" s="1167" customFormat="1" ht="28.5">
      <c r="A31" s="554"/>
      <c r="B31" s="2358"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63"/>
      <c r="Q31" s="2351" t="str">
        <f t="shared" ref="Q31" si="9">B31</f>
        <v>基础设施水平</v>
      </c>
      <c r="R31" s="1459" t="s">
        <v>8</v>
      </c>
      <c r="S31" s="1460">
        <f>F31</f>
        <v>100</v>
      </c>
      <c r="T31" s="1459" t="s">
        <v>8</v>
      </c>
      <c r="U31" s="1460">
        <f>H31</f>
        <v>100</v>
      </c>
      <c r="V31" s="1459" t="s">
        <v>8</v>
      </c>
      <c r="W31" s="1460">
        <f>J31</f>
        <v>100</v>
      </c>
      <c r="X31" s="1461"/>
      <c r="Y31" s="3663"/>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63"/>
      <c r="Q32" s="2351"/>
      <c r="R32" s="1459"/>
      <c r="S32" s="1460"/>
      <c r="T32" s="1459"/>
      <c r="U32" s="1460"/>
      <c r="V32" s="1459"/>
      <c r="W32" s="1460"/>
      <c r="X32" s="1461"/>
      <c r="Y32" s="3663"/>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63"/>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63"/>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63"/>
      <c r="Q34" s="1463" t="str">
        <f t="shared" si="8"/>
        <v>毗邻道路的类型与等级</v>
      </c>
      <c r="R34" s="1464" t="s">
        <v>8</v>
      </c>
      <c r="S34" s="1465">
        <f t="shared" si="10"/>
        <v>100</v>
      </c>
      <c r="T34" s="1464" t="s">
        <v>8</v>
      </c>
      <c r="U34" s="1465">
        <f t="shared" si="11"/>
        <v>100</v>
      </c>
      <c r="V34" s="1464" t="s">
        <v>8</v>
      </c>
      <c r="W34" s="1465">
        <f t="shared" si="12"/>
        <v>100</v>
      </c>
      <c r="X34" s="1458"/>
      <c r="Y34" s="3663"/>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63"/>
      <c r="Q35" s="1463"/>
      <c r="R35" s="1464"/>
      <c r="S35" s="1465"/>
      <c r="T35" s="1464"/>
      <c r="U35" s="1465"/>
      <c r="V35" s="1464"/>
      <c r="W35" s="1465"/>
      <c r="X35" s="1458"/>
      <c r="Y35" s="3663"/>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63"/>
      <c r="Q36" s="1463" t="str">
        <f t="shared" si="8"/>
        <v>土地级别</v>
      </c>
      <c r="R36" s="1464" t="s">
        <v>8</v>
      </c>
      <c r="S36" s="1465">
        <f t="shared" si="10"/>
        <v>100</v>
      </c>
      <c r="T36" s="1464" t="s">
        <v>8</v>
      </c>
      <c r="U36" s="1465">
        <f t="shared" si="11"/>
        <v>100</v>
      </c>
      <c r="V36" s="1464" t="s">
        <v>8</v>
      </c>
      <c r="W36" s="1465">
        <f t="shared" si="12"/>
        <v>100</v>
      </c>
      <c r="X36" s="1458"/>
      <c r="Y36" s="3663"/>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63"/>
      <c r="Q37" s="1463">
        <f t="shared" si="8"/>
        <v>111</v>
      </c>
      <c r="R37" s="1464" t="s">
        <v>8</v>
      </c>
      <c r="S37" s="1465">
        <f t="shared" si="10"/>
        <v>100</v>
      </c>
      <c r="T37" s="1464" t="s">
        <v>8</v>
      </c>
      <c r="U37" s="1465">
        <f t="shared" si="11"/>
        <v>100</v>
      </c>
      <c r="V37" s="1464" t="s">
        <v>8</v>
      </c>
      <c r="W37" s="1465">
        <f t="shared" si="12"/>
        <v>100</v>
      </c>
      <c r="X37" s="1458"/>
      <c r="Y37" s="3663"/>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64" t="s">
        <v>533</v>
      </c>
      <c r="Q38" s="1463">
        <f t="shared" si="8"/>
        <v>111</v>
      </c>
      <c r="R38" s="1464" t="s">
        <v>8</v>
      </c>
      <c r="S38" s="1465">
        <f t="shared" si="10"/>
        <v>100</v>
      </c>
      <c r="T38" s="1464" t="s">
        <v>8</v>
      </c>
      <c r="U38" s="1465">
        <f t="shared" si="11"/>
        <v>100</v>
      </c>
      <c r="V38" s="1464" t="s">
        <v>8</v>
      </c>
      <c r="W38" s="1465">
        <f t="shared" si="12"/>
        <v>100</v>
      </c>
      <c r="X38" s="1458"/>
      <c r="Y38" s="3665"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65"/>
      <c r="Q39" s="1463">
        <f t="shared" si="8"/>
        <v>111</v>
      </c>
      <c r="R39" s="1468" t="s">
        <v>8</v>
      </c>
      <c r="S39" s="1469">
        <f t="shared" si="10"/>
        <v>100</v>
      </c>
      <c r="T39" s="1468" t="s">
        <v>8</v>
      </c>
      <c r="U39" s="1469">
        <f t="shared" si="11"/>
        <v>100</v>
      </c>
      <c r="V39" s="1468" t="s">
        <v>8</v>
      </c>
      <c r="W39" s="1469">
        <f t="shared" si="12"/>
        <v>100</v>
      </c>
      <c r="X39" s="1470"/>
      <c r="Y39" s="3665"/>
      <c r="Z39" s="1471">
        <f t="shared" si="13"/>
        <v>111</v>
      </c>
      <c r="AA39" s="1467">
        <f t="shared" si="3"/>
        <v>1</v>
      </c>
      <c r="AB39" s="1467">
        <f t="shared" si="4"/>
        <v>1</v>
      </c>
      <c r="AC39" s="1467">
        <f t="shared" si="5"/>
        <v>1</v>
      </c>
    </row>
    <row r="40" spans="1:29" ht="20.25">
      <c r="A40" s="2547" t="s">
        <v>2471</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9"/>
      <c r="M40" s="1969"/>
      <c r="N40" s="1969"/>
      <c r="O40" s="1978"/>
      <c r="P40" s="3665"/>
      <c r="Q40" s="1463" t="str">
        <f>B40</f>
        <v>宗地面积</v>
      </c>
      <c r="R40" s="1464" t="s">
        <v>8</v>
      </c>
      <c r="S40" s="1465" t="e">
        <f t="shared" si="10"/>
        <v>#N/A</v>
      </c>
      <c r="T40" s="1464" t="s">
        <v>8</v>
      </c>
      <c r="U40" s="1465" t="e">
        <f t="shared" si="11"/>
        <v>#N/A</v>
      </c>
      <c r="V40" s="1464" t="s">
        <v>8</v>
      </c>
      <c r="W40" s="1465" t="e">
        <f t="shared" si="12"/>
        <v>#N/A</v>
      </c>
      <c r="X40" s="1458"/>
      <c r="Y40" s="3665"/>
      <c r="Z40" s="1466" t="str">
        <f t="shared" si="13"/>
        <v>宗地面积</v>
      </c>
      <c r="AA40" s="1467" t="e">
        <f t="shared" si="3"/>
        <v>#N/A</v>
      </c>
      <c r="AB40" s="1467" t="e">
        <f t="shared" si="4"/>
        <v>#N/A</v>
      </c>
      <c r="AC40" s="1467"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65"/>
      <c r="Q41" s="1463" t="str">
        <f t="shared" ref="Q41:Q47" si="14">B41</f>
        <v>宗地形状</v>
      </c>
      <c r="R41" s="1464" t="s">
        <v>8</v>
      </c>
      <c r="S41" s="1465">
        <f t="shared" si="10"/>
        <v>100</v>
      </c>
      <c r="T41" s="1464" t="s">
        <v>8</v>
      </c>
      <c r="U41" s="1465">
        <f t="shared" si="11"/>
        <v>100</v>
      </c>
      <c r="V41" s="1464" t="s">
        <v>8</v>
      </c>
      <c r="W41" s="1465">
        <f t="shared" si="12"/>
        <v>100</v>
      </c>
      <c r="X41" s="1458"/>
      <c r="Y41" s="3665"/>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65"/>
      <c r="Q42" s="1463" t="str">
        <f t="shared" si="14"/>
        <v>临街宽度及深度</v>
      </c>
      <c r="R42" s="1464" t="s">
        <v>8</v>
      </c>
      <c r="S42" s="1465">
        <f t="shared" si="10"/>
        <v>100</v>
      </c>
      <c r="T42" s="1464" t="s">
        <v>8</v>
      </c>
      <c r="U42" s="1465">
        <f t="shared" si="11"/>
        <v>100</v>
      </c>
      <c r="V42" s="1464" t="s">
        <v>8</v>
      </c>
      <c r="W42" s="1465">
        <f t="shared" si="12"/>
        <v>100</v>
      </c>
      <c r="X42" s="1458"/>
      <c r="Y42" s="3665"/>
      <c r="Z42" s="1466" t="str">
        <f t="shared" si="13"/>
        <v>临街宽度及深度</v>
      </c>
      <c r="AA42" s="1467">
        <f t="shared" si="3"/>
        <v>1</v>
      </c>
      <c r="AB42" s="1467">
        <f t="shared" si="4"/>
        <v>1</v>
      </c>
      <c r="AC42" s="1467">
        <f t="shared" si="5"/>
        <v>1</v>
      </c>
    </row>
    <row r="43" spans="1:29" s="1167" customFormat="1" ht="20.25">
      <c r="A43" s="577"/>
      <c r="B43" s="1765" t="s">
        <v>2210</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65"/>
      <c r="Q43" s="1463" t="str">
        <f t="shared" si="14"/>
        <v>宗地开发程度</v>
      </c>
      <c r="R43" s="1459" t="s">
        <v>8</v>
      </c>
      <c r="S43" s="1460">
        <f t="shared" si="10"/>
        <v>100</v>
      </c>
      <c r="T43" s="1459" t="s">
        <v>8</v>
      </c>
      <c r="U43" s="1460">
        <f t="shared" si="11"/>
        <v>100</v>
      </c>
      <c r="V43" s="1459" t="s">
        <v>8</v>
      </c>
      <c r="W43" s="1460">
        <f t="shared" si="12"/>
        <v>100</v>
      </c>
      <c r="X43" s="1461"/>
      <c r="Y43" s="3665"/>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65" t="s">
        <v>533</v>
      </c>
      <c r="Q44" s="1463" t="str">
        <f t="shared" si="14"/>
        <v>工程地质条件</v>
      </c>
      <c r="R44" s="1464" t="s">
        <v>8</v>
      </c>
      <c r="S44" s="1465">
        <f t="shared" si="10"/>
        <v>100</v>
      </c>
      <c r="T44" s="1464" t="s">
        <v>8</v>
      </c>
      <c r="U44" s="1465">
        <f t="shared" si="11"/>
        <v>100</v>
      </c>
      <c r="V44" s="1464" t="s">
        <v>8</v>
      </c>
      <c r="W44" s="1465">
        <f t="shared" si="12"/>
        <v>100</v>
      </c>
      <c r="X44" s="1458"/>
      <c r="Y44" s="3665"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65"/>
      <c r="Q45" s="1463">
        <f t="shared" si="14"/>
        <v>111</v>
      </c>
      <c r="R45" s="1464" t="s">
        <v>8</v>
      </c>
      <c r="S45" s="1465">
        <f t="shared" si="10"/>
        <v>100</v>
      </c>
      <c r="T45" s="1464" t="s">
        <v>8</v>
      </c>
      <c r="U45" s="1465">
        <f t="shared" si="11"/>
        <v>100</v>
      </c>
      <c r="V45" s="1464" t="s">
        <v>8</v>
      </c>
      <c r="W45" s="1465">
        <f t="shared" si="12"/>
        <v>100</v>
      </c>
      <c r="X45" s="1458"/>
      <c r="Y45" s="3665"/>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65"/>
      <c r="Q46" s="1463">
        <f t="shared" si="14"/>
        <v>111</v>
      </c>
      <c r="R46" s="1464" t="s">
        <v>8</v>
      </c>
      <c r="S46" s="1465">
        <f t="shared" si="10"/>
        <v>100</v>
      </c>
      <c r="T46" s="1464" t="s">
        <v>8</v>
      </c>
      <c r="U46" s="1465">
        <f t="shared" si="11"/>
        <v>100</v>
      </c>
      <c r="V46" s="1464" t="s">
        <v>8</v>
      </c>
      <c r="W46" s="1465">
        <f t="shared" si="12"/>
        <v>100</v>
      </c>
      <c r="X46" s="1458"/>
      <c r="Y46" s="3665"/>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65"/>
      <c r="Q47" s="1463">
        <f t="shared" si="14"/>
        <v>111</v>
      </c>
      <c r="R47" s="1468" t="s">
        <v>8</v>
      </c>
      <c r="S47" s="1469">
        <f t="shared" si="10"/>
        <v>100</v>
      </c>
      <c r="T47" s="1468" t="s">
        <v>8</v>
      </c>
      <c r="U47" s="1469">
        <f t="shared" si="11"/>
        <v>100</v>
      </c>
      <c r="V47" s="1468" t="s">
        <v>8</v>
      </c>
      <c r="W47" s="1469">
        <f t="shared" si="12"/>
        <v>100</v>
      </c>
      <c r="X47" s="1470"/>
      <c r="Y47" s="3665"/>
      <c r="Z47" s="1471">
        <f t="shared" si="13"/>
        <v>111</v>
      </c>
      <c r="AA47" s="1467">
        <f t="shared" si="3"/>
        <v>1</v>
      </c>
      <c r="AB47" s="1467">
        <f t="shared" si="4"/>
        <v>1</v>
      </c>
      <c r="AC47" s="1467">
        <f t="shared" si="5"/>
        <v>1</v>
      </c>
    </row>
    <row r="48" spans="1:29" ht="20.25">
      <c r="A48" s="584" t="s">
        <v>539</v>
      </c>
      <c r="B48" s="585" t="s">
        <v>2635</v>
      </c>
      <c r="C48" s="586" t="s">
        <v>1</v>
      </c>
      <c r="D48" s="587"/>
      <c r="E48" s="588"/>
      <c r="F48" s="589"/>
      <c r="G48" s="590"/>
      <c r="H48" s="591"/>
      <c r="I48" s="588"/>
      <c r="J48" s="591"/>
      <c r="K48" s="1250"/>
      <c r="L48" s="1981"/>
      <c r="M48" s="1969"/>
      <c r="N48" s="1969"/>
      <c r="O48" s="1982"/>
      <c r="P48" s="3629" t="str">
        <f>A48</f>
        <v>成交单价</v>
      </c>
      <c r="Q48" s="3629"/>
      <c r="R48" s="3630">
        <f>E48</f>
        <v>0</v>
      </c>
      <c r="S48" s="3630"/>
      <c r="T48" s="3630">
        <f>G48</f>
        <v>0</v>
      </c>
      <c r="U48" s="3630"/>
      <c r="V48" s="3630">
        <f>I48</f>
        <v>0</v>
      </c>
      <c r="W48" s="3630"/>
      <c r="X48" s="1453"/>
      <c r="Y48" s="1472"/>
      <c r="Z48" s="1453"/>
      <c r="AA48" s="1453"/>
      <c r="AB48" s="1453"/>
      <c r="AC48" s="1453"/>
    </row>
    <row r="49" spans="1:29" ht="21" thickBot="1">
      <c r="A49" s="592" t="s">
        <v>2409</v>
      </c>
      <c r="B49" s="593"/>
      <c r="C49" s="594" t="e">
        <f>R50</f>
        <v>#DIV/0!</v>
      </c>
      <c r="D49" s="2923" t="s">
        <v>2701</v>
      </c>
      <c r="E49" s="594" t="e">
        <f>R49</f>
        <v>#DIV/0!</v>
      </c>
      <c r="F49" s="2924"/>
      <c r="G49" s="595" t="e">
        <f>T49</f>
        <v>#DIV/0!</v>
      </c>
      <c r="H49" s="2924"/>
      <c r="I49" s="594" t="e">
        <f>V49</f>
        <v>#DIV/0!</v>
      </c>
      <c r="J49" s="2924"/>
      <c r="K49" s="2925">
        <f>F49+H49+J49</f>
        <v>0</v>
      </c>
      <c r="L49" s="1981"/>
      <c r="M49" s="1969"/>
      <c r="N49" s="1969"/>
      <c r="O49" s="1982"/>
      <c r="P49" s="3629" t="str">
        <f>A49</f>
        <v>比较价格（元/平方米）</v>
      </c>
      <c r="Q49" s="3629"/>
      <c r="R49" s="3631" t="e">
        <f>ROUND(PRODUCT(R48,AA9:AA47),0)</f>
        <v>#DIV/0!</v>
      </c>
      <c r="S49" s="3631"/>
      <c r="T49" s="3631" t="e">
        <f>ROUND(PRODUCT(T48,AB9:AB47),0)</f>
        <v>#DIV/0!</v>
      </c>
      <c r="U49" s="3631"/>
      <c r="V49" s="3631" t="e">
        <f>ROUND(PRODUCT(V48,AC9:AC47),0)</f>
        <v>#DIV/0!</v>
      </c>
      <c r="W49" s="3631"/>
      <c r="X49" s="1453"/>
      <c r="Y49" s="1453"/>
      <c r="Z49" s="1453"/>
      <c r="AA49" s="1453"/>
      <c r="AB49" s="1453"/>
      <c r="AC49" s="1453"/>
    </row>
    <row r="50" spans="1:29" ht="21" thickBot="1">
      <c r="A50" s="596" t="s">
        <v>2636</v>
      </c>
      <c r="B50" s="597"/>
      <c r="C50" s="598" t="e">
        <f>R50</f>
        <v>#DIV/0!</v>
      </c>
      <c r="D50" s="598"/>
      <c r="E50" s="598"/>
      <c r="F50" s="598"/>
      <c r="G50" s="598"/>
      <c r="H50" s="598"/>
      <c r="I50" s="598"/>
      <c r="J50" s="598"/>
      <c r="K50" s="1251"/>
      <c r="L50" s="1981"/>
      <c r="M50" s="1969"/>
      <c r="N50" s="1969"/>
      <c r="O50" s="1982"/>
      <c r="P50" s="3666" t="str">
        <f>A50</f>
        <v>估价对象XX用房的比较价格（楼面单价，元/平方米）</v>
      </c>
      <c r="Q50" s="3667"/>
      <c r="R50" s="3628" t="e">
        <f>ROUND(IF(D49="简单平均",AVERAGE(R49:W49),R49*F49+T49*H49+V49*J49),0)</f>
        <v>#DIV/0!</v>
      </c>
      <c r="S50" s="3628"/>
      <c r="T50" s="3628"/>
      <c r="U50" s="3628"/>
      <c r="V50" s="3628"/>
      <c r="W50" s="3628"/>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1523</v>
      </c>
      <c r="D57" s="2062" t="s">
        <v>2082</v>
      </c>
      <c r="E57" s="606" t="s">
        <v>545</v>
      </c>
      <c r="F57" s="607" t="s">
        <v>546</v>
      </c>
      <c r="G57" s="3655" t="s">
        <v>2071</v>
      </c>
      <c r="H57" s="3656"/>
      <c r="I57" s="1450" t="s">
        <v>1521</v>
      </c>
      <c r="J57" s="1450">
        <f>项目基本情况!F41</f>
        <v>0</v>
      </c>
      <c r="K57" s="1990" t="s">
        <v>1522</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t="e">
        <f>C50</f>
        <v>#DIV/0!</v>
      </c>
      <c r="C58" s="610">
        <v>1</v>
      </c>
      <c r="D58" s="2063">
        <v>1</v>
      </c>
      <c r="E58" s="610">
        <f>'数据-汇总表'!E8+'数据-汇总表'!E9</f>
        <v>0</v>
      </c>
      <c r="F58" s="611" t="e">
        <f t="shared" ref="F58:F66" si="15">ROUND(B58*E58/10000,0)</f>
        <v>#DIV/0!</v>
      </c>
      <c r="G58" s="3657"/>
      <c r="H58" s="3658"/>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t="e">
        <f>ROUND($C$50*C59*D59,0)</f>
        <v>#DIV/0!</v>
      </c>
      <c r="C59" s="372">
        <f t="shared" ref="C59:C66" si="16">IF($C$57="北京市系数",I59,J59)</f>
        <v>0</v>
      </c>
      <c r="D59" s="2064">
        <v>0.25</v>
      </c>
      <c r="E59" s="614">
        <v>0</v>
      </c>
      <c r="F59" s="611" t="e">
        <f t="shared" si="15"/>
        <v>#DIV/0!</v>
      </c>
      <c r="G59" s="3444" t="s">
        <v>2072</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t="e">
        <f t="shared" ref="B60:B66" si="17">ROUND($C$50*C60*D60,0)</f>
        <v>#DIV/0!</v>
      </c>
      <c r="C60" s="372">
        <f t="shared" si="16"/>
        <v>0</v>
      </c>
      <c r="D60" s="2064">
        <v>0.25</v>
      </c>
      <c r="E60" s="614">
        <v>0</v>
      </c>
      <c r="F60" s="611" t="e">
        <f t="shared" si="15"/>
        <v>#DIV/0!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t="e">
        <f t="shared" si="17"/>
        <v>#DIV/0!</v>
      </c>
      <c r="C61" s="372">
        <f t="shared" si="16"/>
        <v>0</v>
      </c>
      <c r="D61" s="2064">
        <v>0.25</v>
      </c>
      <c r="E61" s="614">
        <v>0</v>
      </c>
      <c r="F61" s="611" t="e">
        <f t="shared" si="15"/>
        <v>#DIV/0!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2117</v>
      </c>
      <c r="B62" s="613" t="e">
        <f t="shared" si="17"/>
        <v>#DIV/0!</v>
      </c>
      <c r="C62" s="372">
        <f t="shared" si="16"/>
        <v>0</v>
      </c>
      <c r="D62" s="2064">
        <v>0.25</v>
      </c>
      <c r="E62" s="616">
        <f>'数据-汇总表'!E11</f>
        <v>0</v>
      </c>
      <c r="F62" s="611" t="e">
        <f t="shared" si="15"/>
        <v>#DIV/0!</v>
      </c>
      <c r="G62" s="1815" t="s">
        <v>2073</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t="e">
        <f t="shared" si="17"/>
        <v>#DIV/0!</v>
      </c>
      <c r="C63" s="372">
        <f t="shared" si="16"/>
        <v>0</v>
      </c>
      <c r="D63" s="2064">
        <v>0.25</v>
      </c>
      <c r="E63" s="616">
        <f>'数据-汇总表'!E12</f>
        <v>0</v>
      </c>
      <c r="F63" s="611" t="e">
        <f t="shared" si="15"/>
        <v>#DIV/0!</v>
      </c>
      <c r="G63" s="1816" t="s">
        <v>1476</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t="e">
        <f t="shared" si="17"/>
        <v>#DIV/0!</v>
      </c>
      <c r="C64" s="372">
        <f t="shared" si="16"/>
        <v>0</v>
      </c>
      <c r="D64" s="2064">
        <v>0.25</v>
      </c>
      <c r="E64" s="616">
        <f>'数据-汇总表'!E13</f>
        <v>0</v>
      </c>
      <c r="F64" s="611" t="e">
        <f t="shared" si="15"/>
        <v>#DIV/0!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t="e">
        <f t="shared" si="17"/>
        <v>#DIV/0!</v>
      </c>
      <c r="C65" s="372">
        <f t="shared" si="16"/>
        <v>0</v>
      </c>
      <c r="D65" s="2064">
        <v>0.25</v>
      </c>
      <c r="E65" s="616">
        <f>'数据-汇总表'!E14</f>
        <v>0</v>
      </c>
      <c r="F65" s="611" t="e">
        <f t="shared" si="15"/>
        <v>#DIV/0!</v>
      </c>
      <c r="G65" s="1815" t="s">
        <v>2072</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t="e">
        <f t="shared" si="17"/>
        <v>#DIV/0!</v>
      </c>
      <c r="C66" s="372">
        <f t="shared" si="16"/>
        <v>0</v>
      </c>
      <c r="D66" s="2064">
        <v>0.25</v>
      </c>
      <c r="E66" s="616">
        <f>'数据-汇总表'!E15</f>
        <v>0</v>
      </c>
      <c r="F66" s="611" t="e">
        <f t="shared" si="15"/>
        <v>#DIV/0!</v>
      </c>
      <c r="G66" s="1817" t="s">
        <v>2073</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2083</v>
      </c>
      <c r="E67" s="618" t="e">
        <f>IF(B48="楼面地价",SUM(E58:E66),'数据-汇总表'!D3)</f>
        <v>#DIV/0!</v>
      </c>
      <c r="F67" s="619" t="e">
        <f>IF(B48="楼面地价",SUM(F58:F66),ROUND(C50*E67/10000,0))</f>
        <v>#DIV/0!</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2020-4-1</v>
      </c>
      <c r="D69" s="2439">
        <f>EDATE(C69,-3)</f>
        <v>43831</v>
      </c>
      <c r="E69" s="2439">
        <f t="shared" ref="E69:N69" si="18">EDATE(D69,-3)</f>
        <v>43739</v>
      </c>
      <c r="F69" s="2439">
        <f t="shared" si="18"/>
        <v>43647</v>
      </c>
      <c r="G69" s="2439">
        <f t="shared" si="18"/>
        <v>43556</v>
      </c>
      <c r="H69" s="2439">
        <f t="shared" si="18"/>
        <v>43466</v>
      </c>
      <c r="I69" s="2439">
        <f t="shared" si="18"/>
        <v>43374</v>
      </c>
      <c r="J69" s="2439">
        <f t="shared" si="18"/>
        <v>43282</v>
      </c>
      <c r="K69" s="2439">
        <f t="shared" si="18"/>
        <v>43191</v>
      </c>
      <c r="L69" s="2439">
        <f t="shared" si="18"/>
        <v>43101</v>
      </c>
      <c r="M69" s="2439">
        <f t="shared" si="18"/>
        <v>43009</v>
      </c>
      <c r="N69" s="2439">
        <f t="shared" si="18"/>
        <v>42917</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2249</v>
      </c>
      <c r="B71" s="2345"/>
      <c r="C71" s="2436" t="str">
        <f>YEAR(C69)&amp;"-"&amp;ROUNDUP(MONTH(C69)/3,0)</f>
        <v>2020-2</v>
      </c>
      <c r="D71" s="2441" t="str">
        <f>YEAR(D69)&amp;"-"&amp;ROUNDUP(MONTH(D69)/3,0)</f>
        <v>2020-1</v>
      </c>
      <c r="E71" s="2441" t="str">
        <f t="shared" ref="E71:N71" si="19">YEAR(E69)&amp;"-"&amp;ROUNDUP(MONTH(E69)/3,0)</f>
        <v>2019-4</v>
      </c>
      <c r="F71" s="2441" t="str">
        <f t="shared" si="19"/>
        <v>2019-3</v>
      </c>
      <c r="G71" s="2441" t="str">
        <f t="shared" si="19"/>
        <v>2019-2</v>
      </c>
      <c r="H71" s="2441" t="str">
        <f t="shared" si="19"/>
        <v>2019-1</v>
      </c>
      <c r="I71" s="2441" t="str">
        <f t="shared" si="19"/>
        <v>2018-4</v>
      </c>
      <c r="J71" s="2441" t="str">
        <f t="shared" si="19"/>
        <v>2018-3</v>
      </c>
      <c r="K71" s="2441" t="str">
        <f t="shared" si="19"/>
        <v>2018-2</v>
      </c>
      <c r="L71" s="2441" t="str">
        <f t="shared" si="19"/>
        <v>2018-1</v>
      </c>
      <c r="M71" s="2441" t="str">
        <f t="shared" si="19"/>
        <v>2017-4</v>
      </c>
      <c r="N71" s="2441" t="str">
        <f t="shared" si="19"/>
        <v>2017-3</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2363</v>
      </c>
      <c r="B72" s="472" t="str">
        <f>"北京市平均增长率"&amp;TEXT(SUMIF(基准地价!N21:N25,A72,基准地价!P21:P25),"0.00%")</f>
        <v>北京市平均增长率1.86%</v>
      </c>
      <c r="C72" s="866">
        <v>100</v>
      </c>
      <c r="D72" s="705"/>
      <c r="E72" s="705"/>
      <c r="F72" s="705"/>
      <c r="G72" s="705"/>
      <c r="H72" s="705"/>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2362</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c r="D81" s="518"/>
      <c r="E81" s="518"/>
      <c r="F81" s="518"/>
      <c r="G81" s="518"/>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2265</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2267</v>
      </c>
      <c r="C103" s="2365" t="s">
        <v>2268</v>
      </c>
      <c r="D103" s="2365" t="s">
        <v>2269</v>
      </c>
      <c r="E103" s="2365" t="s">
        <v>2270</v>
      </c>
      <c r="F103" s="2365" t="s">
        <v>2271</v>
      </c>
      <c r="G103" s="2365" t="s">
        <v>2272</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c r="D118" s="705"/>
      <c r="E118" s="705"/>
      <c r="F118" s="705"/>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c r="D119" s="701"/>
      <c r="E119" s="701"/>
      <c r="F119" s="701"/>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2211</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F38" sqref="F38"/>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1484</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35" t="s">
        <v>505</v>
      </c>
      <c r="D6" s="3636"/>
      <c r="E6" s="3670" t="s">
        <v>506</v>
      </c>
      <c r="F6" s="3671"/>
      <c r="G6" s="3635" t="s">
        <v>507</v>
      </c>
      <c r="H6" s="3636"/>
      <c r="I6" s="3635" t="s">
        <v>508</v>
      </c>
      <c r="J6" s="3636"/>
      <c r="K6" s="491" t="s">
        <v>509</v>
      </c>
      <c r="L6" s="1970"/>
      <c r="M6" s="1971"/>
      <c r="N6" s="1971"/>
      <c r="O6" s="1971"/>
      <c r="P6" s="3637" t="s">
        <v>510</v>
      </c>
      <c r="Q6" s="3638"/>
      <c r="R6" s="3643" t="s">
        <v>506</v>
      </c>
      <c r="S6" s="3644"/>
      <c r="T6" s="3643" t="s">
        <v>507</v>
      </c>
      <c r="U6" s="3644"/>
      <c r="V6" s="3630" t="s">
        <v>508</v>
      </c>
      <c r="W6" s="3630"/>
      <c r="X6" s="1458"/>
      <c r="Y6" s="3643" t="s">
        <v>510</v>
      </c>
      <c r="Z6" s="3644"/>
      <c r="AA6" s="3632" t="s">
        <v>506</v>
      </c>
      <c r="AB6" s="3633" t="s">
        <v>507</v>
      </c>
      <c r="AC6" s="3632" t="s">
        <v>508</v>
      </c>
    </row>
    <row r="7" spans="1:29" ht="15">
      <c r="A7" s="492"/>
      <c r="B7" s="493"/>
      <c r="C7" s="3651" t="s">
        <v>2630</v>
      </c>
      <c r="D7" s="3652"/>
      <c r="E7" s="3672" t="s">
        <v>2631</v>
      </c>
      <c r="F7" s="3673"/>
      <c r="G7" s="3651" t="s">
        <v>2632</v>
      </c>
      <c r="H7" s="3652"/>
      <c r="I7" s="3651" t="s">
        <v>2633</v>
      </c>
      <c r="J7" s="3652"/>
      <c r="K7" s="491"/>
      <c r="L7" s="1970"/>
      <c r="M7" s="1971"/>
      <c r="N7" s="1971"/>
      <c r="O7" s="1971"/>
      <c r="P7" s="3639"/>
      <c r="Q7" s="3640"/>
      <c r="R7" s="3645"/>
      <c r="S7" s="3646"/>
      <c r="T7" s="3645"/>
      <c r="U7" s="3646"/>
      <c r="V7" s="3630"/>
      <c r="W7" s="3630"/>
      <c r="X7" s="1458"/>
      <c r="Y7" s="3645"/>
      <c r="Z7" s="3646"/>
      <c r="AA7" s="3633"/>
      <c r="AB7" s="3633"/>
      <c r="AC7" s="3633"/>
    </row>
    <row r="8" spans="1:29" ht="15.75" thickBot="1">
      <c r="A8" s="494"/>
      <c r="B8" s="495"/>
      <c r="C8" s="3649" t="s">
        <v>2634</v>
      </c>
      <c r="D8" s="3650"/>
      <c r="E8" s="3668" t="s">
        <v>2634</v>
      </c>
      <c r="F8" s="3669"/>
      <c r="G8" s="3649" t="s">
        <v>2634</v>
      </c>
      <c r="H8" s="3650"/>
      <c r="I8" s="3649" t="s">
        <v>2634</v>
      </c>
      <c r="J8" s="3650"/>
      <c r="K8" s="491" t="s">
        <v>511</v>
      </c>
      <c r="L8" s="1970"/>
      <c r="M8" s="1971"/>
      <c r="N8" s="1971"/>
      <c r="O8" s="1971"/>
      <c r="P8" s="3641"/>
      <c r="Q8" s="3642"/>
      <c r="R8" s="3645"/>
      <c r="S8" s="3646"/>
      <c r="T8" s="3647"/>
      <c r="U8" s="3648"/>
      <c r="V8" s="3630"/>
      <c r="W8" s="3630"/>
      <c r="X8" s="1458"/>
      <c r="Y8" s="3647"/>
      <c r="Z8" s="3648"/>
      <c r="AA8" s="3634"/>
      <c r="AB8" s="3634"/>
      <c r="AC8" s="3634"/>
    </row>
    <row r="9" spans="1:29" s="1167" customFormat="1" ht="15.75" thickBot="1">
      <c r="A9" s="2552"/>
      <c r="B9" s="2559" t="s">
        <v>512</v>
      </c>
      <c r="C9" s="496">
        <f>'数据-取费表'!B2</f>
        <v>43923</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59" t="s">
        <v>513</v>
      </c>
      <c r="Q9" s="3661"/>
      <c r="R9" s="1459" t="s">
        <v>8</v>
      </c>
      <c r="S9" s="1460">
        <f t="shared" ref="S9:S17" si="0">F9</f>
        <v>0</v>
      </c>
      <c r="T9" s="1459" t="s">
        <v>8</v>
      </c>
      <c r="U9" s="1460">
        <f t="shared" ref="U9:U17" si="1">H9</f>
        <v>0</v>
      </c>
      <c r="V9" s="1459" t="s">
        <v>8</v>
      </c>
      <c r="W9" s="1460">
        <f t="shared" ref="W9:W17" si="2">J9</f>
        <v>0</v>
      </c>
      <c r="X9" s="1461"/>
      <c r="Y9" s="3659" t="s">
        <v>513</v>
      </c>
      <c r="Z9" s="3660"/>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59" t="s">
        <v>516</v>
      </c>
      <c r="Q10" s="3660"/>
      <c r="R10" s="1459" t="s">
        <v>8</v>
      </c>
      <c r="S10" s="1460">
        <f t="shared" si="0"/>
        <v>0</v>
      </c>
      <c r="T10" s="1459" t="s">
        <v>8</v>
      </c>
      <c r="U10" s="1460">
        <f t="shared" si="1"/>
        <v>0</v>
      </c>
      <c r="V10" s="1459" t="s">
        <v>8</v>
      </c>
      <c r="W10" s="1460">
        <f t="shared" si="2"/>
        <v>0</v>
      </c>
      <c r="X10" s="1461"/>
      <c r="Y10" s="3659" t="s">
        <v>516</v>
      </c>
      <c r="Z10" s="3660"/>
      <c r="AA10" s="1462" t="e">
        <f t="shared" ref="AA10:AA42" si="3">D10/F10</f>
        <v>#DIV/0!</v>
      </c>
      <c r="AB10" s="1462" t="e">
        <f t="shared" ref="AB10:AB42" si="4">D10/H10</f>
        <v>#DIV/0!</v>
      </c>
      <c r="AC10" s="1462" t="e">
        <f t="shared" ref="AC10:AC42" si="5">D10/J10</f>
        <v>#DIV/0!</v>
      </c>
    </row>
    <row r="11" spans="1:29" s="1167" customFormat="1" ht="15">
      <c r="A11" s="2554"/>
      <c r="B11" s="2561" t="s">
        <v>2472</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29" t="s">
        <v>518</v>
      </c>
      <c r="Q11" s="1098" t="str">
        <f t="shared" ref="Q11:Q17" si="6">B11</f>
        <v>用途</v>
      </c>
      <c r="R11" s="1459" t="s">
        <v>8</v>
      </c>
      <c r="S11" s="1460">
        <f t="shared" si="0"/>
        <v>100</v>
      </c>
      <c r="T11" s="1459" t="s">
        <v>8</v>
      </c>
      <c r="U11" s="1460">
        <f t="shared" si="1"/>
        <v>100</v>
      </c>
      <c r="V11" s="1459" t="s">
        <v>8</v>
      </c>
      <c r="W11" s="1460">
        <f t="shared" si="2"/>
        <v>100</v>
      </c>
      <c r="X11" s="1461"/>
      <c r="Y11" s="3573" t="s">
        <v>519</v>
      </c>
      <c r="Z11" s="1097" t="str">
        <f t="shared" ref="Z11:Z17" si="7">Q11</f>
        <v>用途</v>
      </c>
      <c r="AA11" s="1462">
        <f t="shared" si="3"/>
        <v>1</v>
      </c>
      <c r="AB11" s="1462">
        <f t="shared" si="4"/>
        <v>1</v>
      </c>
      <c r="AC11" s="1462">
        <f t="shared" si="5"/>
        <v>1</v>
      </c>
    </row>
    <row r="12" spans="1:29" s="1248" customFormat="1" ht="27">
      <c r="A12" s="2555"/>
      <c r="B12" s="2560" t="s">
        <v>2473</v>
      </c>
      <c r="C12" s="505"/>
      <c r="D12" s="253">
        <v>100</v>
      </c>
      <c r="E12" s="505"/>
      <c r="F12" s="253" t="e">
        <f>ROUND(100/'数据-取费表'!G16,0)</f>
        <v>#DIV/0!</v>
      </c>
      <c r="G12" s="505"/>
      <c r="H12" s="253" t="e">
        <f>ROUND(100/'数据-取费表'!G16,0)</f>
        <v>#DIV/0!</v>
      </c>
      <c r="I12" s="505"/>
      <c r="J12" s="253" t="e">
        <f>ROUND(100/'数据-取费表'!G16,0)</f>
        <v>#DIV/0!</v>
      </c>
      <c r="K12" s="508"/>
      <c r="L12" s="1975"/>
      <c r="M12" s="2014"/>
      <c r="N12" s="2014"/>
      <c r="O12" s="1976"/>
      <c r="P12" s="3629"/>
      <c r="Q12" s="1098" t="str">
        <f t="shared" si="6"/>
        <v>土地使用年限（年）</v>
      </c>
      <c r="R12" s="1459" t="s">
        <v>8</v>
      </c>
      <c r="S12" s="1460" t="e">
        <f t="shared" si="0"/>
        <v>#DIV/0!</v>
      </c>
      <c r="T12" s="1459" t="s">
        <v>8</v>
      </c>
      <c r="U12" s="1460" t="e">
        <f t="shared" si="1"/>
        <v>#DIV/0!</v>
      </c>
      <c r="V12" s="1459" t="s">
        <v>8</v>
      </c>
      <c r="W12" s="1460" t="e">
        <f t="shared" si="2"/>
        <v>#DIV/0!</v>
      </c>
      <c r="X12" s="1461"/>
      <c r="Y12" s="3573"/>
      <c r="Z12" s="1097" t="str">
        <f t="shared" si="7"/>
        <v>土地使用年限（年）</v>
      </c>
      <c r="AA12" s="1462" t="e">
        <f t="shared" si="3"/>
        <v>#DIV/0!</v>
      </c>
      <c r="AB12" s="1462" t="e">
        <f t="shared" si="4"/>
        <v>#DIV/0!</v>
      </c>
      <c r="AC12" s="1462" t="e">
        <f t="shared" si="5"/>
        <v>#DIV/0!</v>
      </c>
    </row>
    <row r="13" spans="1:29" ht="15">
      <c r="A13" s="2556"/>
      <c r="B13" s="2560"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29"/>
      <c r="Q13" s="1098" t="str">
        <f t="shared" si="6"/>
        <v>容积率</v>
      </c>
      <c r="R13" s="1459" t="s">
        <v>8</v>
      </c>
      <c r="S13" s="1460" t="e">
        <f t="shared" si="0"/>
        <v>#N/A</v>
      </c>
      <c r="T13" s="1459" t="s">
        <v>8</v>
      </c>
      <c r="U13" s="1460" t="e">
        <f t="shared" si="1"/>
        <v>#N/A</v>
      </c>
      <c r="V13" s="1459" t="s">
        <v>8</v>
      </c>
      <c r="W13" s="1460" t="e">
        <f t="shared" si="2"/>
        <v>#N/A</v>
      </c>
      <c r="X13" s="1461"/>
      <c r="Y13" s="3573"/>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29"/>
      <c r="Q14" s="1098">
        <f t="shared" si="6"/>
        <v>111</v>
      </c>
      <c r="R14" s="1459" t="s">
        <v>8</v>
      </c>
      <c r="S14" s="1460">
        <f t="shared" si="0"/>
        <v>100</v>
      </c>
      <c r="T14" s="1459" t="s">
        <v>8</v>
      </c>
      <c r="U14" s="1460">
        <f t="shared" si="1"/>
        <v>100</v>
      </c>
      <c r="V14" s="1459" t="s">
        <v>8</v>
      </c>
      <c r="W14" s="1460">
        <f t="shared" si="2"/>
        <v>100</v>
      </c>
      <c r="X14" s="1461"/>
      <c r="Y14" s="3573"/>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29"/>
      <c r="Q15" s="1098">
        <f t="shared" si="6"/>
        <v>111</v>
      </c>
      <c r="R15" s="1459" t="s">
        <v>8</v>
      </c>
      <c r="S15" s="1460">
        <f t="shared" si="0"/>
        <v>100</v>
      </c>
      <c r="T15" s="1459" t="s">
        <v>8</v>
      </c>
      <c r="U15" s="1460">
        <f t="shared" si="1"/>
        <v>100</v>
      </c>
      <c r="V15" s="1459" t="s">
        <v>8</v>
      </c>
      <c r="W15" s="1460">
        <f t="shared" si="2"/>
        <v>100</v>
      </c>
      <c r="X15" s="1461"/>
      <c r="Y15" s="3573"/>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29"/>
      <c r="Q16" s="1098">
        <f t="shared" si="6"/>
        <v>111</v>
      </c>
      <c r="R16" s="1459" t="s">
        <v>8</v>
      </c>
      <c r="S16" s="1460">
        <f t="shared" si="0"/>
        <v>100</v>
      </c>
      <c r="T16" s="1459" t="s">
        <v>8</v>
      </c>
      <c r="U16" s="1460">
        <f t="shared" si="1"/>
        <v>100</v>
      </c>
      <c r="V16" s="1459" t="s">
        <v>8</v>
      </c>
      <c r="W16" s="1460">
        <f t="shared" si="2"/>
        <v>100</v>
      </c>
      <c r="X16" s="1461"/>
      <c r="Y16" s="3573"/>
      <c r="Z16" s="1097">
        <f t="shared" si="7"/>
        <v>111</v>
      </c>
      <c r="AA16" s="1462">
        <f t="shared" si="3"/>
        <v>1</v>
      </c>
      <c r="AB16" s="1462">
        <f t="shared" si="4"/>
        <v>1</v>
      </c>
      <c r="AC16" s="1462">
        <f t="shared" si="5"/>
        <v>1</v>
      </c>
    </row>
    <row r="17" spans="1:29" ht="57">
      <c r="A17" s="2550" t="s">
        <v>2470</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62" t="s">
        <v>523</v>
      </c>
      <c r="Q17" s="1463" t="str">
        <f t="shared" si="6"/>
        <v>产业集聚程度</v>
      </c>
      <c r="R17" s="1464" t="s">
        <v>8</v>
      </c>
      <c r="S17" s="1465">
        <f t="shared" si="0"/>
        <v>100</v>
      </c>
      <c r="T17" s="1464" t="s">
        <v>8</v>
      </c>
      <c r="U17" s="1465">
        <f t="shared" si="1"/>
        <v>100</v>
      </c>
      <c r="V17" s="1464" t="s">
        <v>8</v>
      </c>
      <c r="W17" s="1465">
        <f t="shared" si="2"/>
        <v>100</v>
      </c>
      <c r="X17" s="1458"/>
      <c r="Y17" s="3662"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63"/>
      <c r="Q18" s="1463"/>
      <c r="R18" s="1464"/>
      <c r="S18" s="1465"/>
      <c r="T18" s="1464"/>
      <c r="U18" s="1465"/>
      <c r="V18" s="1464"/>
      <c r="W18" s="1465"/>
      <c r="X18" s="1458"/>
      <c r="Y18" s="3663"/>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63"/>
      <c r="Q19" s="1463" t="str">
        <f>B19</f>
        <v>交通便捷度</v>
      </c>
      <c r="R19" s="1464" t="s">
        <v>8</v>
      </c>
      <c r="S19" s="1465">
        <f>F19</f>
        <v>100</v>
      </c>
      <c r="T19" s="1464" t="s">
        <v>8</v>
      </c>
      <c r="U19" s="1465">
        <f>H19</f>
        <v>100</v>
      </c>
      <c r="V19" s="1464" t="s">
        <v>8</v>
      </c>
      <c r="W19" s="1465">
        <f>J19</f>
        <v>100</v>
      </c>
      <c r="X19" s="1458"/>
      <c r="Y19" s="3663"/>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63"/>
      <c r="Q20" s="1463"/>
      <c r="R20" s="1464"/>
      <c r="S20" s="1465"/>
      <c r="T20" s="1464"/>
      <c r="U20" s="1465"/>
      <c r="V20" s="1464"/>
      <c r="W20" s="1465"/>
      <c r="X20" s="1458"/>
      <c r="Y20" s="3663"/>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63"/>
      <c r="Q21" s="1463" t="str">
        <f t="shared" ref="Q21:Q35" si="8">B21</f>
        <v>区域土地利用方向</v>
      </c>
      <c r="R21" s="1464" t="s">
        <v>8</v>
      </c>
      <c r="S21" s="1465">
        <f>F21</f>
        <v>100</v>
      </c>
      <c r="T21" s="1464" t="s">
        <v>8</v>
      </c>
      <c r="U21" s="1465">
        <f>H21</f>
        <v>100</v>
      </c>
      <c r="V21" s="1464" t="s">
        <v>8</v>
      </c>
      <c r="W21" s="1465">
        <f>J21</f>
        <v>100</v>
      </c>
      <c r="X21" s="1458"/>
      <c r="Y21" s="3663"/>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63"/>
      <c r="Q22" s="1463"/>
      <c r="R22" s="1464"/>
      <c r="S22" s="1465"/>
      <c r="T22" s="1464"/>
      <c r="U22" s="1465"/>
      <c r="V22" s="1464"/>
      <c r="W22" s="1465"/>
      <c r="X22" s="1458"/>
      <c r="Y22" s="3663"/>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63"/>
      <c r="Q23" s="1463" t="str">
        <f t="shared" si="8"/>
        <v>环境状况</v>
      </c>
      <c r="R23" s="1464" t="s">
        <v>8</v>
      </c>
      <c r="S23" s="1465">
        <f>F23</f>
        <v>100</v>
      </c>
      <c r="T23" s="1464" t="s">
        <v>8</v>
      </c>
      <c r="U23" s="1465">
        <f>H23</f>
        <v>100</v>
      </c>
      <c r="V23" s="1464" t="s">
        <v>8</v>
      </c>
      <c r="W23" s="1465">
        <f>J23</f>
        <v>100</v>
      </c>
      <c r="X23" s="1458"/>
      <c r="Y23" s="3663"/>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63"/>
      <c r="Q24" s="1463"/>
      <c r="R24" s="1464"/>
      <c r="S24" s="1465"/>
      <c r="T24" s="1464"/>
      <c r="U24" s="1465"/>
      <c r="V24" s="1464"/>
      <c r="W24" s="1465"/>
      <c r="X24" s="1458"/>
      <c r="Y24" s="3663"/>
      <c r="Z24" s="1466"/>
      <c r="AA24" s="1467">
        <v>1</v>
      </c>
      <c r="AB24" s="1467">
        <v>1</v>
      </c>
      <c r="AC24" s="1467">
        <v>1</v>
      </c>
    </row>
    <row r="25" spans="1:29" s="1167" customFormat="1" ht="42.75">
      <c r="A25" s="554"/>
      <c r="B25" s="2360"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63"/>
      <c r="Q25" s="1098" t="str">
        <f t="shared" si="8"/>
        <v>公共配套设施</v>
      </c>
      <c r="R25" s="1459" t="s">
        <v>8</v>
      </c>
      <c r="S25" s="1460">
        <f>F25</f>
        <v>100</v>
      </c>
      <c r="T25" s="1459" t="s">
        <v>8</v>
      </c>
      <c r="U25" s="1460">
        <f>H25</f>
        <v>100</v>
      </c>
      <c r="V25" s="1459" t="s">
        <v>8</v>
      </c>
      <c r="W25" s="1460">
        <f>J25</f>
        <v>100</v>
      </c>
      <c r="X25" s="1461"/>
      <c r="Y25" s="3663"/>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63"/>
      <c r="Q26" s="1098"/>
      <c r="R26" s="1459"/>
      <c r="S26" s="1460"/>
      <c r="T26" s="1459"/>
      <c r="U26" s="1460"/>
      <c r="V26" s="1459"/>
      <c r="W26" s="1460"/>
      <c r="X26" s="1461"/>
      <c r="Y26" s="3663"/>
      <c r="Z26" s="1097"/>
      <c r="AA26" s="1462">
        <v>1</v>
      </c>
      <c r="AB26" s="1462">
        <v>1</v>
      </c>
      <c r="AC26" s="1462">
        <v>1</v>
      </c>
    </row>
    <row r="27" spans="1:29" s="1167" customFormat="1" ht="28.5">
      <c r="A27" s="554"/>
      <c r="B27" s="2360"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63"/>
      <c r="Q27" s="2351" t="str">
        <f t="shared" ref="Q27" si="9">B27</f>
        <v>基础设施水平</v>
      </c>
      <c r="R27" s="1459" t="s">
        <v>8</v>
      </c>
      <c r="S27" s="1460">
        <f>F27</f>
        <v>100</v>
      </c>
      <c r="T27" s="1459" t="s">
        <v>8</v>
      </c>
      <c r="U27" s="1460">
        <f>H27</f>
        <v>100</v>
      </c>
      <c r="V27" s="1459" t="s">
        <v>8</v>
      </c>
      <c r="W27" s="1460">
        <f>J27</f>
        <v>100</v>
      </c>
      <c r="X27" s="1461"/>
      <c r="Y27" s="3663"/>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63"/>
      <c r="Q28" s="2351"/>
      <c r="R28" s="1459"/>
      <c r="S28" s="1460"/>
      <c r="T28" s="1459"/>
      <c r="U28" s="1460"/>
      <c r="V28" s="1459"/>
      <c r="W28" s="1460"/>
      <c r="X28" s="1461"/>
      <c r="Y28" s="3663"/>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63"/>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63"/>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63"/>
      <c r="Q30" s="1463" t="str">
        <f t="shared" si="8"/>
        <v>毗邻道路的类型与等级</v>
      </c>
      <c r="R30" s="1464" t="s">
        <v>8</v>
      </c>
      <c r="S30" s="1465">
        <f t="shared" si="10"/>
        <v>100</v>
      </c>
      <c r="T30" s="1464" t="s">
        <v>8</v>
      </c>
      <c r="U30" s="1465">
        <f t="shared" si="11"/>
        <v>100</v>
      </c>
      <c r="V30" s="1464" t="s">
        <v>8</v>
      </c>
      <c r="W30" s="1465">
        <f t="shared" si="12"/>
        <v>100</v>
      </c>
      <c r="X30" s="1458"/>
      <c r="Y30" s="3663"/>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63"/>
      <c r="Q31" s="1463"/>
      <c r="R31" s="1464"/>
      <c r="S31" s="1465"/>
      <c r="T31" s="1464"/>
      <c r="U31" s="1465"/>
      <c r="V31" s="1464"/>
      <c r="W31" s="1465"/>
      <c r="X31" s="1458"/>
      <c r="Y31" s="3663"/>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63"/>
      <c r="Q32" s="1463" t="str">
        <f t="shared" si="8"/>
        <v>土地级别</v>
      </c>
      <c r="R32" s="1464" t="s">
        <v>8</v>
      </c>
      <c r="S32" s="1465">
        <f t="shared" si="10"/>
        <v>100</v>
      </c>
      <c r="T32" s="1464" t="s">
        <v>8</v>
      </c>
      <c r="U32" s="1465">
        <f t="shared" si="11"/>
        <v>100</v>
      </c>
      <c r="V32" s="1464" t="s">
        <v>8</v>
      </c>
      <c r="W32" s="1465">
        <f t="shared" si="12"/>
        <v>100</v>
      </c>
      <c r="X32" s="1458"/>
      <c r="Y32" s="3663"/>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63"/>
      <c r="Q33" s="1463">
        <f t="shared" si="8"/>
        <v>111</v>
      </c>
      <c r="R33" s="1464" t="s">
        <v>8</v>
      </c>
      <c r="S33" s="1465">
        <f t="shared" si="10"/>
        <v>100</v>
      </c>
      <c r="T33" s="1464" t="s">
        <v>8</v>
      </c>
      <c r="U33" s="1465">
        <f t="shared" si="11"/>
        <v>100</v>
      </c>
      <c r="V33" s="1464" t="s">
        <v>8</v>
      </c>
      <c r="W33" s="1465">
        <f t="shared" si="12"/>
        <v>100</v>
      </c>
      <c r="X33" s="1458"/>
      <c r="Y33" s="3663"/>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64" t="s">
        <v>533</v>
      </c>
      <c r="Q34" s="1463">
        <f t="shared" si="8"/>
        <v>111</v>
      </c>
      <c r="R34" s="1464" t="s">
        <v>8</v>
      </c>
      <c r="S34" s="1465">
        <f t="shared" si="10"/>
        <v>100</v>
      </c>
      <c r="T34" s="1464" t="s">
        <v>8</v>
      </c>
      <c r="U34" s="1465">
        <f t="shared" si="11"/>
        <v>100</v>
      </c>
      <c r="V34" s="1464" t="s">
        <v>8</v>
      </c>
      <c r="W34" s="1465">
        <f t="shared" si="12"/>
        <v>100</v>
      </c>
      <c r="X34" s="1458"/>
      <c r="Y34" s="3665"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65"/>
      <c r="Q35" s="1463">
        <f t="shared" si="8"/>
        <v>111</v>
      </c>
      <c r="R35" s="1468" t="s">
        <v>8</v>
      </c>
      <c r="S35" s="1469">
        <f t="shared" si="10"/>
        <v>100</v>
      </c>
      <c r="T35" s="1468" t="s">
        <v>8</v>
      </c>
      <c r="U35" s="1469">
        <f t="shared" si="11"/>
        <v>100</v>
      </c>
      <c r="V35" s="1468" t="s">
        <v>8</v>
      </c>
      <c r="W35" s="1469">
        <f t="shared" si="12"/>
        <v>100</v>
      </c>
      <c r="X35" s="1470"/>
      <c r="Y35" s="3665"/>
      <c r="Z35" s="1471">
        <f t="shared" si="13"/>
        <v>111</v>
      </c>
      <c r="AA35" s="1467">
        <f t="shared" si="3"/>
        <v>1</v>
      </c>
      <c r="AB35" s="1467">
        <f t="shared" si="4"/>
        <v>1</v>
      </c>
      <c r="AC35" s="1467">
        <f t="shared" si="5"/>
        <v>1</v>
      </c>
    </row>
    <row r="36" spans="1:29" ht="15">
      <c r="A36" s="2547"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65"/>
      <c r="Q36" s="1463" t="str">
        <f>B36</f>
        <v>宗地面积</v>
      </c>
      <c r="R36" s="1464" t="s">
        <v>8</v>
      </c>
      <c r="S36" s="1465" t="e">
        <f t="shared" si="10"/>
        <v>#N/A</v>
      </c>
      <c r="T36" s="1464" t="s">
        <v>8</v>
      </c>
      <c r="U36" s="1465" t="e">
        <f t="shared" si="11"/>
        <v>#N/A</v>
      </c>
      <c r="V36" s="1464" t="s">
        <v>8</v>
      </c>
      <c r="W36" s="1465" t="e">
        <f t="shared" si="12"/>
        <v>#N/A</v>
      </c>
      <c r="X36" s="1458"/>
      <c r="Y36" s="3665"/>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65"/>
      <c r="Q37" s="1463" t="str">
        <f t="shared" ref="Q37:Q42" si="14">B37</f>
        <v>宗地形状</v>
      </c>
      <c r="R37" s="1464" t="s">
        <v>8</v>
      </c>
      <c r="S37" s="1465">
        <f t="shared" si="10"/>
        <v>100</v>
      </c>
      <c r="T37" s="1464" t="s">
        <v>8</v>
      </c>
      <c r="U37" s="1465">
        <f t="shared" si="11"/>
        <v>100</v>
      </c>
      <c r="V37" s="1464" t="s">
        <v>8</v>
      </c>
      <c r="W37" s="1465">
        <f t="shared" si="12"/>
        <v>100</v>
      </c>
      <c r="X37" s="1458"/>
      <c r="Y37" s="3665"/>
      <c r="Z37" s="1466" t="str">
        <f t="shared" si="13"/>
        <v>宗地形状</v>
      </c>
      <c r="AA37" s="1467">
        <f t="shared" si="3"/>
        <v>1</v>
      </c>
      <c r="AB37" s="1467">
        <f t="shared" si="4"/>
        <v>1</v>
      </c>
      <c r="AC37" s="1467">
        <f t="shared" si="5"/>
        <v>1</v>
      </c>
    </row>
    <row r="38" spans="1:29" s="1167" customFormat="1" ht="15">
      <c r="A38" s="577"/>
      <c r="B38" s="1765"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65"/>
      <c r="Q38" s="1463" t="str">
        <f t="shared" si="14"/>
        <v>宗地开发程度</v>
      </c>
      <c r="R38" s="1459" t="s">
        <v>8</v>
      </c>
      <c r="S38" s="1460">
        <f t="shared" si="10"/>
        <v>100</v>
      </c>
      <c r="T38" s="1459" t="s">
        <v>8</v>
      </c>
      <c r="U38" s="1460">
        <f t="shared" si="11"/>
        <v>100</v>
      </c>
      <c r="V38" s="1459" t="s">
        <v>8</v>
      </c>
      <c r="W38" s="1460">
        <f t="shared" si="12"/>
        <v>100</v>
      </c>
      <c r="X38" s="1461"/>
      <c r="Y38" s="3665"/>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65" t="s">
        <v>583</v>
      </c>
      <c r="Q39" s="1463" t="str">
        <f t="shared" si="14"/>
        <v>工程地质条件</v>
      </c>
      <c r="R39" s="1464" t="s">
        <v>8</v>
      </c>
      <c r="S39" s="1465">
        <f t="shared" si="10"/>
        <v>100</v>
      </c>
      <c r="T39" s="1464" t="s">
        <v>8</v>
      </c>
      <c r="U39" s="1465">
        <f t="shared" si="11"/>
        <v>100</v>
      </c>
      <c r="V39" s="1464" t="s">
        <v>8</v>
      </c>
      <c r="W39" s="1465">
        <f t="shared" si="12"/>
        <v>100</v>
      </c>
      <c r="X39" s="1458"/>
      <c r="Y39" s="3665"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65"/>
      <c r="Q40" s="1463">
        <f t="shared" si="14"/>
        <v>111</v>
      </c>
      <c r="R40" s="1464" t="s">
        <v>8</v>
      </c>
      <c r="S40" s="1465">
        <f t="shared" si="10"/>
        <v>100</v>
      </c>
      <c r="T40" s="1464" t="s">
        <v>8</v>
      </c>
      <c r="U40" s="1465">
        <f t="shared" si="11"/>
        <v>100</v>
      </c>
      <c r="V40" s="1464" t="s">
        <v>8</v>
      </c>
      <c r="W40" s="1465">
        <f t="shared" si="12"/>
        <v>100</v>
      </c>
      <c r="X40" s="1458"/>
      <c r="Y40" s="3665"/>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65"/>
      <c r="Q41" s="1463">
        <f t="shared" si="14"/>
        <v>111</v>
      </c>
      <c r="R41" s="1464" t="s">
        <v>8</v>
      </c>
      <c r="S41" s="1465">
        <f t="shared" si="10"/>
        <v>100</v>
      </c>
      <c r="T41" s="1464" t="s">
        <v>8</v>
      </c>
      <c r="U41" s="1465">
        <f t="shared" si="11"/>
        <v>100</v>
      </c>
      <c r="V41" s="1464" t="s">
        <v>8</v>
      </c>
      <c r="W41" s="1465">
        <f t="shared" si="12"/>
        <v>100</v>
      </c>
      <c r="X41" s="1458"/>
      <c r="Y41" s="3665"/>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65"/>
      <c r="Q42" s="1463">
        <f t="shared" si="14"/>
        <v>111</v>
      </c>
      <c r="R42" s="1468" t="s">
        <v>8</v>
      </c>
      <c r="S42" s="1469">
        <f t="shared" si="10"/>
        <v>100</v>
      </c>
      <c r="T42" s="1468" t="s">
        <v>8</v>
      </c>
      <c r="U42" s="1469">
        <f t="shared" si="11"/>
        <v>100</v>
      </c>
      <c r="V42" s="1468" t="s">
        <v>8</v>
      </c>
      <c r="W42" s="1469">
        <f t="shared" si="12"/>
        <v>100</v>
      </c>
      <c r="X42" s="1470"/>
      <c r="Y42" s="3665"/>
      <c r="Z42" s="1471">
        <f t="shared" si="13"/>
        <v>111</v>
      </c>
      <c r="AA42" s="1467">
        <f t="shared" si="3"/>
        <v>1</v>
      </c>
      <c r="AB42" s="1467">
        <f t="shared" si="4"/>
        <v>1</v>
      </c>
      <c r="AC42" s="1467">
        <f t="shared" si="5"/>
        <v>1</v>
      </c>
    </row>
    <row r="43" spans="1:29" ht="15">
      <c r="A43" s="584" t="s">
        <v>539</v>
      </c>
      <c r="B43" s="585" t="s">
        <v>2635</v>
      </c>
      <c r="C43" s="586" t="s">
        <v>1</v>
      </c>
      <c r="D43" s="587"/>
      <c r="E43" s="588"/>
      <c r="F43" s="589"/>
      <c r="G43" s="590"/>
      <c r="H43" s="591"/>
      <c r="I43" s="588"/>
      <c r="J43" s="591"/>
      <c r="K43" s="1250"/>
      <c r="L43" s="1981"/>
      <c r="M43" s="1971"/>
      <c r="N43" s="1971"/>
      <c r="O43" s="1982"/>
      <c r="P43" s="3629" t="str">
        <f>A43</f>
        <v>成交单价</v>
      </c>
      <c r="Q43" s="3629"/>
      <c r="R43" s="3630">
        <f>E43</f>
        <v>0</v>
      </c>
      <c r="S43" s="3630"/>
      <c r="T43" s="3630">
        <f>G43</f>
        <v>0</v>
      </c>
      <c r="U43" s="3630"/>
      <c r="V43" s="3630">
        <f>I43</f>
        <v>0</v>
      </c>
      <c r="W43" s="3630"/>
      <c r="X43" s="1453"/>
      <c r="Y43" s="1472"/>
      <c r="Z43" s="1453"/>
      <c r="AA43" s="1453"/>
      <c r="AB43" s="1453"/>
      <c r="AC43" s="1453"/>
    </row>
    <row r="44" spans="1:29" ht="15.75" thickBot="1">
      <c r="A44" s="592" t="s">
        <v>2409</v>
      </c>
      <c r="B44" s="593"/>
      <c r="C44" s="594" t="e">
        <f>R45</f>
        <v>#DIV/0!</v>
      </c>
      <c r="D44" s="2923" t="s">
        <v>2701</v>
      </c>
      <c r="E44" s="594" t="e">
        <f>R44</f>
        <v>#DIV/0!</v>
      </c>
      <c r="F44" s="2924"/>
      <c r="G44" s="595" t="e">
        <f>T44</f>
        <v>#DIV/0!</v>
      </c>
      <c r="H44" s="2924"/>
      <c r="I44" s="594" t="e">
        <f>V44</f>
        <v>#DIV/0!</v>
      </c>
      <c r="J44" s="2924"/>
      <c r="K44" s="2925">
        <f>F44+H44+J44</f>
        <v>0</v>
      </c>
      <c r="L44" s="1981"/>
      <c r="M44" s="1971"/>
      <c r="N44" s="1971"/>
      <c r="O44" s="1982"/>
      <c r="P44" s="3629" t="str">
        <f>A44</f>
        <v>比较价格（元/平方米）</v>
      </c>
      <c r="Q44" s="3629"/>
      <c r="R44" s="3631" t="e">
        <f>ROUND(PRODUCT(R43,AA9:AA42),0)</f>
        <v>#DIV/0!</v>
      </c>
      <c r="S44" s="3631"/>
      <c r="T44" s="3631" t="e">
        <f>ROUND(PRODUCT(T43,AB9:AB42),0)</f>
        <v>#DIV/0!</v>
      </c>
      <c r="U44" s="3631"/>
      <c r="V44" s="3631" t="e">
        <f>ROUND(PRODUCT(V43,AC9:AC42),0)</f>
        <v>#DIV/0!</v>
      </c>
      <c r="W44" s="3631"/>
      <c r="X44" s="1453"/>
      <c r="Y44" s="1453"/>
      <c r="Z44" s="1453"/>
      <c r="AA44" s="1453"/>
      <c r="AB44" s="1453"/>
      <c r="AC44" s="1453"/>
    </row>
    <row r="45" spans="1:29" ht="15.75" thickBot="1">
      <c r="A45" s="596" t="s">
        <v>2636</v>
      </c>
      <c r="B45" s="597"/>
      <c r="C45" s="598" t="e">
        <f>R45</f>
        <v>#DIV/0!</v>
      </c>
      <c r="D45" s="598"/>
      <c r="E45" s="598"/>
      <c r="F45" s="598"/>
      <c r="G45" s="598"/>
      <c r="H45" s="598"/>
      <c r="I45" s="598"/>
      <c r="J45" s="598"/>
      <c r="K45" s="1251"/>
      <c r="L45" s="1981"/>
      <c r="M45" s="1971"/>
      <c r="N45" s="1971"/>
      <c r="O45" s="1982"/>
      <c r="P45" s="3666" t="str">
        <f>A45</f>
        <v>估价对象XX用房的比较价格（楼面单价，元/平方米）</v>
      </c>
      <c r="Q45" s="3667"/>
      <c r="R45" s="3678" t="e">
        <f>ROUND(IF(D44="简单平均",AVERAGE(R44:W44),R44*F44+T44*H44+V44*J44),0)</f>
        <v>#DIV/0!</v>
      </c>
      <c r="S45" s="3678"/>
      <c r="T45" s="3678"/>
      <c r="U45" s="3678"/>
      <c r="V45" s="3678"/>
      <c r="W45" s="3678"/>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1523</v>
      </c>
      <c r="D52" s="2062" t="s">
        <v>2082</v>
      </c>
      <c r="E52" s="606" t="s">
        <v>545</v>
      </c>
      <c r="F52" s="1821" t="s">
        <v>546</v>
      </c>
      <c r="G52" s="3674" t="s">
        <v>2074</v>
      </c>
      <c r="H52" s="3675"/>
      <c r="I52" s="1822" t="s">
        <v>1736</v>
      </c>
      <c r="J52" s="1450">
        <f>项目基本情况!F41</f>
        <v>0</v>
      </c>
      <c r="K52" s="1990" t="s">
        <v>1522</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0</v>
      </c>
      <c r="F53" s="1820" t="e">
        <f t="shared" ref="F53:F61" si="15">ROUND(B53*E53/10000,0)</f>
        <v>#DIV/0!</v>
      </c>
      <c r="G53" s="3676"/>
      <c r="H53" s="3677"/>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2075</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2117</v>
      </c>
      <c r="B57" s="613" t="e">
        <f t="shared" si="17"/>
        <v>#DIV/0!</v>
      </c>
      <c r="C57" s="372">
        <f t="shared" si="16"/>
        <v>0</v>
      </c>
      <c r="D57" s="2064">
        <v>0.25</v>
      </c>
      <c r="E57" s="616">
        <f>'数据-汇总表'!E11</f>
        <v>0</v>
      </c>
      <c r="F57" s="1820" t="e">
        <f t="shared" si="15"/>
        <v>#DIV/0!</v>
      </c>
      <c r="G57" s="1826" t="s">
        <v>2076</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1476</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2075</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2076</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2083</v>
      </c>
      <c r="E62" s="618" t="e">
        <f>IF(B43="楼面地价",SUM(E53:E61),'数据-汇总表'!D3)</f>
        <v>#DIV/0!</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2020-4-1</v>
      </c>
      <c r="D64" s="2439">
        <f>EDATE(C64,-3)</f>
        <v>43831</v>
      </c>
      <c r="E64" s="2439">
        <f t="shared" ref="E64:N64" si="18">EDATE(D64,-3)</f>
        <v>43739</v>
      </c>
      <c r="F64" s="2439">
        <f t="shared" si="18"/>
        <v>43647</v>
      </c>
      <c r="G64" s="2439">
        <f t="shared" si="18"/>
        <v>43556</v>
      </c>
      <c r="H64" s="2439">
        <f t="shared" si="18"/>
        <v>43466</v>
      </c>
      <c r="I64" s="2439">
        <f t="shared" si="18"/>
        <v>43374</v>
      </c>
      <c r="J64" s="2439">
        <f t="shared" si="18"/>
        <v>43282</v>
      </c>
      <c r="K64" s="2439">
        <f t="shared" si="18"/>
        <v>43191</v>
      </c>
      <c r="L64" s="2439">
        <f t="shared" si="18"/>
        <v>43101</v>
      </c>
      <c r="M64" s="2439">
        <f t="shared" si="18"/>
        <v>43009</v>
      </c>
      <c r="N64" s="2439">
        <f t="shared" si="18"/>
        <v>42917</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2250</v>
      </c>
      <c r="B66" s="621"/>
      <c r="C66" s="2436" t="str">
        <f>YEAR(C64)&amp;"-"&amp;ROUNDUP(MONTH(C64)/3,0)</f>
        <v>2020-2</v>
      </c>
      <c r="D66" s="2441" t="str">
        <f t="shared" ref="D66:N66" si="19">YEAR(D64)&amp;"-"&amp;ROUNDUP(MONTH(D64)/3,0)</f>
        <v>2020-1</v>
      </c>
      <c r="E66" s="2441" t="str">
        <f t="shared" si="19"/>
        <v>2019-4</v>
      </c>
      <c r="F66" s="2441" t="str">
        <f t="shared" si="19"/>
        <v>2019-3</v>
      </c>
      <c r="G66" s="2441" t="str">
        <f t="shared" si="19"/>
        <v>2019-2</v>
      </c>
      <c r="H66" s="2441" t="str">
        <f t="shared" si="19"/>
        <v>2019-1</v>
      </c>
      <c r="I66" s="2441" t="str">
        <f t="shared" si="19"/>
        <v>2018-4</v>
      </c>
      <c r="J66" s="2441" t="str">
        <f t="shared" si="19"/>
        <v>2018-3</v>
      </c>
      <c r="K66" s="2441" t="str">
        <f t="shared" si="19"/>
        <v>2018-2</v>
      </c>
      <c r="L66" s="2441" t="str">
        <f t="shared" si="19"/>
        <v>2018-1</v>
      </c>
      <c r="M66" s="2441" t="str">
        <f t="shared" si="19"/>
        <v>2017-4</v>
      </c>
      <c r="N66" s="2441" t="str">
        <f t="shared" si="19"/>
        <v>2017-3</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2365</v>
      </c>
      <c r="B67" s="472" t="str">
        <f>"北京市平均增长率"&amp;TEXT(基准地价!P24,"0.00%")</f>
        <v>北京市平均增长率1.32%</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2265</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2267</v>
      </c>
      <c r="C94" s="2365" t="s">
        <v>2268</v>
      </c>
      <c r="D94" s="2365" t="s">
        <v>2269</v>
      </c>
      <c r="E94" s="2365" t="s">
        <v>2270</v>
      </c>
      <c r="F94" s="2365" t="s">
        <v>2271</v>
      </c>
      <c r="G94" s="2365" t="s">
        <v>2272</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2211</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85" zoomScaleNormal="60" zoomScaleSheetLayoutView="85" workbookViewId="0">
      <selection activeCell="D37" sqref="D37"/>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1493</v>
      </c>
      <c r="B1" s="1305"/>
      <c r="C1" s="1311" t="s">
        <v>2212</v>
      </c>
      <c r="D1" s="1417">
        <f>SUM(D29:D30,D33:D39)</f>
        <v>6878.1399999999994</v>
      </c>
      <c r="E1" s="1311" t="s">
        <v>2213</v>
      </c>
      <c r="F1" s="2262"/>
      <c r="G1" s="1306"/>
      <c r="H1" s="1306"/>
      <c r="I1" s="1306"/>
      <c r="J1" s="1306"/>
      <c r="K1" s="2025"/>
      <c r="L1" s="1752" t="s">
        <v>2029</v>
      </c>
      <c r="M1" s="1753">
        <f>SUMPRODUCT((区片价!B5:B9=I2)*(区片价!C3:F3=E2)*(区片价!C5:F9))</f>
        <v>0</v>
      </c>
      <c r="N1" s="1754">
        <f>SUMPRODUCT((因素修正幅度!B5:B9=I2)*(因素修正幅度!C3:F3=E2)*(因素修正幅度!C5:F9))</f>
        <v>0</v>
      </c>
      <c r="O1" s="2025"/>
      <c r="P1" s="2025"/>
      <c r="Q1" s="2025"/>
      <c r="R1" s="2576" t="s">
        <v>2477</v>
      </c>
      <c r="S1" s="2576" t="s">
        <v>2478</v>
      </c>
      <c r="T1" s="2576" t="s">
        <v>2499</v>
      </c>
      <c r="U1" s="2576" t="s">
        <v>2500</v>
      </c>
      <c r="V1" s="2576" t="s">
        <v>2501</v>
      </c>
      <c r="W1" s="2025"/>
      <c r="X1" s="2025"/>
      <c r="Y1" s="2025"/>
      <c r="Z1" s="2025"/>
      <c r="AA1" s="2025"/>
      <c r="AB1" s="2025"/>
      <c r="AC1" s="2026"/>
    </row>
    <row r="2" spans="1:39" ht="15.75">
      <c r="A2" s="1311" t="s">
        <v>899</v>
      </c>
      <c r="B2" s="1008">
        <f>C26</f>
        <v>1439</v>
      </c>
      <c r="C2" s="1312" t="s">
        <v>900</v>
      </c>
      <c r="D2" s="1313" t="s">
        <v>901</v>
      </c>
      <c r="E2" s="1314" t="s">
        <v>960</v>
      </c>
      <c r="F2" s="1313" t="s">
        <v>903</v>
      </c>
      <c r="G2" s="1536" t="str">
        <f>IF(E2="商业",项目基本情况!B43,IF(E2="办公",项目基本情况!C43,IF(E2="住宅",项目基本情况!D43,项目基本情况!E43)))</f>
        <v>六级</v>
      </c>
      <c r="H2" s="1313" t="s">
        <v>905</v>
      </c>
      <c r="I2" s="1537" t="str">
        <f>IF(E2="商业",项目基本情况!B44,IF(E2="办公",项目基本情况!C44,IF(E2="住宅",项目基本情况!D44,项目基本情况!E44)))</f>
        <v>Ⅵ-通1</v>
      </c>
      <c r="J2" s="1315"/>
      <c r="K2" s="3141"/>
      <c r="L2" s="1755" t="s">
        <v>2030</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1.8629</v>
      </c>
      <c r="T2" s="2577">
        <f>ROUND($C$5*$C$18*$C$19*$C$20*S2*$C$24,0)</f>
        <v>5506</v>
      </c>
      <c r="U2" s="2566"/>
      <c r="V2" s="2577">
        <f>ROUND(T2*U2/10000,0)</f>
        <v>0</v>
      </c>
      <c r="W2" s="2025"/>
      <c r="X2" s="2025"/>
      <c r="Y2" s="2025"/>
      <c r="Z2" s="2025"/>
      <c r="AA2" s="2025"/>
      <c r="AB2" s="2025"/>
      <c r="AC2" s="2026"/>
    </row>
    <row r="3" spans="1:39" ht="15.75">
      <c r="A3" s="1316" t="s">
        <v>1486</v>
      </c>
      <c r="B3" s="1008">
        <f>ROUND(B2*10000/D1,0)</f>
        <v>2092</v>
      </c>
      <c r="C3" s="1312" t="s">
        <v>906</v>
      </c>
      <c r="D3" s="1313" t="s">
        <v>907</v>
      </c>
      <c r="E3" s="1317" t="s">
        <v>2949</v>
      </c>
      <c r="F3" s="1318" t="s">
        <v>3119</v>
      </c>
      <c r="G3" s="1009">
        <f>IF(F3="宗地容积率",'数据-汇总表'!I4,IF(F3="估价对象容积率",'数据-汇总表'!I6,'数据-汇总表'!I7))</f>
        <v>1.2</v>
      </c>
      <c r="H3" s="1319" t="s">
        <v>908</v>
      </c>
      <c r="I3" s="1010"/>
      <c r="J3" s="1315" t="s">
        <v>909</v>
      </c>
      <c r="K3" s="3141"/>
      <c r="L3" s="1755" t="s">
        <v>2031</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1.3371999999999999</v>
      </c>
      <c r="T3" s="2577">
        <f t="shared" ref="T3:T16" si="0">ROUND($C$5*$C$18*$C$19*$C$20*S3*$C$24,0)</f>
        <v>3952</v>
      </c>
      <c r="U3" s="2566"/>
      <c r="V3" s="2577">
        <f t="shared" ref="V3:V16" si="1">ROUND(T3*U3/10000,0)</f>
        <v>0</v>
      </c>
      <c r="W3" s="2025"/>
      <c r="X3" s="2025"/>
      <c r="Y3" s="2025"/>
      <c r="Z3" s="2025"/>
      <c r="AA3" s="2025"/>
      <c r="AB3" s="2025"/>
      <c r="AC3" s="2026"/>
    </row>
    <row r="4" spans="1:39" ht="28.5">
      <c r="A4" s="1761" t="s">
        <v>2070</v>
      </c>
      <c r="B4" s="2263" t="e">
        <f>ROUND(B2*10000/F1,0)</f>
        <v>#DIV/0!</v>
      </c>
      <c r="C4" s="1764" t="s">
        <v>2045</v>
      </c>
      <c r="D4" s="1764" t="e">
        <f>ROUND(B2/(F1/666.67),0)</f>
        <v>#DIV/0!</v>
      </c>
      <c r="E4" s="1764" t="s">
        <v>2046</v>
      </c>
      <c r="F4" s="1762"/>
      <c r="G4" s="1762"/>
      <c r="H4" s="1762"/>
      <c r="I4" s="1762"/>
      <c r="J4" s="1763"/>
      <c r="K4" s="3142"/>
      <c r="L4" s="1755" t="s">
        <v>2032</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1.0788</v>
      </c>
      <c r="T4" s="2577">
        <f t="shared" si="0"/>
        <v>3188</v>
      </c>
      <c r="U4" s="2566"/>
      <c r="V4" s="2577">
        <f t="shared" si="1"/>
        <v>0</v>
      </c>
      <c r="W4" s="2025"/>
      <c r="X4" s="2025"/>
      <c r="Y4" s="2025"/>
      <c r="Z4" s="2025"/>
      <c r="AA4" s="2025"/>
      <c r="AB4" s="2025"/>
      <c r="AC4" s="2026"/>
    </row>
    <row r="5" spans="1:39" s="1326" customFormat="1" ht="15.75" thickBot="1">
      <c r="A5" s="1522" t="s">
        <v>1622</v>
      </c>
      <c r="B5" s="1320" t="s">
        <v>910</v>
      </c>
      <c r="C5" s="1011">
        <f>ROUND(IF(E2="商业",C6*C7+C16,(IF(E2="住宅",C6*C12+C16,C6+C16))),0)</f>
        <v>2060</v>
      </c>
      <c r="D5" s="2712">
        <f>ROUND(C6+C16,0)</f>
        <v>2060</v>
      </c>
      <c r="E5" s="2712"/>
      <c r="F5" s="1321"/>
      <c r="G5" s="1322"/>
      <c r="H5" s="1322"/>
      <c r="I5" s="1322"/>
      <c r="J5" s="1323"/>
      <c r="K5" s="3143"/>
      <c r="L5" s="1755" t="s">
        <v>2033</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0.86560000000000004</v>
      </c>
      <c r="T5" s="2577">
        <f t="shared" si="0"/>
        <v>2558</v>
      </c>
      <c r="U5" s="2566"/>
      <c r="V5" s="2577">
        <f t="shared" si="1"/>
        <v>0</v>
      </c>
      <c r="W5" s="2025"/>
      <c r="X5" s="2025"/>
      <c r="Y5" s="2025"/>
      <c r="Z5" s="2025"/>
      <c r="AA5" s="2025"/>
      <c r="AB5" s="2025"/>
      <c r="AC5" s="2027"/>
      <c r="AD5" s="1324"/>
      <c r="AE5" s="1324"/>
      <c r="AF5" s="1324"/>
      <c r="AG5" s="1324"/>
      <c r="AH5" s="1324"/>
      <c r="AI5" s="1324"/>
      <c r="AJ5" s="1325"/>
      <c r="AK5" s="1325"/>
      <c r="AL5" s="1325"/>
      <c r="AM5" s="1325"/>
    </row>
    <row r="6" spans="1:39" ht="15.75" thickBot="1">
      <c r="A6" s="1523" t="s">
        <v>1665</v>
      </c>
      <c r="B6" s="1327" t="s">
        <v>910</v>
      </c>
      <c r="C6" s="1012">
        <f>SUMIF(L1:L12,基准地价!G2,M1:M12)</f>
        <v>2060</v>
      </c>
      <c r="D6" s="1328" t="s">
        <v>1494</v>
      </c>
      <c r="E6" s="1329"/>
      <c r="F6" s="1329"/>
      <c r="G6" s="1330"/>
      <c r="H6" s="1330"/>
      <c r="I6" s="1330"/>
      <c r="J6" s="1331"/>
      <c r="K6" s="3144"/>
      <c r="L6" s="1755" t="s">
        <v>2034</v>
      </c>
      <c r="M6" s="1756">
        <f>SUMPRODUCT((区片价!B110:B157=I2)*(区片价!C3:F3=E2)*(区片价!C110:F157))</f>
        <v>2060</v>
      </c>
      <c r="N6" s="1757">
        <f>SUMPRODUCT((因素修正幅度!B110:B157=I2)*(因素修正幅度!C3:F3=E2)*(因素修正幅度!C110:F157))</f>
        <v>0.13</v>
      </c>
      <c r="O6" s="3144"/>
      <c r="P6" s="3147"/>
      <c r="Q6" s="2025"/>
      <c r="R6" s="2577">
        <v>5</v>
      </c>
      <c r="S6" s="2577">
        <f>ROUND(IF(G3&gt;1,IF(R6&lt;7,SUMPRODUCT((B93:B98=R6)*(C92:N92=G2)*(C93:N98)),SUMIF(C92:N92,G2,C100:N100)),IF(R6&lt;7,SUMPRODUCT((B102:B107=R6)*(C92:N92=G2)*(C102:N107)),SUMIF(C92:N92,G2,C109:N109))),4)</f>
        <v>0.73709999999999998</v>
      </c>
      <c r="T6" s="2577">
        <f t="shared" si="0"/>
        <v>2179</v>
      </c>
      <c r="U6" s="2566"/>
      <c r="V6" s="2577">
        <f t="shared" si="1"/>
        <v>0</v>
      </c>
      <c r="W6" s="2025"/>
      <c r="X6" s="2025"/>
      <c r="Y6" s="2025"/>
      <c r="Z6" s="2025"/>
      <c r="AA6" s="2025"/>
      <c r="AB6" s="2025"/>
      <c r="AC6" s="2027"/>
      <c r="AD6" s="1324"/>
      <c r="AE6" s="1324"/>
      <c r="AF6" s="1324"/>
      <c r="AG6" s="1324"/>
      <c r="AH6" s="1324"/>
      <c r="AI6" s="1324"/>
      <c r="AJ6" s="1325"/>
    </row>
    <row r="7" spans="1:39" ht="24">
      <c r="A7" s="3693" t="str">
        <f>IF(E2="商业",IF(C8="不临58条商业街","",2),"")</f>
        <v/>
      </c>
      <c r="B7" s="1332" t="s">
        <v>911</v>
      </c>
      <c r="C7" s="1013" t="e">
        <f>IF(C8="不临58条商业街",1,ROUND(1+(1.6*E8+1.2*E9+0.8*E10+0.4*E11)*C9,4))</f>
        <v>#DIV/0!</v>
      </c>
      <c r="D7" s="1333" t="s">
        <v>912</v>
      </c>
      <c r="E7" s="1014"/>
      <c r="F7" s="1334"/>
      <c r="G7" s="1335"/>
      <c r="H7" s="1335"/>
      <c r="I7" s="1335"/>
      <c r="J7" s="1336"/>
      <c r="K7" s="3144"/>
      <c r="L7" s="1755" t="s">
        <v>2035</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0.6482</v>
      </c>
      <c r="T7" s="2577">
        <f t="shared" si="0"/>
        <v>1916</v>
      </c>
      <c r="U7" s="2566"/>
      <c r="V7" s="2577">
        <f t="shared" si="1"/>
        <v>0</v>
      </c>
      <c r="W7" s="2575" t="s">
        <v>2480</v>
      </c>
      <c r="X7" s="2567" t="str">
        <f>G2</f>
        <v>六级</v>
      </c>
      <c r="Y7" s="2567" t="s">
        <v>2481</v>
      </c>
      <c r="Z7" s="2568">
        <f>G3</f>
        <v>1.2</v>
      </c>
      <c r="AA7" s="2028"/>
      <c r="AB7" s="2028"/>
      <c r="AC7" s="2029"/>
      <c r="AD7" s="2569"/>
      <c r="AE7" s="2569"/>
      <c r="AF7" s="2569"/>
      <c r="AG7" s="2569"/>
      <c r="AH7" s="2569"/>
      <c r="AI7" s="2569"/>
      <c r="AJ7" s="2570"/>
    </row>
    <row r="8" spans="1:39" ht="15">
      <c r="A8" s="3694"/>
      <c r="B8" s="1319" t="s">
        <v>913</v>
      </c>
      <c r="C8" s="1425"/>
      <c r="D8" s="1015" t="s">
        <v>914</v>
      </c>
      <c r="E8" s="1016" t="e">
        <f>ROUND(C11/E7,4)</f>
        <v>#DIV/0!</v>
      </c>
      <c r="F8" s="1337" t="s">
        <v>915</v>
      </c>
      <c r="G8" s="1338"/>
      <c r="H8" s="1338"/>
      <c r="I8" s="1338"/>
      <c r="J8" s="1339"/>
      <c r="K8" s="3144"/>
      <c r="L8" s="1755" t="s">
        <v>2036</v>
      </c>
      <c r="M8" s="1756">
        <f>SUMPRODUCT((区片价!B206:B244=I2)*(区片价!C3:F3=E2)*(区片价!C206:F244))</f>
        <v>0</v>
      </c>
      <c r="N8" s="1757">
        <f>SUMPRODUCT((因素修正幅度!B206:B244=I2)*(因素修正幅度!C3:F3=E2)*(因素修正幅度!C206:F244))</f>
        <v>0</v>
      </c>
      <c r="O8" s="3144"/>
      <c r="P8" s="2025"/>
      <c r="Q8" s="2025"/>
      <c r="R8" s="2577">
        <v>7</v>
      </c>
      <c r="S8" s="2566"/>
      <c r="T8" s="2577">
        <f t="shared" si="0"/>
        <v>0</v>
      </c>
      <c r="U8" s="2566"/>
      <c r="V8" s="2577">
        <f t="shared" si="1"/>
        <v>0</v>
      </c>
      <c r="W8" s="3680" t="s">
        <v>2498</v>
      </c>
      <c r="X8" s="3681"/>
      <c r="Y8" s="1719" t="s">
        <v>2482</v>
      </c>
      <c r="Z8" s="1719" t="s">
        <v>2483</v>
      </c>
      <c r="AA8" s="1719" t="s">
        <v>2484</v>
      </c>
      <c r="AB8" s="1719" t="s">
        <v>2485</v>
      </c>
      <c r="AC8" s="1719" t="s">
        <v>2486</v>
      </c>
      <c r="AD8" s="1719" t="s">
        <v>2487</v>
      </c>
      <c r="AE8" s="1719" t="s">
        <v>2488</v>
      </c>
      <c r="AF8" s="1719" t="s">
        <v>2489</v>
      </c>
      <c r="AG8" s="1719" t="s">
        <v>2490</v>
      </c>
      <c r="AH8" s="1719" t="s">
        <v>2491</v>
      </c>
      <c r="AI8" s="1719" t="s">
        <v>2492</v>
      </c>
      <c r="AJ8" s="1719" t="s">
        <v>2493</v>
      </c>
    </row>
    <row r="9" spans="1:39" ht="15">
      <c r="A9" s="3694"/>
      <c r="B9" s="1319" t="s">
        <v>916</v>
      </c>
      <c r="C9" s="1017">
        <f>SUMIF(修正!C71:C139,C8,修正!E71:E139)</f>
        <v>0</v>
      </c>
      <c r="D9" s="1018" t="s">
        <v>917</v>
      </c>
      <c r="E9" s="1018" t="e">
        <f>ROUND(C11/E7,4)</f>
        <v>#DIV/0!</v>
      </c>
      <c r="F9" s="1337" t="s">
        <v>918</v>
      </c>
      <c r="G9" s="1338"/>
      <c r="H9" s="1338"/>
      <c r="I9" s="1338"/>
      <c r="J9" s="1339"/>
      <c r="K9" s="3144"/>
      <c r="L9" s="1755" t="s">
        <v>2037</v>
      </c>
      <c r="M9" s="1756">
        <f>SUMPRODUCT((区片价!B245:B289=I2)*(区片价!C3:F3=E2)*(区片价!C245:F289))</f>
        <v>0</v>
      </c>
      <c r="N9" s="1757">
        <f>SUMPRODUCT((因素修正幅度!B245:B289=I2)*(因素修正幅度!C3:F3=E2)*(因素修正幅度!C245:F289))</f>
        <v>0</v>
      </c>
      <c r="O9" s="3144"/>
      <c r="P9" s="2025"/>
      <c r="Q9" s="2025"/>
      <c r="R9" s="2577">
        <v>8</v>
      </c>
      <c r="S9" s="2566"/>
      <c r="T9" s="2577">
        <f t="shared" si="0"/>
        <v>0</v>
      </c>
      <c r="U9" s="2566"/>
      <c r="V9" s="2577">
        <f t="shared" si="1"/>
        <v>0</v>
      </c>
      <c r="W9" s="3679" t="s">
        <v>2494</v>
      </c>
      <c r="X9" s="2571" t="s">
        <v>2495</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94"/>
      <c r="B10" s="1319" t="s">
        <v>919</v>
      </c>
      <c r="C10" s="1018">
        <f>SUMIF(修正!C71:C139,C8,修正!F71:F139)</f>
        <v>0</v>
      </c>
      <c r="D10" s="1018" t="s">
        <v>920</v>
      </c>
      <c r="E10" s="1018" t="e">
        <f>ROUND(C11/E7,4)</f>
        <v>#DIV/0!</v>
      </c>
      <c r="F10" s="1337" t="s">
        <v>921</v>
      </c>
      <c r="G10" s="1338"/>
      <c r="H10" s="1338"/>
      <c r="I10" s="1338"/>
      <c r="J10" s="1339"/>
      <c r="K10" s="3144"/>
      <c r="L10" s="1755" t="s">
        <v>2038</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f t="shared" si="0"/>
        <v>0</v>
      </c>
      <c r="U10" s="2566"/>
      <c r="V10" s="2577">
        <f t="shared" si="1"/>
        <v>0</v>
      </c>
      <c r="W10" s="3679"/>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94"/>
      <c r="B11" s="1340" t="s">
        <v>922</v>
      </c>
      <c r="C11" s="1019">
        <f>C10/4</f>
        <v>0</v>
      </c>
      <c r="D11" s="1019" t="s">
        <v>923</v>
      </c>
      <c r="E11" s="1019" t="e">
        <f>ROUND(C11/E7,4)</f>
        <v>#DIV/0!</v>
      </c>
      <c r="F11" s="1341" t="s">
        <v>924</v>
      </c>
      <c r="G11" s="1342"/>
      <c r="H11" s="1342"/>
      <c r="I11" s="1342"/>
      <c r="J11" s="1343"/>
      <c r="K11" s="3144"/>
      <c r="L11" s="1755" t="s">
        <v>2039</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f t="shared" si="0"/>
        <v>0</v>
      </c>
      <c r="U11" s="2566"/>
      <c r="V11" s="2577">
        <f t="shared" si="1"/>
        <v>0</v>
      </c>
      <c r="W11" s="3679" t="s">
        <v>2496</v>
      </c>
      <c r="X11" s="1018" t="s">
        <v>2481</v>
      </c>
      <c r="Y11" s="1537">
        <f>$G$3</f>
        <v>1.2</v>
      </c>
      <c r="Z11" s="1537">
        <f t="shared" ref="Z11:AJ11" si="3">$G$3</f>
        <v>1.2</v>
      </c>
      <c r="AA11" s="1537">
        <f t="shared" si="3"/>
        <v>1.2</v>
      </c>
      <c r="AB11" s="1537">
        <f t="shared" si="3"/>
        <v>1.2</v>
      </c>
      <c r="AC11" s="1537">
        <f t="shared" si="3"/>
        <v>1.2</v>
      </c>
      <c r="AD11" s="1537">
        <f t="shared" si="3"/>
        <v>1.2</v>
      </c>
      <c r="AE11" s="1537">
        <f t="shared" si="3"/>
        <v>1.2</v>
      </c>
      <c r="AF11" s="1537">
        <f t="shared" si="3"/>
        <v>1.2</v>
      </c>
      <c r="AG11" s="1537">
        <f t="shared" si="3"/>
        <v>1.2</v>
      </c>
      <c r="AH11" s="1537">
        <f t="shared" si="3"/>
        <v>1.2</v>
      </c>
      <c r="AI11" s="1537">
        <f t="shared" si="3"/>
        <v>1.2</v>
      </c>
      <c r="AJ11" s="1537">
        <f t="shared" si="3"/>
        <v>1.2</v>
      </c>
    </row>
    <row r="12" spans="1:39" ht="25.5" thickBot="1">
      <c r="A12" s="3693" t="s">
        <v>1666</v>
      </c>
      <c r="B12" s="1344" t="s">
        <v>925</v>
      </c>
      <c r="C12" s="1013">
        <f>ROUND(C15*D15*E15*F15*G15*H15*I15*J15,4)</f>
        <v>1</v>
      </c>
      <c r="D12" s="1345" t="s">
        <v>926</v>
      </c>
      <c r="E12" s="1346"/>
      <c r="F12" s="1346"/>
      <c r="G12" s="1347"/>
      <c r="H12" s="1347"/>
      <c r="I12" s="1347"/>
      <c r="J12" s="1348"/>
      <c r="K12" s="3144"/>
      <c r="L12" s="1758" t="s">
        <v>2040</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f t="shared" si="0"/>
        <v>0</v>
      </c>
      <c r="U12" s="2566"/>
      <c r="V12" s="2577">
        <f t="shared" si="1"/>
        <v>0</v>
      </c>
      <c r="W12" s="3679"/>
      <c r="X12" s="2574" t="s">
        <v>2497</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95"/>
      <c r="B13" s="1349" t="s">
        <v>1495</v>
      </c>
      <c r="C13" s="1350" t="s">
        <v>1496</v>
      </c>
      <c r="D13" s="1055" t="s">
        <v>1497</v>
      </c>
      <c r="E13" s="1055" t="s">
        <v>1498</v>
      </c>
      <c r="F13" s="1351" t="s">
        <v>927</v>
      </c>
      <c r="G13" s="1352" t="s">
        <v>1442</v>
      </c>
      <c r="H13" s="1353" t="s">
        <v>1442</v>
      </c>
      <c r="I13" s="1354" t="s">
        <v>1442</v>
      </c>
      <c r="J13" s="1355" t="s">
        <v>1442</v>
      </c>
      <c r="K13" s="2762"/>
      <c r="L13" s="2762"/>
      <c r="M13" s="2762"/>
      <c r="N13" s="2762"/>
      <c r="O13" s="2762"/>
      <c r="P13" s="2025"/>
      <c r="Q13" s="2025"/>
      <c r="R13" s="2577">
        <v>12</v>
      </c>
      <c r="S13" s="2566"/>
      <c r="T13" s="2577">
        <f t="shared" si="0"/>
        <v>0</v>
      </c>
      <c r="U13" s="2566"/>
      <c r="V13" s="2577">
        <f t="shared" si="1"/>
        <v>0</v>
      </c>
      <c r="W13" s="3679"/>
      <c r="X13" s="2574"/>
      <c r="Y13" s="2573">
        <f>(-0.163*(Y12^2)-0.59*Y12+7617)*(10^(-4))/Y11</f>
        <v>0.63475000000000004</v>
      </c>
      <c r="Z13" s="2573">
        <f t="shared" ref="Z13:AJ13" si="5">(-0.163*(Z12^2)-0.59*Z12+7617)*(10^(-4))/Z11</f>
        <v>0.63475000000000004</v>
      </c>
      <c r="AA13" s="2573">
        <f t="shared" si="5"/>
        <v>0.63475000000000004</v>
      </c>
      <c r="AB13" s="2573">
        <f t="shared" si="5"/>
        <v>0.63475000000000004</v>
      </c>
      <c r="AC13" s="2573">
        <f t="shared" si="5"/>
        <v>0.63475000000000004</v>
      </c>
      <c r="AD13" s="2573">
        <f t="shared" si="5"/>
        <v>0.63475000000000004</v>
      </c>
      <c r="AE13" s="2573">
        <f t="shared" si="5"/>
        <v>0.63475000000000004</v>
      </c>
      <c r="AF13" s="2573">
        <f t="shared" si="5"/>
        <v>0.63475000000000004</v>
      </c>
      <c r="AG13" s="2573">
        <f t="shared" si="5"/>
        <v>0.63475000000000004</v>
      </c>
      <c r="AH13" s="2573">
        <f t="shared" si="5"/>
        <v>0.63475000000000004</v>
      </c>
      <c r="AI13" s="2573">
        <f t="shared" si="5"/>
        <v>0.63475000000000004</v>
      </c>
      <c r="AJ13" s="2573">
        <f t="shared" si="5"/>
        <v>0.63475000000000004</v>
      </c>
    </row>
    <row r="14" spans="1:39" ht="12.75" customHeight="1">
      <c r="A14" s="3695"/>
      <c r="B14" s="1356"/>
      <c r="C14" s="1357"/>
      <c r="D14" s="1358"/>
      <c r="E14" s="1358"/>
      <c r="F14" s="1359"/>
      <c r="G14" s="1360" t="s">
        <v>928</v>
      </c>
      <c r="H14" s="1361"/>
      <c r="I14" s="1362"/>
      <c r="J14" s="1363"/>
      <c r="K14" s="3145"/>
      <c r="L14" s="3145"/>
      <c r="M14" s="3145"/>
      <c r="N14" s="3145"/>
      <c r="O14" s="3145"/>
      <c r="P14" s="2025"/>
      <c r="Q14" s="2025"/>
      <c r="R14" s="2577">
        <v>13</v>
      </c>
      <c r="S14" s="2566"/>
      <c r="T14" s="2577">
        <f t="shared" si="0"/>
        <v>0</v>
      </c>
      <c r="U14" s="2566"/>
      <c r="V14" s="2577">
        <f t="shared" si="1"/>
        <v>0</v>
      </c>
      <c r="W14" s="2025"/>
      <c r="X14" s="2025"/>
      <c r="Y14" s="2025"/>
      <c r="Z14" s="2025"/>
      <c r="AA14" s="2025"/>
      <c r="AB14" s="2025"/>
      <c r="AC14" s="2026"/>
    </row>
    <row r="15" spans="1:39" ht="13.5" customHeight="1" thickBot="1">
      <c r="A15" s="3696"/>
      <c r="B15" s="2767" t="s">
        <v>1499</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f t="shared" si="0"/>
        <v>0</v>
      </c>
      <c r="U15" s="2566"/>
      <c r="V15" s="2577">
        <f t="shared" si="1"/>
        <v>0</v>
      </c>
      <c r="W15" s="2025"/>
      <c r="X15" s="2025"/>
      <c r="Y15" s="2025"/>
      <c r="Z15" s="2025"/>
      <c r="AA15" s="2025"/>
      <c r="AB15" s="2025"/>
      <c r="AC15" s="2026"/>
    </row>
    <row r="16" spans="1:39" ht="24.6" customHeight="1">
      <c r="A16" s="3693" t="s">
        <v>1637</v>
      </c>
      <c r="B16" s="1332" t="s">
        <v>929</v>
      </c>
      <c r="C16" s="1022">
        <f>ROUND(IF(F17="与级别开发程度一致",0,(G17-E17)/C17),0)</f>
        <v>0</v>
      </c>
      <c r="D16" s="3687" t="s">
        <v>933</v>
      </c>
      <c r="E16" s="3688"/>
      <c r="F16" s="3687" t="s">
        <v>930</v>
      </c>
      <c r="G16" s="3688"/>
      <c r="H16" s="1364" t="s">
        <v>3134</v>
      </c>
      <c r="I16" s="1364" t="s">
        <v>3133</v>
      </c>
      <c r="J16" s="1364" t="s">
        <v>3135</v>
      </c>
      <c r="K16" s="1364" t="s">
        <v>3136</v>
      </c>
      <c r="L16" s="1364" t="s">
        <v>3137</v>
      </c>
      <c r="M16" s="1364" t="s">
        <v>3138</v>
      </c>
      <c r="N16" s="1364" t="s">
        <v>3140</v>
      </c>
      <c r="O16" s="2772" t="s">
        <v>3139</v>
      </c>
      <c r="P16" s="2025"/>
      <c r="Q16" s="2028"/>
      <c r="R16" s="2577">
        <v>15</v>
      </c>
      <c r="S16" s="2566"/>
      <c r="T16" s="2577">
        <f t="shared" si="0"/>
        <v>0</v>
      </c>
      <c r="U16" s="2566"/>
      <c r="V16" s="2577">
        <f t="shared" si="1"/>
        <v>0</v>
      </c>
      <c r="W16" s="2028"/>
      <c r="X16" s="2028"/>
      <c r="Y16" s="2028"/>
      <c r="Z16" s="2028"/>
      <c r="AA16" s="2028"/>
      <c r="AB16" s="2028"/>
      <c r="AC16" s="2029"/>
    </row>
    <row r="17" spans="1:40" ht="24.75" thickBot="1">
      <c r="A17" s="3697"/>
      <c r="B17" s="2773" t="s">
        <v>932</v>
      </c>
      <c r="C17" s="2774">
        <f>SUMPRODUCT((修正!A2:A7=E2)*(修正!B1:M1=G2)*(修正!B2:M7))</f>
        <v>1.2</v>
      </c>
      <c r="D17" s="2775" t="str">
        <f>IF(OR(G2="八级",G2="九级",G2="十级",G2="十一级",G2="十二级"),"五通一平","七通一平")</f>
        <v>七通一平</v>
      </c>
      <c r="E17" s="2765">
        <f>SUMPRODUCT((修正!B1:M1=G2)*(修正!B17:M17))</f>
        <v>315</v>
      </c>
      <c r="F17" s="2766" t="s">
        <v>3120</v>
      </c>
      <c r="G17" s="2765">
        <f>SUM(H17:O17)</f>
        <v>315</v>
      </c>
      <c r="H17" s="1021">
        <f>SUMPRODUCT((七通一平=H16)*(修正!B1:M1=G2)*(修正!B8:M16))</f>
        <v>70</v>
      </c>
      <c r="I17" s="1021">
        <f>SUMPRODUCT((七通一平=I16)*(修正!B1:M1=G2)*(修正!B8:M16))</f>
        <v>60</v>
      </c>
      <c r="J17" s="1021">
        <f>SUMPRODUCT((七通一平=J16)*(修正!B1:M1=G2)*(修正!B8:M16))</f>
        <v>15</v>
      </c>
      <c r="K17" s="1021">
        <f>SUMPRODUCT((七通一平=K16)*(修正!B1:M1=G2)*(修正!B8:M16))</f>
        <v>25</v>
      </c>
      <c r="L17" s="1021">
        <f>SUMPRODUCT((七通一平=L16)*(修正!B1:M1=G2)*(修正!B8:M16))</f>
        <v>40</v>
      </c>
      <c r="M17" s="1021">
        <f>SUMPRODUCT((七通一平=M16)*(修正!B1:M1=G2)*(修正!B8:M16))</f>
        <v>50</v>
      </c>
      <c r="N17" s="1021">
        <f>SUMPRODUCT((七通一平=N16)*(修正!B1:M1=G2)*(修正!B8:M16))</f>
        <v>40</v>
      </c>
      <c r="O17" s="2776">
        <f>SUMPRODUCT((七通一平=O16)*(修正!B1:M1=G2)*(修正!B8:M16))</f>
        <v>15</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1628</v>
      </c>
      <c r="B18" s="2768" t="s">
        <v>934</v>
      </c>
      <c r="C18" s="2769">
        <f>SUMIF(修正!C20:C51,E3,修正!E20:E51)</f>
        <v>1</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1634</v>
      </c>
      <c r="B19" s="1367" t="s">
        <v>935</v>
      </c>
      <c r="C19" s="1023">
        <f>ROUND(IF(H19="按公示增长率计算",SUMPRODUCT((地价!A3:A41=YEAR(G19)&amp;"-"&amp;ROUNDUP(MONTH(G19)/3,0))*(地价!X2:AB2=E2)*(地价!X3:AB41)),IF(H19="地价指数",M20/M19,(1+I19)^O19)),4)</f>
        <v>1.3880999999999999</v>
      </c>
      <c r="D19" s="1371" t="s">
        <v>936</v>
      </c>
      <c r="E19" s="1024">
        <v>41640</v>
      </c>
      <c r="F19" s="1371" t="s">
        <v>937</v>
      </c>
      <c r="G19" s="1025">
        <f>'数据-取费表'!B2</f>
        <v>43923</v>
      </c>
      <c r="H19" s="1372" t="s">
        <v>2686</v>
      </c>
      <c r="I19" s="2426" t="str">
        <f>IF(H19="季度增幅（自定义）",SUMIF(N21:N24,E2,O21:O24),"")</f>
        <v/>
      </c>
      <c r="J19" s="1368"/>
      <c r="K19" s="3143"/>
      <c r="L19" s="2673" t="s">
        <v>2554</v>
      </c>
      <c r="M19" s="2674">
        <f>ROUND(SUMIF(地价!B2:F2,E2,地价!B41:F41),0)</f>
        <v>230</v>
      </c>
      <c r="N19" s="2428" t="s">
        <v>1475</v>
      </c>
      <c r="O19" s="2427">
        <f>ROUNDDOWN(DATEDIF(E19,G19,"M")/3,0)</f>
        <v>25</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1635</v>
      </c>
      <c r="B20" s="2421" t="s">
        <v>950</v>
      </c>
      <c r="C20" s="2422">
        <f>ROUND(POWER(1+G20,J20-I20)*(POWER(1+G20,I20)-1)/(POWER(1+G20,J20)-1),4)</f>
        <v>1</v>
      </c>
      <c r="D20" s="2423" t="s">
        <v>951</v>
      </c>
      <c r="E20" s="2702">
        <f>存贷款利率!E22/100</f>
        <v>4.3499999999999997E-2</v>
      </c>
      <c r="F20" s="2423" t="s">
        <v>952</v>
      </c>
      <c r="G20" s="2424">
        <f>SUMIF(M26:P26,E2,M28:P28)</f>
        <v>4.8000000000000001E-2</v>
      </c>
      <c r="H20" s="2423" t="s">
        <v>953</v>
      </c>
      <c r="I20" s="2419">
        <f>SUMIF('数据-取费表'!C6:C15,E2,'数据-取费表'!F6:F15)/COUNTIF('数据-取费表'!C6:C15,E2)</f>
        <v>50</v>
      </c>
      <c r="J20" s="2425">
        <f>IF(E2="住宅",70,IF(E2="商业",40,50))</f>
        <v>50</v>
      </c>
      <c r="K20" s="2763"/>
      <c r="L20" s="2675" t="s">
        <v>2555</v>
      </c>
      <c r="M20" s="2756">
        <f>ROUND(SUMPRODUCT((地价!A4:A41=YEAR(G19)&amp;"-"&amp;ROUNDUP(MONTH(G19)/3,0))*(地价!B2:F2=E2)*(地价!B4:F41)),0)</f>
        <v>319</v>
      </c>
      <c r="N20" s="2431" t="s">
        <v>2361</v>
      </c>
      <c r="O20" s="2429" t="s">
        <v>2360</v>
      </c>
      <c r="P20" s="2430" t="s">
        <v>2366</v>
      </c>
      <c r="Q20" s="2565"/>
      <c r="R20" s="2031"/>
      <c r="S20" s="2031"/>
      <c r="T20" s="2031"/>
      <c r="U20" s="2031"/>
      <c r="V20" s="2031"/>
      <c r="W20" s="2031"/>
      <c r="X20" s="2031"/>
      <c r="Y20" s="1369"/>
      <c r="Z20" s="1369"/>
      <c r="AA20" s="1369"/>
      <c r="AB20" s="1369"/>
      <c r="AC20" s="1369"/>
      <c r="AD20" s="1369"/>
    </row>
    <row r="21" spans="1:40" s="1326" customFormat="1" ht="14.25">
      <c r="A21" s="1526" t="s">
        <v>1636</v>
      </c>
      <c r="B21" s="1377" t="s">
        <v>2719</v>
      </c>
      <c r="C21" s="1105">
        <f>IF(B21="容积率修正",IF(G3&lt;=10,D22,J22),C23)</f>
        <v>1</v>
      </c>
      <c r="D21" s="1378"/>
      <c r="E21" s="1378"/>
      <c r="F21" s="1378"/>
      <c r="G21" s="1378"/>
      <c r="H21" s="1378"/>
      <c r="I21" s="1378"/>
      <c r="J21" s="1379"/>
      <c r="K21" s="3143"/>
      <c r="L21" s="1378"/>
      <c r="M21" s="1378"/>
      <c r="N21" s="1375" t="s">
        <v>954</v>
      </c>
      <c r="O21" s="1438"/>
      <c r="P21" s="2418">
        <f>SUMPRODUCT((地价!A3:A41=YEAR(G19)&amp;"-"&amp;ROUNDUP(MONTH(G19)/3,0))*(地价!AD2:AH2=N21)*(地价!AD3:AH41))</f>
        <v>1.2500000000000001E-2</v>
      </c>
      <c r="Q21" s="2565"/>
      <c r="R21" s="2031"/>
      <c r="S21" s="2031"/>
      <c r="T21" s="2031"/>
      <c r="U21" s="2031"/>
      <c r="V21" s="2031"/>
      <c r="W21" s="2031"/>
      <c r="X21" s="2031"/>
      <c r="Y21" s="1308"/>
      <c r="Z21" s="1308"/>
      <c r="AA21" s="1308"/>
      <c r="AB21" s="1308"/>
      <c r="AC21" s="1369"/>
      <c r="AD21" s="1369"/>
    </row>
    <row r="22" spans="1:40" s="1326" customFormat="1" ht="14.25">
      <c r="A22" s="1527" t="s">
        <v>1665</v>
      </c>
      <c r="B22" s="1380" t="s">
        <v>955</v>
      </c>
      <c r="C22" s="1026" t="s">
        <v>1501</v>
      </c>
      <c r="D22" s="1026">
        <f>IF(E22=G22,F22,IF(G3&lt;=10,ROUND(F22+(H22-F22)*(G3-E22)/(G22-E22),4),"——"))</f>
        <v>1</v>
      </c>
      <c r="E22" s="1009">
        <f>ROUNDDOWN(G3,1)</f>
        <v>1.2</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9">
        <f>ROUNDUP(G3,1)</f>
        <v>1.2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6" t="s">
        <v>956</v>
      </c>
      <c r="J22" s="1026" t="str">
        <f>IF(G3&gt;10,D113,"——")</f>
        <v>——</v>
      </c>
      <c r="K22" s="3149"/>
      <c r="L22" s="1378"/>
      <c r="M22" s="1378"/>
      <c r="N22" s="1375" t="s">
        <v>957</v>
      </c>
      <c r="O22" s="1438"/>
      <c r="P22" s="2418">
        <f>SUMPRODUCT((地价!A3:A41=YEAR(G19)&amp;"-"&amp;ROUNDUP(MONTH(G19)/3,0))*(地价!AD2:AH2=N22)*(地价!AD3:AH41))</f>
        <v>1.2500000000000001E-2</v>
      </c>
      <c r="Q22" s="2565"/>
      <c r="R22" s="2031"/>
      <c r="S22" s="2031"/>
      <c r="T22" s="2031"/>
      <c r="U22" s="2031"/>
      <c r="V22" s="2031"/>
      <c r="W22" s="2031"/>
      <c r="X22" s="2031"/>
      <c r="Y22" s="1369"/>
      <c r="Z22" s="1369"/>
      <c r="AA22" s="1369"/>
      <c r="AB22" s="1369"/>
      <c r="AC22" s="1369"/>
      <c r="AD22" s="1369"/>
    </row>
    <row r="23" spans="1:40" ht="15.75" thickBot="1">
      <c r="A23" s="1527" t="s">
        <v>1666</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2.0400000000000001E-2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1667</v>
      </c>
      <c r="B24" s="1320" t="s">
        <v>959</v>
      </c>
      <c r="C24" s="1028">
        <f>SUMIF(A44:A87,E2,B44:B87)</f>
        <v>1.0336000000000001</v>
      </c>
      <c r="D24" s="1431"/>
      <c r="E24" s="1432"/>
      <c r="F24" s="1432"/>
      <c r="G24" s="1432"/>
      <c r="H24" s="1432"/>
      <c r="I24" s="1432"/>
      <c r="J24" s="1432"/>
      <c r="K24" s="3150"/>
      <c r="L24" s="1378"/>
      <c r="M24" s="1378"/>
      <c r="N24" s="1375" t="s">
        <v>960</v>
      </c>
      <c r="O24" s="2755"/>
      <c r="P24" s="2418">
        <f>SUMPRODUCT((地价!A3:A41=YEAR(G19)&amp;"-"&amp;ROUNDUP(MONTH(G19)/3,0))*(地价!AD2:AH2=N24)*(地价!AD3:AH41))</f>
        <v>1.32E-2</v>
      </c>
      <c r="Q24" s="2565"/>
      <c r="R24" s="2031"/>
      <c r="S24" s="2031"/>
      <c r="T24" s="2031"/>
      <c r="U24" s="2031"/>
      <c r="V24" s="2031"/>
      <c r="W24" s="2031"/>
      <c r="X24" s="2031"/>
      <c r="Y24" s="1369"/>
      <c r="Z24" s="1369"/>
      <c r="AA24" s="1369"/>
      <c r="AB24" s="1369"/>
      <c r="AC24" s="1369"/>
      <c r="AD24" s="1369"/>
    </row>
    <row r="25" spans="1:40" ht="15" thickBot="1">
      <c r="A25" s="1525" t="s">
        <v>1668</v>
      </c>
      <c r="B25" s="1382" t="s">
        <v>961</v>
      </c>
      <c r="C25" s="1383"/>
      <c r="D25" s="1335"/>
      <c r="E25" s="1335"/>
      <c r="F25" s="1384"/>
      <c r="G25" s="1335"/>
      <c r="H25" s="1335"/>
      <c r="I25" s="1335"/>
      <c r="J25" s="1336"/>
      <c r="K25" s="3144"/>
      <c r="L25" s="2031"/>
      <c r="M25" s="2031"/>
      <c r="N25" s="2757" t="s">
        <v>2364</v>
      </c>
      <c r="O25" s="2758"/>
      <c r="P25" s="2257">
        <f>SUMPRODUCT((地价!A3:A41=YEAR(G19)&amp;"-"&amp;ROUNDUP(MONTH(G19)/3,0))*(地价!AD2:AH2=N25)*(地价!AD3:AH41))</f>
        <v>1.8599999999999998E-2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f>IF(B21="容积率修正",E29+SUM(E33:E39),SUM(V2:V16)+SUM(E33:E39))</f>
        <v>1439</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f>E30+SUM(I33:I39)</f>
        <v>30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f>ROUND(C5*C18*C19*C20*C21*C24,0)</f>
        <v>2956</v>
      </c>
      <c r="D29" s="1400">
        <f>面积指标!D2</f>
        <v>4197.13</v>
      </c>
      <c r="E29" s="1719">
        <f>ROUND(C29*D29/10000,0)</f>
        <v>1241</v>
      </c>
      <c r="F29" s="1401" t="s">
        <v>1500</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f>ROUND(IF(E2="工业",C29*M39,C29*M38),0)</f>
        <v>443</v>
      </c>
      <c r="D30" s="1406"/>
      <c r="E30" s="1719">
        <f>ROUND(C30*D30/10000,0)</f>
        <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3151</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976</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89"/>
      <c r="B33" s="1420" t="s">
        <v>977</v>
      </c>
      <c r="C33" s="1029">
        <f>ROUND(D5*C19*C20*C24*F33,0)</f>
        <v>1773</v>
      </c>
      <c r="D33" s="1433"/>
      <c r="E33" s="1018">
        <f>ROUND(C33*D33/10000,0)</f>
        <v>0</v>
      </c>
      <c r="F33" s="1018">
        <f>SUMIF(修正!A57:A68,G2,修正!B57:B68)</f>
        <v>0.6</v>
      </c>
      <c r="G33" s="1018">
        <f t="shared" ref="G33" si="6">ROUND(IF(E2="工业",C33*$M$39,C33*$M$38),0)</f>
        <v>266</v>
      </c>
      <c r="H33" s="1018">
        <f>D33</f>
        <v>0</v>
      </c>
      <c r="I33" s="1018">
        <f>ROUND(G33*H33/10000,0)</f>
        <v>0</v>
      </c>
      <c r="J33" s="3689" t="s">
        <v>2723</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90"/>
      <c r="B34" s="1350" t="s">
        <v>978</v>
      </c>
      <c r="C34" s="1029">
        <f>ROUND(D5*C19*C20*C24*F34,0)</f>
        <v>887</v>
      </c>
      <c r="D34" s="1433"/>
      <c r="E34" s="1018">
        <f t="shared" ref="E34:E39" si="7">ROUND(C34*D34/10000,0)</f>
        <v>0</v>
      </c>
      <c r="F34" s="1018">
        <f>SUMIF(修正!A57:A68,G2,修正!C57:C68)</f>
        <v>0.3</v>
      </c>
      <c r="G34" s="1018">
        <f>ROUND(IF(E2="工业",C34*$M$39,C34*$M$38),0)</f>
        <v>133</v>
      </c>
      <c r="H34" s="1018">
        <f t="shared" ref="H34:H39" si="8">D34</f>
        <v>0</v>
      </c>
      <c r="I34" s="1018">
        <f t="shared" ref="I34:I39" si="9">ROUND(G34*H34/10000,0)</f>
        <v>0</v>
      </c>
      <c r="J34" s="3690"/>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90"/>
      <c r="B35" s="1350" t="s">
        <v>979</v>
      </c>
      <c r="C35" s="1029">
        <f>ROUND(D5*C19*C20*C24*F35,0)</f>
        <v>739</v>
      </c>
      <c r="D35" s="1433"/>
      <c r="E35" s="1018">
        <f t="shared" si="7"/>
        <v>0</v>
      </c>
      <c r="F35" s="1018">
        <f>SUMIF(修正!A57:A68,G2,修正!D57:D68)</f>
        <v>0.25</v>
      </c>
      <c r="G35" s="1018">
        <f>ROUND(IF(E2="工业",C35*$M$39,C35*$M$38),0)</f>
        <v>111</v>
      </c>
      <c r="H35" s="1018">
        <f t="shared" si="8"/>
        <v>0</v>
      </c>
      <c r="I35" s="1018">
        <f t="shared" si="9"/>
        <v>0</v>
      </c>
      <c r="J35" s="3690"/>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91"/>
      <c r="B36" s="1350" t="s">
        <v>980</v>
      </c>
      <c r="C36" s="1029"/>
      <c r="D36" s="1433"/>
      <c r="E36" s="1018">
        <f t="shared" si="7"/>
        <v>0</v>
      </c>
      <c r="F36" s="1018" t="e">
        <f>SUMIF(修正!A57:A68,G2,修正!#REF!)</f>
        <v>#REF!</v>
      </c>
      <c r="G36" s="1018">
        <f>ROUND(IF(E2="工业",C36*$M$39,C36*$M$38),0)</f>
        <v>0</v>
      </c>
      <c r="H36" s="1018">
        <f t="shared" si="8"/>
        <v>0</v>
      </c>
      <c r="I36" s="1018">
        <f t="shared" si="9"/>
        <v>0</v>
      </c>
      <c r="J36" s="3691"/>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981</v>
      </c>
      <c r="C37" s="1018">
        <f>ROUND(D5*C19*C20*C24*F37,0)</f>
        <v>739</v>
      </c>
      <c r="D37" s="1433"/>
      <c r="E37" s="1018">
        <f t="shared" si="7"/>
        <v>0</v>
      </c>
      <c r="F37" s="1029">
        <f>SUMIF(修正!A57:A68,G2,修正!E57:E68)</f>
        <v>0.25</v>
      </c>
      <c r="G37" s="1018">
        <f>ROUND(IF(E2="工业",C37*$M$39,C37*$M$38),0)</f>
        <v>111</v>
      </c>
      <c r="H37" s="1018">
        <f t="shared" si="8"/>
        <v>0</v>
      </c>
      <c r="I37" s="1018">
        <f t="shared" si="9"/>
        <v>0</v>
      </c>
      <c r="J37" s="1421"/>
      <c r="K37" s="2025"/>
      <c r="L37" s="1439" t="s">
        <v>1502</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982</v>
      </c>
      <c r="C38" s="1018">
        <f>ROUND(D5*C19*C41*C24*F38,0)</f>
        <v>739</v>
      </c>
      <c r="D38" s="1433">
        <f>面积指标!D6+面积指标!D7+面积指标!D9</f>
        <v>2681.0099999999998</v>
      </c>
      <c r="E38" s="1018">
        <f t="shared" si="7"/>
        <v>198</v>
      </c>
      <c r="F38" s="1029">
        <f>SUMIF(修正!A57:A68,G2,修正!F57:F68)</f>
        <v>0.25</v>
      </c>
      <c r="G38" s="1018">
        <f>ROUND(IF(E2="工业",C38*$M$39,C38*$M$38),0)</f>
        <v>111</v>
      </c>
      <c r="H38" s="1018">
        <f t="shared" si="8"/>
        <v>2681.0099999999998</v>
      </c>
      <c r="I38" s="1018">
        <f t="shared" si="9"/>
        <v>30</v>
      </c>
      <c r="J38" s="1421"/>
      <c r="K38" s="2025"/>
      <c r="L38" s="1441" t="s">
        <v>1504</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983</v>
      </c>
      <c r="C39" s="1021">
        <f>ROUND(D5*C19*C41*C24*F39,0)</f>
        <v>443</v>
      </c>
      <c r="D39" s="1434"/>
      <c r="E39" s="1021">
        <f t="shared" si="7"/>
        <v>0</v>
      </c>
      <c r="F39" s="1031">
        <f>SUMIF(修正!A57:A68,G2,修正!G57:G68)</f>
        <v>0.15</v>
      </c>
      <c r="G39" s="1021">
        <f>ROUND(IF(E2="工业",C39*$M$39,C39*$M$38),0)</f>
        <v>66</v>
      </c>
      <c r="H39" s="1021">
        <f t="shared" si="8"/>
        <v>0</v>
      </c>
      <c r="I39" s="1021">
        <f t="shared" si="9"/>
        <v>0</v>
      </c>
      <c r="J39" s="1423"/>
      <c r="K39" s="2025"/>
      <c r="L39" s="1443" t="s">
        <v>1503</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2681</v>
      </c>
      <c r="C41" s="811">
        <f>ROUND(POWER(1+E41,H41-G41)*(POWER(1+E41,G41)-1)/(POWER(1+E41,H41)-1),4)</f>
        <v>1</v>
      </c>
      <c r="D41" s="372" t="s">
        <v>2679</v>
      </c>
      <c r="E41" s="2751">
        <f>G20</f>
        <v>4.8000000000000001E-2</v>
      </c>
      <c r="F41" s="372" t="s">
        <v>2680</v>
      </c>
      <c r="G41" s="390">
        <f>项目基本情况!I19</f>
        <v>50</v>
      </c>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984</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hidden="1">
      <c r="A45" s="2234" t="s">
        <v>985</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hidden="1">
      <c r="A46" s="1033" t="s">
        <v>986</v>
      </c>
      <c r="B46" s="2218" t="s">
        <v>987</v>
      </c>
      <c r="C46" s="2240" t="s">
        <v>988</v>
      </c>
      <c r="D46" s="2241" t="s">
        <v>989</v>
      </c>
      <c r="E46" s="2242" t="s">
        <v>991</v>
      </c>
      <c r="F46" s="2243" t="s">
        <v>2041</v>
      </c>
      <c r="G46" s="2241" t="s">
        <v>992</v>
      </c>
      <c r="H46" s="2224" t="s">
        <v>2204</v>
      </c>
      <c r="I46" s="2241" t="s">
        <v>990</v>
      </c>
      <c r="J46" s="2244" t="s">
        <v>993</v>
      </c>
      <c r="K46" s="2244" t="s">
        <v>994</v>
      </c>
      <c r="L46" s="2244" t="s">
        <v>995</v>
      </c>
      <c r="M46" s="2244" t="s">
        <v>996</v>
      </c>
      <c r="N46" s="2244" t="s">
        <v>997</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hidden="1">
      <c r="A47" s="1033" t="s">
        <v>998</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hidden="1">
      <c r="A48" s="1033" t="s">
        <v>999</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hidden="1">
      <c r="A49" s="1033" t="s">
        <v>1000</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hidden="1">
      <c r="A50" s="1033" t="s">
        <v>1001</v>
      </c>
      <c r="B50" s="2704" t="s">
        <v>2638</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hidden="1">
      <c r="A51" s="1033" t="s">
        <v>1002</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hidden="1">
      <c r="A52" s="1033" t="s">
        <v>1003</v>
      </c>
      <c r="B52" s="2703" t="s">
        <v>2637</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hidden="1">
      <c r="A53" s="2250" t="s">
        <v>1004</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hidden="1">
      <c r="A54" s="2250" t="s">
        <v>1005</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hidden="1" thickBot="1">
      <c r="A55" s="2251" t="s">
        <v>1006</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hidden="1">
      <c r="A56" s="2234" t="s">
        <v>1007</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hidden="1">
      <c r="A57" s="1033" t="s">
        <v>986</v>
      </c>
      <c r="B57" s="2218"/>
      <c r="C57" s="2240" t="s">
        <v>988</v>
      </c>
      <c r="D57" s="2241" t="s">
        <v>989</v>
      </c>
      <c r="E57" s="2242" t="s">
        <v>991</v>
      </c>
      <c r="F57" s="2243" t="s">
        <v>2042</v>
      </c>
      <c r="G57" s="2241" t="s">
        <v>992</v>
      </c>
      <c r="H57" s="2224" t="s">
        <v>2204</v>
      </c>
      <c r="I57" s="2241" t="s">
        <v>990</v>
      </c>
      <c r="J57" s="2244" t="s">
        <v>993</v>
      </c>
      <c r="K57" s="2244" t="s">
        <v>994</v>
      </c>
      <c r="L57" s="2244" t="s">
        <v>995</v>
      </c>
      <c r="M57" s="2244" t="s">
        <v>996</v>
      </c>
      <c r="N57" s="2244" t="s">
        <v>997</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hidden="1">
      <c r="A58" s="1033" t="s">
        <v>1008</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hidden="1">
      <c r="A59" s="1033" t="s">
        <v>999</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hidden="1">
      <c r="A60" s="1033" t="s">
        <v>1000</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hidden="1">
      <c r="A61" s="1033" t="s">
        <v>1001</v>
      </c>
      <c r="B61" s="2704" t="s">
        <v>2639</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hidden="1">
      <c r="A62" s="1033" t="s">
        <v>1002</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hidden="1">
      <c r="A63" s="1033" t="s">
        <v>1003</v>
      </c>
      <c r="B63" s="2703" t="s">
        <v>2637</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hidden="1">
      <c r="A64" s="1033" t="s">
        <v>1004</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hidden="1">
      <c r="A65" s="1033" t="s">
        <v>1005</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hidden="1" thickBot="1">
      <c r="A66" s="2251" t="s">
        <v>1006</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hidden="1">
      <c r="A67" s="2234" t="s">
        <v>1009</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hidden="1">
      <c r="A68" s="1033" t="s">
        <v>986</v>
      </c>
      <c r="B68" s="2218"/>
      <c r="C68" s="2240" t="s">
        <v>988</v>
      </c>
      <c r="D68" s="2241" t="s">
        <v>989</v>
      </c>
      <c r="E68" s="2242" t="s">
        <v>991</v>
      </c>
      <c r="F68" s="2243" t="s">
        <v>2043</v>
      </c>
      <c r="G68" s="2241" t="s">
        <v>992</v>
      </c>
      <c r="H68" s="2224" t="s">
        <v>2204</v>
      </c>
      <c r="I68" s="2241" t="s">
        <v>990</v>
      </c>
      <c r="J68" s="2244" t="s">
        <v>993</v>
      </c>
      <c r="K68" s="2244" t="s">
        <v>994</v>
      </c>
      <c r="L68" s="2244" t="s">
        <v>995</v>
      </c>
      <c r="M68" s="2244" t="s">
        <v>996</v>
      </c>
      <c r="N68" s="2244" t="s">
        <v>997</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hidden="1">
      <c r="A69" s="1033" t="s">
        <v>1010</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hidden="1">
      <c r="A70" s="1033" t="s">
        <v>1011</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hidden="1">
      <c r="A71" s="1033" t="s">
        <v>1000</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hidden="1">
      <c r="A72" s="1033" t="s">
        <v>1012</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hidden="1">
      <c r="A73" s="1033" t="s">
        <v>1004</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hidden="1">
      <c r="A74" s="1033" t="s">
        <v>1005</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hidden="1">
      <c r="A75" s="1033" t="s">
        <v>1003</v>
      </c>
      <c r="B75" s="2703" t="s">
        <v>2637</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hidden="1">
      <c r="A76" s="1033" t="s">
        <v>1006</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hidden="1" thickBot="1">
      <c r="A77" s="2251" t="s">
        <v>1013</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1014</v>
      </c>
      <c r="B78" s="2235">
        <f>1+E80</f>
        <v>1.0336000000000001</v>
      </c>
      <c r="C78" s="2254"/>
      <c r="D78" s="2237"/>
      <c r="E78" s="2238"/>
      <c r="F78" s="2239"/>
      <c r="G78" s="2233"/>
      <c r="H78" s="2233"/>
      <c r="I78" s="2233"/>
      <c r="J78" s="1032"/>
      <c r="K78" s="1032"/>
      <c r="L78" s="1032"/>
      <c r="M78" s="1032"/>
      <c r="N78" s="1032"/>
      <c r="AC78" s="1310"/>
      <c r="AD78" s="1309"/>
      <c r="AJ78" s="1308"/>
      <c r="AN78" s="1309"/>
    </row>
    <row r="79" spans="1:40" ht="24">
      <c r="A79" s="1033" t="s">
        <v>986</v>
      </c>
      <c r="B79" s="2218"/>
      <c r="C79" s="2240" t="s">
        <v>988</v>
      </c>
      <c r="D79" s="2241" t="s">
        <v>989</v>
      </c>
      <c r="E79" s="2242" t="s">
        <v>991</v>
      </c>
      <c r="F79" s="2243" t="s">
        <v>2044</v>
      </c>
      <c r="G79" s="2241" t="s">
        <v>992</v>
      </c>
      <c r="H79" s="2224" t="s">
        <v>2204</v>
      </c>
      <c r="I79" s="2241" t="s">
        <v>990</v>
      </c>
      <c r="J79" s="2244" t="s">
        <v>993</v>
      </c>
      <c r="K79" s="2244" t="s">
        <v>994</v>
      </c>
      <c r="L79" s="2244" t="s">
        <v>995</v>
      </c>
      <c r="M79" s="2244" t="s">
        <v>996</v>
      </c>
      <c r="N79" s="2244" t="s">
        <v>997</v>
      </c>
      <c r="AC79" s="1310"/>
      <c r="AD79" s="1309"/>
      <c r="AJ79" s="1308"/>
      <c r="AN79" s="1309"/>
    </row>
    <row r="80" spans="1:40" ht="36">
      <c r="A80" s="1033" t="s">
        <v>1015</v>
      </c>
      <c r="B80" s="2218" t="str">
        <f>估价对象房地状况!G15</f>
        <v>估价对象位于XX开发区，园区建设成熟度XX，产业集聚程度XX</v>
      </c>
      <c r="C80" s="1020" t="s">
        <v>3144</v>
      </c>
      <c r="D80" s="2227">
        <f t="shared" ref="D80:D87" si="25">SUMIF($J$79:$N$79,C80,J80:N80)</f>
        <v>-1.6899999999999998E-2</v>
      </c>
      <c r="E80" s="2246">
        <f>ROUND(SUM(D80:D87),4)</f>
        <v>3.3599999999999998E-2</v>
      </c>
      <c r="F80" s="2247">
        <f>IF(E2="工业",SUMIF(L1:L12,G2,N1:N12),"——")</f>
        <v>0.13</v>
      </c>
      <c r="G80" s="2225">
        <f>H80</f>
        <v>1.6899999999999998E-2</v>
      </c>
      <c r="H80" s="2270">
        <f t="shared" ref="H80:H87" si="26">IFERROR(ROUNDDOWN($F$80*I80/2,4),"——")</f>
        <v>1.6899999999999998E-2</v>
      </c>
      <c r="I80" s="2245">
        <v>0.26</v>
      </c>
      <c r="J80" s="2248">
        <f t="shared" ref="J80:J87" si="27">K80+$G80</f>
        <v>3.3799999999999997E-2</v>
      </c>
      <c r="K80" s="2248">
        <f t="shared" ref="K80:K87" si="28">$L80+$G80</f>
        <v>1.6899999999999998E-2</v>
      </c>
      <c r="L80" s="2248">
        <v>0</v>
      </c>
      <c r="M80" s="2248">
        <f t="shared" ref="M80:N87" si="29">L80-$G80</f>
        <v>-1.6899999999999998E-2</v>
      </c>
      <c r="N80" s="2248">
        <f t="shared" si="29"/>
        <v>-3.3799999999999997E-2</v>
      </c>
      <c r="AC80" s="1310"/>
      <c r="AD80" s="1309"/>
      <c r="AJ80" s="1308"/>
      <c r="AN80" s="1309"/>
    </row>
    <row r="81" spans="1:40" ht="48">
      <c r="A81" s="1033" t="s">
        <v>1011</v>
      </c>
      <c r="B81" s="2218" t="str">
        <f>估价对象房地状况!G16</f>
        <v>估价对象周边道路状况、公共交通通达情况、停车便捷程度，综合评价交通便捷度较好</v>
      </c>
      <c r="C81" s="1020" t="s">
        <v>3123</v>
      </c>
      <c r="D81" s="2227">
        <f t="shared" si="25"/>
        <v>2.1399999999999999E-2</v>
      </c>
      <c r="E81" s="2255"/>
      <c r="F81" s="2256"/>
      <c r="G81" s="2225">
        <f t="shared" ref="G81:G87" si="30">H81</f>
        <v>2.1399999999999999E-2</v>
      </c>
      <c r="H81" s="2270">
        <f t="shared" si="26"/>
        <v>2.1399999999999999E-2</v>
      </c>
      <c r="I81" s="2245">
        <v>0.33</v>
      </c>
      <c r="J81" s="2248">
        <f t="shared" si="27"/>
        <v>4.2799999999999998E-2</v>
      </c>
      <c r="K81" s="2248">
        <f t="shared" si="28"/>
        <v>2.1399999999999999E-2</v>
      </c>
      <c r="L81" s="2248">
        <v>0</v>
      </c>
      <c r="M81" s="2248">
        <f t="shared" si="29"/>
        <v>-2.1399999999999999E-2</v>
      </c>
      <c r="N81" s="2248">
        <f t="shared" si="29"/>
        <v>-4.2799999999999998E-2</v>
      </c>
      <c r="AC81" s="1310"/>
      <c r="AD81" s="1309"/>
      <c r="AJ81" s="1308"/>
      <c r="AN81" s="1309"/>
    </row>
    <row r="82" spans="1:40" ht="24">
      <c r="A82" s="1033" t="s">
        <v>1000</v>
      </c>
      <c r="B82" s="2218">
        <f>估价对象房地状况!G17</f>
        <v>0</v>
      </c>
      <c r="C82" s="1020" t="s">
        <v>3122</v>
      </c>
      <c r="D82" s="2227">
        <f t="shared" si="25"/>
        <v>0</v>
      </c>
      <c r="E82" s="2255"/>
      <c r="F82" s="2256"/>
      <c r="G82" s="2225">
        <f t="shared" si="30"/>
        <v>3.2000000000000002E-3</v>
      </c>
      <c r="H82" s="2270">
        <f t="shared" si="26"/>
        <v>3.2000000000000002E-3</v>
      </c>
      <c r="I82" s="2245">
        <v>0.05</v>
      </c>
      <c r="J82" s="2248">
        <f t="shared" si="27"/>
        <v>6.4000000000000003E-3</v>
      </c>
      <c r="K82" s="2248">
        <f t="shared" si="28"/>
        <v>3.2000000000000002E-3</v>
      </c>
      <c r="L82" s="2248">
        <v>0</v>
      </c>
      <c r="M82" s="2248">
        <f t="shared" si="29"/>
        <v>-3.2000000000000002E-3</v>
      </c>
      <c r="N82" s="2248">
        <f t="shared" si="29"/>
        <v>-6.4000000000000003E-3</v>
      </c>
      <c r="AC82" s="1310"/>
      <c r="AD82" s="1309"/>
      <c r="AJ82" s="1308"/>
      <c r="AN82" s="1309"/>
    </row>
    <row r="83" spans="1:40" ht="14.25">
      <c r="A83" s="1033" t="s">
        <v>1012</v>
      </c>
      <c r="B83" s="2218">
        <f>估价对象房地状况!G22</f>
        <v>0</v>
      </c>
      <c r="C83" s="1020" t="s">
        <v>3123</v>
      </c>
      <c r="D83" s="2227">
        <f t="shared" si="25"/>
        <v>2.5999999999999999E-3</v>
      </c>
      <c r="E83" s="2255"/>
      <c r="F83" s="2256"/>
      <c r="G83" s="2225">
        <f t="shared" si="30"/>
        <v>2.5999999999999999E-3</v>
      </c>
      <c r="H83" s="2270">
        <f t="shared" si="26"/>
        <v>2.5999999999999999E-3</v>
      </c>
      <c r="I83" s="2245">
        <v>0.04</v>
      </c>
      <c r="J83" s="2248">
        <f t="shared" si="27"/>
        <v>5.1999999999999998E-3</v>
      </c>
      <c r="K83" s="2248">
        <f t="shared" si="28"/>
        <v>2.5999999999999999E-3</v>
      </c>
      <c r="L83" s="2248">
        <v>0</v>
      </c>
      <c r="M83" s="2248">
        <f t="shared" si="29"/>
        <v>-2.5999999999999999E-3</v>
      </c>
      <c r="N83" s="2248">
        <f t="shared" si="29"/>
        <v>-5.1999999999999998E-3</v>
      </c>
      <c r="AC83" s="1310"/>
      <c r="AD83" s="1309"/>
      <c r="AJ83" s="1308"/>
      <c r="AN83" s="1309"/>
    </row>
    <row r="84" spans="1:40" ht="24">
      <c r="A84" s="1033" t="s">
        <v>1004</v>
      </c>
      <c r="B84" s="2219" t="str">
        <f>估价对象房地状况!G19</f>
        <v>估价对象所在区域公共配套设施齐备情况</v>
      </c>
      <c r="C84" s="1020" t="s">
        <v>3122</v>
      </c>
      <c r="D84" s="2227">
        <f t="shared" si="25"/>
        <v>0</v>
      </c>
      <c r="E84" s="2255"/>
      <c r="F84" s="2256"/>
      <c r="G84" s="2225">
        <f t="shared" si="30"/>
        <v>3.8999999999999998E-3</v>
      </c>
      <c r="H84" s="2270">
        <f t="shared" si="26"/>
        <v>3.8999999999999998E-3</v>
      </c>
      <c r="I84" s="2245">
        <v>0.06</v>
      </c>
      <c r="J84" s="2248">
        <f t="shared" si="27"/>
        <v>7.7999999999999996E-3</v>
      </c>
      <c r="K84" s="2248">
        <f t="shared" si="28"/>
        <v>3.8999999999999998E-3</v>
      </c>
      <c r="L84" s="2248">
        <v>0</v>
      </c>
      <c r="M84" s="2248">
        <f t="shared" si="29"/>
        <v>-3.8999999999999998E-3</v>
      </c>
      <c r="N84" s="2248">
        <f t="shared" si="29"/>
        <v>-7.7999999999999996E-3</v>
      </c>
      <c r="AC84" s="1310"/>
      <c r="AD84" s="1309"/>
      <c r="AJ84" s="1308"/>
      <c r="AN84" s="1309"/>
    </row>
    <row r="85" spans="1:40" ht="24">
      <c r="A85" s="1033" t="s">
        <v>1005</v>
      </c>
      <c r="B85" s="2219" t="str">
        <f>估价对象房地状况!G20</f>
        <v>估价对象所在区域基础设施水平</v>
      </c>
      <c r="C85" s="1020" t="s">
        <v>3124</v>
      </c>
      <c r="D85" s="2227">
        <f t="shared" si="25"/>
        <v>1.9400000000000001E-2</v>
      </c>
      <c r="E85" s="2255"/>
      <c r="F85" s="2256"/>
      <c r="G85" s="2225">
        <f t="shared" si="30"/>
        <v>9.7000000000000003E-3</v>
      </c>
      <c r="H85" s="2270">
        <f t="shared" si="26"/>
        <v>9.7000000000000003E-3</v>
      </c>
      <c r="I85" s="2245">
        <v>0.15</v>
      </c>
      <c r="J85" s="2248">
        <f t="shared" si="27"/>
        <v>1.9400000000000001E-2</v>
      </c>
      <c r="K85" s="2248">
        <f t="shared" si="28"/>
        <v>9.7000000000000003E-3</v>
      </c>
      <c r="L85" s="2248">
        <v>0</v>
      </c>
      <c r="M85" s="2248">
        <f t="shared" si="29"/>
        <v>-9.7000000000000003E-3</v>
      </c>
      <c r="N85" s="2248">
        <f t="shared" si="29"/>
        <v>-1.9400000000000001E-2</v>
      </c>
      <c r="AC85" s="1310"/>
      <c r="AD85" s="1309"/>
      <c r="AJ85" s="1308"/>
      <c r="AN85" s="1309"/>
    </row>
    <row r="86" spans="1:40" ht="24">
      <c r="A86" s="1033" t="s">
        <v>1003</v>
      </c>
      <c r="B86" s="2703" t="s">
        <v>2637</v>
      </c>
      <c r="C86" s="1020" t="s">
        <v>3123</v>
      </c>
      <c r="D86" s="2227">
        <f t="shared" si="25"/>
        <v>3.2000000000000002E-3</v>
      </c>
      <c r="E86" s="2255"/>
      <c r="F86" s="2256"/>
      <c r="G86" s="2225">
        <f t="shared" si="30"/>
        <v>3.2000000000000002E-3</v>
      </c>
      <c r="H86" s="2270">
        <f t="shared" si="26"/>
        <v>3.2000000000000002E-3</v>
      </c>
      <c r="I86" s="2245">
        <v>0.05</v>
      </c>
      <c r="J86" s="2248">
        <f t="shared" si="27"/>
        <v>6.4000000000000003E-3</v>
      </c>
      <c r="K86" s="2248">
        <f t="shared" si="28"/>
        <v>3.2000000000000002E-3</v>
      </c>
      <c r="L86" s="2248">
        <v>0</v>
      </c>
      <c r="M86" s="2248">
        <f t="shared" si="29"/>
        <v>-3.2000000000000002E-3</v>
      </c>
      <c r="N86" s="2248">
        <f t="shared" si="29"/>
        <v>-6.4000000000000003E-3</v>
      </c>
      <c r="AC86" s="1310"/>
      <c r="AD86" s="1309"/>
      <c r="AJ86" s="1308"/>
      <c r="AN86" s="1309"/>
    </row>
    <row r="87" spans="1:40" ht="36.75" thickBot="1">
      <c r="A87" s="2251" t="s">
        <v>1016</v>
      </c>
      <c r="B87" s="2220" t="str">
        <f>估价对象房地状况!G18</f>
        <v>该园区内是否有污染型企业，绿化情况，卫生条件，整体环境状况判断</v>
      </c>
      <c r="C87" s="1020" t="s">
        <v>3123</v>
      </c>
      <c r="D87" s="2227">
        <f t="shared" si="25"/>
        <v>3.8999999999999998E-3</v>
      </c>
      <c r="E87" s="2257"/>
      <c r="F87" s="2256"/>
      <c r="G87" s="2225">
        <f t="shared" si="30"/>
        <v>3.8999999999999998E-3</v>
      </c>
      <c r="H87" s="2270">
        <f t="shared" si="26"/>
        <v>3.8999999999999998E-3</v>
      </c>
      <c r="I87" s="2252">
        <v>0.06</v>
      </c>
      <c r="J87" s="2248">
        <f t="shared" si="27"/>
        <v>7.7999999999999996E-3</v>
      </c>
      <c r="K87" s="2248">
        <f t="shared" si="28"/>
        <v>3.8999999999999998E-3</v>
      </c>
      <c r="L87" s="2248">
        <v>0</v>
      </c>
      <c r="M87" s="2248">
        <f t="shared" si="29"/>
        <v>-3.8999999999999998E-3</v>
      </c>
      <c r="N87" s="2248">
        <f t="shared" si="29"/>
        <v>-7.7999999999999996E-3</v>
      </c>
      <c r="AC87" s="1310"/>
      <c r="AD87" s="1309"/>
      <c r="AJ87" s="1308"/>
      <c r="AN87" s="1309"/>
    </row>
    <row r="90" spans="1:40">
      <c r="A90" s="3698" t="s">
        <v>1433</v>
      </c>
      <c r="B90" s="3698"/>
      <c r="C90" s="3698"/>
      <c r="D90" s="3698"/>
      <c r="E90" s="3698"/>
      <c r="F90" s="3698"/>
      <c r="G90" s="3698"/>
      <c r="H90" s="3698"/>
      <c r="I90" s="3698"/>
      <c r="J90" s="3698"/>
      <c r="K90" s="2260"/>
      <c r="L90" s="2260"/>
      <c r="M90" s="2260"/>
      <c r="N90" s="2260"/>
    </row>
    <row r="91" spans="1:40">
      <c r="A91" s="3699" t="s">
        <v>1421</v>
      </c>
      <c r="B91" s="3699" t="s">
        <v>1434</v>
      </c>
      <c r="C91" s="1087" t="s">
        <v>1435</v>
      </c>
      <c r="D91" s="1088"/>
      <c r="E91" s="1088"/>
      <c r="F91" s="1088"/>
      <c r="G91" s="1088"/>
      <c r="H91" s="1088"/>
      <c r="I91" s="1088"/>
      <c r="J91" s="1089"/>
      <c r="K91" s="1081"/>
      <c r="L91" s="1081"/>
      <c r="M91" s="1081"/>
      <c r="N91" s="1081"/>
    </row>
    <row r="92" spans="1:40">
      <c r="A92" s="3699"/>
      <c r="B92" s="3699"/>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82" t="s">
        <v>2479</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83"/>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83"/>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83"/>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83"/>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83"/>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83"/>
      <c r="B99" s="1090" t="s">
        <v>1436</v>
      </c>
      <c r="C99" s="1092">
        <f>$I$3</f>
        <v>0</v>
      </c>
      <c r="D99" s="1092">
        <f t="shared" ref="D99:N99" si="31">$I$3</f>
        <v>0</v>
      </c>
      <c r="E99" s="1092">
        <f t="shared" si="31"/>
        <v>0</v>
      </c>
      <c r="F99" s="1092">
        <f t="shared" si="31"/>
        <v>0</v>
      </c>
      <c r="G99" s="1092">
        <f t="shared" si="31"/>
        <v>0</v>
      </c>
      <c r="H99" s="1092">
        <f t="shared" si="31"/>
        <v>0</v>
      </c>
      <c r="I99" s="1092">
        <f t="shared" si="31"/>
        <v>0</v>
      </c>
      <c r="J99" s="1092">
        <f t="shared" si="31"/>
        <v>0</v>
      </c>
      <c r="K99" s="1092">
        <f t="shared" si="31"/>
        <v>0</v>
      </c>
      <c r="L99" s="1092">
        <f t="shared" si="31"/>
        <v>0</v>
      </c>
      <c r="M99" s="1092">
        <f t="shared" si="31"/>
        <v>0</v>
      </c>
      <c r="N99" s="1092">
        <f t="shared" si="31"/>
        <v>0</v>
      </c>
    </row>
    <row r="100" spans="1:14">
      <c r="A100" s="3684"/>
      <c r="B100" s="1090">
        <v>7</v>
      </c>
      <c r="C100" s="1093">
        <f>(-0.163*(C99^2)-0.59*C99+7617)*(10^(-4))</f>
        <v>0.76170000000000004</v>
      </c>
      <c r="D100" s="1093">
        <f>(-0.163*(D99^2)-0.59*D99+7617)*(10^(-4))</f>
        <v>0.76170000000000004</v>
      </c>
      <c r="E100" s="1093">
        <f>(-0.161*(E99^2)-7.509*E99+6533)*(10^(-4))</f>
        <v>0.65329999999999999</v>
      </c>
      <c r="F100" s="1093">
        <f>(-0.161*(F99^2)-7.509*F99+6533)*(10^(-4))</f>
        <v>0.65329999999999999</v>
      </c>
      <c r="G100" s="1093">
        <f>(-0.161*(G99^2)-7.509*G99+6533)*(10^(-4))</f>
        <v>0.65329999999999999</v>
      </c>
      <c r="H100" s="1093">
        <f>(-0.161*(H99^2)-7.509*H99+6533)*(10^(-4))</f>
        <v>0.65329999999999999</v>
      </c>
      <c r="I100" s="1093">
        <f>(-0.161*(I99^2)-7.509*I99+6533)*(10^(-4))</f>
        <v>0.65329999999999999</v>
      </c>
      <c r="J100" s="1093">
        <f>(-0.214*(J99^2)-21.991*J99+4665)*(10^(-4))</f>
        <v>0.46650000000000003</v>
      </c>
      <c r="K100" s="1093">
        <f>(-0.214*(K99^2)-21.991*K99+4665)*(10^(-4))</f>
        <v>0.46650000000000003</v>
      </c>
      <c r="L100" s="1093">
        <f>(-0.214*(L99^2)-21.991*L99+4665)*(10^(-4))</f>
        <v>0.46650000000000003</v>
      </c>
      <c r="M100" s="1093">
        <f>(-0.214*(M99^2)-21.991*M99+4665)*(10^(-4))</f>
        <v>0.46650000000000003</v>
      </c>
      <c r="N100" s="1093">
        <f>(-0.214*(N99^2)-21.991*N99+4665)*(10^(-4))</f>
        <v>0.46650000000000003</v>
      </c>
    </row>
    <row r="101" spans="1:14">
      <c r="A101" s="3682" t="s">
        <v>1437</v>
      </c>
      <c r="B101" s="1094" t="s">
        <v>885</v>
      </c>
      <c r="C101" s="1095">
        <f>$G$3</f>
        <v>1.2</v>
      </c>
      <c r="D101" s="1095">
        <f t="shared" ref="D101:N101" si="32">$G$3</f>
        <v>1.2</v>
      </c>
      <c r="E101" s="1095">
        <f t="shared" si="32"/>
        <v>1.2</v>
      </c>
      <c r="F101" s="1095">
        <f t="shared" si="32"/>
        <v>1.2</v>
      </c>
      <c r="G101" s="1095">
        <f t="shared" si="32"/>
        <v>1.2</v>
      </c>
      <c r="H101" s="1095">
        <f t="shared" si="32"/>
        <v>1.2</v>
      </c>
      <c r="I101" s="1095">
        <f t="shared" si="32"/>
        <v>1.2</v>
      </c>
      <c r="J101" s="1095">
        <f t="shared" si="32"/>
        <v>1.2</v>
      </c>
      <c r="K101" s="1095">
        <f t="shared" si="32"/>
        <v>1.2</v>
      </c>
      <c r="L101" s="1095">
        <f t="shared" si="32"/>
        <v>1.2</v>
      </c>
      <c r="M101" s="1095">
        <f t="shared" si="32"/>
        <v>1.2</v>
      </c>
      <c r="N101" s="1095">
        <f t="shared" si="32"/>
        <v>1.2</v>
      </c>
    </row>
    <row r="102" spans="1:14">
      <c r="A102" s="3683"/>
      <c r="B102" s="1090">
        <v>1</v>
      </c>
      <c r="C102" s="1091">
        <f>1.9362/C101</f>
        <v>1.6134999999999999</v>
      </c>
      <c r="D102" s="1091">
        <f>1.9362/D101</f>
        <v>1.6134999999999999</v>
      </c>
      <c r="E102" s="1091">
        <f>1.8629/E101</f>
        <v>1.5524166666666668</v>
      </c>
      <c r="F102" s="1091">
        <f>1.8629/F101</f>
        <v>1.5524166666666668</v>
      </c>
      <c r="G102" s="1091">
        <f>1.8629/G101</f>
        <v>1.5524166666666668</v>
      </c>
      <c r="H102" s="1091">
        <f>1.8629/H101</f>
        <v>1.5524166666666668</v>
      </c>
      <c r="I102" s="1091">
        <f>1.8629/I101</f>
        <v>1.5524166666666668</v>
      </c>
      <c r="J102" s="1091">
        <f>1.942/J101</f>
        <v>1.6183333333333334</v>
      </c>
      <c r="K102" s="1091">
        <f>1.942/K101</f>
        <v>1.6183333333333334</v>
      </c>
      <c r="L102" s="1091">
        <f>1.942/L101</f>
        <v>1.6183333333333334</v>
      </c>
      <c r="M102" s="1091">
        <f>1.942/M101</f>
        <v>1.6183333333333334</v>
      </c>
      <c r="N102" s="1091">
        <f>1.942/N101</f>
        <v>1.6183333333333334</v>
      </c>
    </row>
    <row r="103" spans="1:14">
      <c r="A103" s="3683"/>
      <c r="B103" s="1090">
        <v>2</v>
      </c>
      <c r="C103" s="1091">
        <f>1.4198/C101</f>
        <v>1.1831666666666667</v>
      </c>
      <c r="D103" s="1091">
        <f>1.4198/D101</f>
        <v>1.1831666666666667</v>
      </c>
      <c r="E103" s="1091">
        <f>1.3372/E101</f>
        <v>1.1143333333333334</v>
      </c>
      <c r="F103" s="1091">
        <f>1.3372/F101</f>
        <v>1.1143333333333334</v>
      </c>
      <c r="G103" s="1091">
        <f>1.3372/G101</f>
        <v>1.1143333333333334</v>
      </c>
      <c r="H103" s="1091">
        <f>1.3372/H101</f>
        <v>1.1143333333333334</v>
      </c>
      <c r="I103" s="1091">
        <f>1.3372/I101</f>
        <v>1.1143333333333334</v>
      </c>
      <c r="J103" s="1091">
        <f>1.2799/J101</f>
        <v>1.0665833333333334</v>
      </c>
      <c r="K103" s="1091">
        <f>1.2799/K101</f>
        <v>1.0665833333333334</v>
      </c>
      <c r="L103" s="1091">
        <f>1.2799/L101</f>
        <v>1.0665833333333334</v>
      </c>
      <c r="M103" s="1091">
        <f>1.2799/M101</f>
        <v>1.0665833333333334</v>
      </c>
      <c r="N103" s="1091">
        <f>1.2799/N101</f>
        <v>1.0665833333333334</v>
      </c>
    </row>
    <row r="104" spans="1:14">
      <c r="A104" s="3683"/>
      <c r="B104" s="1090">
        <v>3</v>
      </c>
      <c r="C104" s="1091">
        <f>1.1594/C101</f>
        <v>0.96616666666666673</v>
      </c>
      <c r="D104" s="1091">
        <f>1.1594/D101</f>
        <v>0.96616666666666673</v>
      </c>
      <c r="E104" s="1091">
        <f>1.0788/E101</f>
        <v>0.89900000000000002</v>
      </c>
      <c r="F104" s="1091">
        <f>1.0788/F101</f>
        <v>0.89900000000000002</v>
      </c>
      <c r="G104" s="1091">
        <f>1.0788/G101</f>
        <v>0.89900000000000002</v>
      </c>
      <c r="H104" s="1091">
        <f>1.0788/H101</f>
        <v>0.89900000000000002</v>
      </c>
      <c r="I104" s="1091">
        <f>1.0788/I101</f>
        <v>0.89900000000000002</v>
      </c>
      <c r="J104" s="1091">
        <f>1.0072/J101</f>
        <v>0.83933333333333349</v>
      </c>
      <c r="K104" s="1091">
        <f>1.0072/K101</f>
        <v>0.83933333333333349</v>
      </c>
      <c r="L104" s="1091">
        <f>1.0072/L101</f>
        <v>0.83933333333333349</v>
      </c>
      <c r="M104" s="1091">
        <f>1.0072/M101</f>
        <v>0.83933333333333349</v>
      </c>
      <c r="N104" s="1091">
        <f>1.0072/N101</f>
        <v>0.83933333333333349</v>
      </c>
    </row>
    <row r="105" spans="1:14">
      <c r="A105" s="3683"/>
      <c r="B105" s="1090">
        <v>4</v>
      </c>
      <c r="C105" s="1091">
        <f>0.9622/C101</f>
        <v>0.8018333333333334</v>
      </c>
      <c r="D105" s="1091">
        <f>0.9622/D101</f>
        <v>0.8018333333333334</v>
      </c>
      <c r="E105" s="1091">
        <f>0.8656/E101</f>
        <v>0.72133333333333338</v>
      </c>
      <c r="F105" s="1091">
        <f>0.8656/F101</f>
        <v>0.72133333333333338</v>
      </c>
      <c r="G105" s="1091">
        <f>0.8656/G101</f>
        <v>0.72133333333333338</v>
      </c>
      <c r="H105" s="1091">
        <f>0.8656/H101</f>
        <v>0.72133333333333338</v>
      </c>
      <c r="I105" s="1091">
        <f>0.8656/I101</f>
        <v>0.72133333333333338</v>
      </c>
      <c r="J105" s="1091">
        <f>0.7525/J101</f>
        <v>0.62708333333333333</v>
      </c>
      <c r="K105" s="1091">
        <f>0.7525/K101</f>
        <v>0.62708333333333333</v>
      </c>
      <c r="L105" s="1091">
        <f>0.7525/L101</f>
        <v>0.62708333333333333</v>
      </c>
      <c r="M105" s="1091">
        <f>0.7525/M101</f>
        <v>0.62708333333333333</v>
      </c>
      <c r="N105" s="1091">
        <f>0.7525/N101</f>
        <v>0.62708333333333333</v>
      </c>
    </row>
    <row r="106" spans="1:14">
      <c r="A106" s="3683"/>
      <c r="B106" s="1090">
        <v>5</v>
      </c>
      <c r="C106" s="1091">
        <f>0.8417/C101</f>
        <v>0.70141666666666669</v>
      </c>
      <c r="D106" s="1091">
        <f>0.8417/D101</f>
        <v>0.70141666666666669</v>
      </c>
      <c r="E106" s="1091">
        <f>0.7371/E101</f>
        <v>0.61424999999999996</v>
      </c>
      <c r="F106" s="1091">
        <f>0.7371/F101</f>
        <v>0.61424999999999996</v>
      </c>
      <c r="G106" s="1091">
        <f>0.7371/G101</f>
        <v>0.61424999999999996</v>
      </c>
      <c r="H106" s="1091">
        <f>0.7371/H101</f>
        <v>0.61424999999999996</v>
      </c>
      <c r="I106" s="1091">
        <f>0.7371/I101</f>
        <v>0.61424999999999996</v>
      </c>
      <c r="J106" s="1091">
        <f>0.5659/J101</f>
        <v>0.4715833333333333</v>
      </c>
      <c r="K106" s="1091">
        <f>0.5659/K101</f>
        <v>0.4715833333333333</v>
      </c>
      <c r="L106" s="1091">
        <f>0.5659/L101</f>
        <v>0.4715833333333333</v>
      </c>
      <c r="M106" s="1091">
        <f>0.5659/M101</f>
        <v>0.4715833333333333</v>
      </c>
      <c r="N106" s="1091">
        <f>0.5659/N101</f>
        <v>0.4715833333333333</v>
      </c>
    </row>
    <row r="107" spans="1:14">
      <c r="A107" s="3683"/>
      <c r="B107" s="1090">
        <v>6</v>
      </c>
      <c r="C107" s="1091">
        <f>0.7608/C101</f>
        <v>0.63400000000000001</v>
      </c>
      <c r="D107" s="1091">
        <f>0.7608/D101</f>
        <v>0.63400000000000001</v>
      </c>
      <c r="E107" s="1091">
        <f>0.6482/E101</f>
        <v>0.54016666666666668</v>
      </c>
      <c r="F107" s="1091">
        <f>0.6482/F101</f>
        <v>0.54016666666666668</v>
      </c>
      <c r="G107" s="1091">
        <f>0.6482/G101</f>
        <v>0.54016666666666668</v>
      </c>
      <c r="H107" s="1091">
        <f>0.6482/H101</f>
        <v>0.54016666666666668</v>
      </c>
      <c r="I107" s="1091">
        <f>0.6482/I101</f>
        <v>0.54016666666666668</v>
      </c>
      <c r="J107" s="1091">
        <f>0.4525/J101</f>
        <v>0.37708333333333338</v>
      </c>
      <c r="K107" s="1091">
        <f>0.4525/K101</f>
        <v>0.37708333333333338</v>
      </c>
      <c r="L107" s="1091">
        <f>0.4525/L101</f>
        <v>0.37708333333333338</v>
      </c>
      <c r="M107" s="1091">
        <f>0.4525/M101</f>
        <v>0.37708333333333338</v>
      </c>
      <c r="N107" s="1091">
        <f>0.4525/N101</f>
        <v>0.37708333333333338</v>
      </c>
    </row>
    <row r="108" spans="1:14">
      <c r="A108" s="3683"/>
      <c r="B108" s="3685" t="s">
        <v>1438</v>
      </c>
      <c r="C108" s="1092">
        <f>C99</f>
        <v>0</v>
      </c>
      <c r="D108" s="1092">
        <f t="shared" ref="D108:N108" si="33">D99</f>
        <v>0</v>
      </c>
      <c r="E108" s="1092">
        <f t="shared" si="33"/>
        <v>0</v>
      </c>
      <c r="F108" s="1092">
        <f t="shared" si="33"/>
        <v>0</v>
      </c>
      <c r="G108" s="1092">
        <f t="shared" si="33"/>
        <v>0</v>
      </c>
      <c r="H108" s="1092">
        <f t="shared" si="33"/>
        <v>0</v>
      </c>
      <c r="I108" s="1092">
        <f t="shared" si="33"/>
        <v>0</v>
      </c>
      <c r="J108" s="1092">
        <f t="shared" si="33"/>
        <v>0</v>
      </c>
      <c r="K108" s="1092">
        <f t="shared" si="33"/>
        <v>0</v>
      </c>
      <c r="L108" s="1092">
        <f t="shared" si="33"/>
        <v>0</v>
      </c>
      <c r="M108" s="1092">
        <f t="shared" si="33"/>
        <v>0</v>
      </c>
      <c r="N108" s="1092">
        <f t="shared" si="33"/>
        <v>0</v>
      </c>
    </row>
    <row r="109" spans="1:14">
      <c r="A109" s="3684"/>
      <c r="B109" s="3686"/>
      <c r="C109" s="1093">
        <f>(-0.163*(C108^2)-0.59*C108+7617)*(10^(-4))/C101</f>
        <v>0.63475000000000004</v>
      </c>
      <c r="D109" s="1093">
        <f>(-0.163*(D108^2)-0.59*D108+7617)*(10^(-4))/D101</f>
        <v>0.63475000000000004</v>
      </c>
      <c r="E109" s="1093">
        <f>(-0.161*(E108^2)-7.509*E108+6533)*(10^(-4))/E101</f>
        <v>0.54441666666666666</v>
      </c>
      <c r="F109" s="1093">
        <f>(-0.161*(F108^2)-7.509*F108+6533)*(10^(-4))/F101</f>
        <v>0.54441666666666666</v>
      </c>
      <c r="G109" s="1093">
        <f>(-0.161*(G108^2)-7.509*G108+6533)*(10^(-4))/G101</f>
        <v>0.54441666666666666</v>
      </c>
      <c r="H109" s="1093">
        <f>(-0.161*(H108^2)-7.509*H108+6533)*(10^(-4))/H101</f>
        <v>0.54441666666666666</v>
      </c>
      <c r="I109" s="1093">
        <f>(-0.161*(I108^2)-7.509*I108+6533)*(10^(-4))/I101</f>
        <v>0.54441666666666666</v>
      </c>
      <c r="J109" s="1093">
        <f>(-0.214*(J108^2)-21.991*J108+4665)*(10^(-4))/J101</f>
        <v>0.38875000000000004</v>
      </c>
      <c r="K109" s="1093">
        <f>(-0.214*(K108^2)-21.991*K108+4665)*(10^(-4))/K101</f>
        <v>0.38875000000000004</v>
      </c>
      <c r="L109" s="1093">
        <f>(-0.214*(L108^2)-21.991*L108+4665)*(10^(-4))/L101</f>
        <v>0.38875000000000004</v>
      </c>
      <c r="M109" s="1093">
        <f>(-0.214*(M108^2)-21.991*M108+4665)*(10^(-4))/M101</f>
        <v>0.38875000000000004</v>
      </c>
      <c r="N109" s="1093">
        <f>(-0.214*(N108^2)-21.991*N108+4665)*(10^(-4))/N101</f>
        <v>0.38875000000000004</v>
      </c>
    </row>
    <row r="110" spans="1:14">
      <c r="A110" s="3692" t="s">
        <v>1439</v>
      </c>
      <c r="B110" s="3692"/>
      <c r="C110" s="3692"/>
      <c r="D110" s="3692"/>
      <c r="E110" s="3692"/>
      <c r="F110" s="3692"/>
      <c r="G110" s="3692"/>
      <c r="H110" s="3692"/>
      <c r="I110" s="3692"/>
      <c r="J110" s="3692"/>
      <c r="K110" s="2258"/>
      <c r="L110" s="2258"/>
      <c r="M110" s="2258"/>
      <c r="N110" s="2258"/>
    </row>
    <row r="112" spans="1:14" ht="12.75" thickBot="1"/>
    <row r="113" spans="1:13" ht="25.5" thickBot="1">
      <c r="A113" s="986" t="s">
        <v>875</v>
      </c>
      <c r="B113" s="2261">
        <f>G3</f>
        <v>1.2</v>
      </c>
      <c r="C113" s="987" t="s">
        <v>876</v>
      </c>
      <c r="D113" s="988">
        <f>SUMPRODUCT((A115:A118=F113)*(B114:M114=H113)*B115:M118)</f>
        <v>0.61529999999999996</v>
      </c>
      <c r="E113" s="989" t="s">
        <v>877</v>
      </c>
      <c r="F113" s="990" t="str">
        <f>E2</f>
        <v>工业</v>
      </c>
      <c r="G113" s="989" t="s">
        <v>878</v>
      </c>
      <c r="H113" s="990" t="str">
        <f>G2</f>
        <v>六级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0.92220000000000002</v>
      </c>
      <c r="C115" s="1000">
        <f>B115</f>
        <v>0.92220000000000002</v>
      </c>
      <c r="D115" s="1000">
        <f>ROUND(0.8331-0.0109*B113,4)</f>
        <v>0.82</v>
      </c>
      <c r="E115" s="1000">
        <f>D115</f>
        <v>0.82</v>
      </c>
      <c r="F115" s="1000">
        <f>E115</f>
        <v>0.82</v>
      </c>
      <c r="G115" s="1000">
        <f>F115</f>
        <v>0.82</v>
      </c>
      <c r="H115" s="1000">
        <f>G115</f>
        <v>0.82</v>
      </c>
      <c r="I115" s="1000">
        <f>ROUND(0.689-0.0155*B113,4)</f>
        <v>0.6704</v>
      </c>
      <c r="J115" s="1000">
        <f t="shared" ref="J115:M118" si="34">I115</f>
        <v>0.6704</v>
      </c>
      <c r="K115" s="1000">
        <f t="shared" si="34"/>
        <v>0.6704</v>
      </c>
      <c r="L115" s="1000">
        <f t="shared" si="34"/>
        <v>0.6704</v>
      </c>
      <c r="M115" s="1001">
        <f t="shared" si="34"/>
        <v>0.6704</v>
      </c>
    </row>
    <row r="116" spans="1:13" ht="12.75">
      <c r="A116" s="999" t="s">
        <v>880</v>
      </c>
      <c r="B116" s="1000">
        <f>ROUND(0.949-0.012*B113,4)</f>
        <v>0.93459999999999999</v>
      </c>
      <c r="C116" s="1000">
        <f>B116</f>
        <v>0.93459999999999999</v>
      </c>
      <c r="D116" s="1000">
        <f>ROUND(0.8567-0.013*B113,4)</f>
        <v>0.84109999999999996</v>
      </c>
      <c r="E116" s="1000">
        <f t="shared" ref="E116:H117" si="35">D116</f>
        <v>0.84109999999999996</v>
      </c>
      <c r="F116" s="1000">
        <f t="shared" si="35"/>
        <v>0.84109999999999996</v>
      </c>
      <c r="G116" s="1000">
        <f t="shared" si="35"/>
        <v>0.84109999999999996</v>
      </c>
      <c r="H116" s="1000">
        <f t="shared" si="35"/>
        <v>0.84109999999999996</v>
      </c>
      <c r="I116" s="1000">
        <f>ROUND(0.7694-0.014*B113,4)</f>
        <v>0.75260000000000005</v>
      </c>
      <c r="J116" s="1000">
        <f t="shared" si="34"/>
        <v>0.75260000000000005</v>
      </c>
      <c r="K116" s="1000">
        <f t="shared" si="34"/>
        <v>0.75260000000000005</v>
      </c>
      <c r="L116" s="1000">
        <f t="shared" si="34"/>
        <v>0.75260000000000005</v>
      </c>
      <c r="M116" s="1001">
        <f t="shared" si="34"/>
        <v>0.75260000000000005</v>
      </c>
    </row>
    <row r="117" spans="1:13" ht="12.75">
      <c r="A117" s="1002" t="s">
        <v>881</v>
      </c>
      <c r="B117" s="1000">
        <f>ROUND(0.8808-0.006*B113,4)</f>
        <v>0.87360000000000004</v>
      </c>
      <c r="C117" s="1000">
        <f>B117</f>
        <v>0.87360000000000004</v>
      </c>
      <c r="D117" s="1000">
        <f>ROUND(0.8748-0.008*B113,4)</f>
        <v>0.86519999999999997</v>
      </c>
      <c r="E117" s="1000">
        <f t="shared" si="35"/>
        <v>0.86519999999999997</v>
      </c>
      <c r="F117" s="1000">
        <f t="shared" si="35"/>
        <v>0.86519999999999997</v>
      </c>
      <c r="G117" s="1000">
        <f t="shared" si="35"/>
        <v>0.86519999999999997</v>
      </c>
      <c r="H117" s="1000">
        <f t="shared" si="35"/>
        <v>0.86519999999999997</v>
      </c>
      <c r="I117" s="1000">
        <f>ROUND(0.7412-0.0095*B113,4)</f>
        <v>0.7298</v>
      </c>
      <c r="J117" s="1000">
        <f t="shared" si="34"/>
        <v>0.7298</v>
      </c>
      <c r="K117" s="1000">
        <f t="shared" si="34"/>
        <v>0.7298</v>
      </c>
      <c r="L117" s="1000">
        <f t="shared" si="34"/>
        <v>0.7298</v>
      </c>
      <c r="M117" s="1001">
        <f t="shared" si="34"/>
        <v>0.7298</v>
      </c>
    </row>
    <row r="118" spans="1:13" ht="13.5" thickBot="1">
      <c r="A118" s="1003" t="s">
        <v>882</v>
      </c>
      <c r="B118" s="1004">
        <f>ROUND(0.7275-0.01*B113,4)</f>
        <v>0.71550000000000002</v>
      </c>
      <c r="C118" s="1004">
        <f>B118</f>
        <v>0.71550000000000002</v>
      </c>
      <c r="D118" s="1004">
        <f>ROUND(0.7043-0.012*B113,4)</f>
        <v>0.68989999999999996</v>
      </c>
      <c r="E118" s="1004">
        <f>D118</f>
        <v>0.68989999999999996</v>
      </c>
      <c r="F118" s="1004">
        <f>E118</f>
        <v>0.68989999999999996</v>
      </c>
      <c r="G118" s="1004">
        <f>ROUND(0.6299-0.0122*B113,4)</f>
        <v>0.61529999999999996</v>
      </c>
      <c r="H118" s="1004">
        <f>G118</f>
        <v>0.61529999999999996</v>
      </c>
      <c r="I118" s="1004">
        <f>ROUND(0.5667-0.0136*B113,4)</f>
        <v>0.5504</v>
      </c>
      <c r="J118" s="1004">
        <f t="shared" si="34"/>
        <v>0.5504</v>
      </c>
      <c r="K118" s="1004">
        <f t="shared" si="34"/>
        <v>0.5504</v>
      </c>
      <c r="L118" s="1004">
        <f t="shared" si="34"/>
        <v>0.5504</v>
      </c>
      <c r="M118" s="1005">
        <f t="shared" si="34"/>
        <v>0.5504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1409</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1411</v>
      </c>
      <c r="B8" s="3418">
        <v>80</v>
      </c>
      <c r="C8" s="3418">
        <v>80</v>
      </c>
      <c r="D8" s="3418">
        <v>70</v>
      </c>
      <c r="E8" s="3418">
        <v>70</v>
      </c>
      <c r="F8" s="3418">
        <v>70</v>
      </c>
      <c r="G8" s="3418">
        <v>70</v>
      </c>
      <c r="H8" s="3418">
        <v>70</v>
      </c>
      <c r="I8" s="3418">
        <v>60</v>
      </c>
      <c r="J8" s="3418">
        <v>60</v>
      </c>
      <c r="K8" s="3418">
        <v>60</v>
      </c>
      <c r="L8" s="3418">
        <v>60</v>
      </c>
      <c r="M8" s="3419">
        <v>60</v>
      </c>
    </row>
    <row r="9" spans="1:13">
      <c r="A9" s="1033" t="s">
        <v>1412</v>
      </c>
      <c r="B9" s="3420">
        <v>70</v>
      </c>
      <c r="C9" s="3420">
        <v>70</v>
      </c>
      <c r="D9" s="3420">
        <v>60</v>
      </c>
      <c r="E9" s="3420">
        <v>60</v>
      </c>
      <c r="F9" s="3420">
        <v>60</v>
      </c>
      <c r="G9" s="3420">
        <v>60</v>
      </c>
      <c r="H9" s="3420">
        <v>60</v>
      </c>
      <c r="I9" s="3420">
        <v>50</v>
      </c>
      <c r="J9" s="3420">
        <v>50</v>
      </c>
      <c r="K9" s="3420">
        <v>50</v>
      </c>
      <c r="L9" s="3420">
        <v>50</v>
      </c>
      <c r="M9" s="3421">
        <v>50</v>
      </c>
    </row>
    <row r="10" spans="1:13">
      <c r="A10" s="1033" t="s">
        <v>1413</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1414</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1415</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1416</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1417</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1418</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1419</v>
      </c>
      <c r="B16" s="1075">
        <v>0</v>
      </c>
      <c r="C16" s="1075">
        <v>0</v>
      </c>
      <c r="D16" s="1075">
        <v>0</v>
      </c>
      <c r="E16" s="1075">
        <v>0</v>
      </c>
      <c r="F16" s="1075">
        <v>0</v>
      </c>
      <c r="G16" s="1075">
        <v>0</v>
      </c>
      <c r="H16" s="1075">
        <v>0</v>
      </c>
      <c r="I16" s="1075">
        <v>0</v>
      </c>
      <c r="J16" s="1075">
        <v>0</v>
      </c>
      <c r="K16" s="1075">
        <v>0</v>
      </c>
      <c r="L16" s="1075">
        <v>0</v>
      </c>
      <c r="M16" s="1075">
        <v>0</v>
      </c>
    </row>
    <row r="17" spans="1:13">
      <c r="A17" s="2764" t="s">
        <v>2683</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1420</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00" t="s">
        <v>2894</v>
      </c>
      <c r="B20" s="3703" t="s">
        <v>2904</v>
      </c>
      <c r="C20" s="3427" t="s">
        <v>2905</v>
      </c>
      <c r="D20" s="3428"/>
      <c r="E20" s="3429">
        <v>1</v>
      </c>
      <c r="F20" s="3430" t="s">
        <v>2906</v>
      </c>
      <c r="G20" s="1081"/>
      <c r="H20" s="1071"/>
      <c r="I20" s="1071"/>
    </row>
    <row r="21" spans="1:13" s="1486" customFormat="1">
      <c r="A21" s="3701"/>
      <c r="B21" s="3704"/>
      <c r="C21" s="3431" t="s">
        <v>2907</v>
      </c>
      <c r="D21" s="3432"/>
      <c r="E21" s="3433">
        <v>1</v>
      </c>
      <c r="F21" s="3430" t="s">
        <v>2908</v>
      </c>
      <c r="G21" s="1081"/>
      <c r="H21" s="1071"/>
      <c r="I21" s="1071"/>
    </row>
    <row r="22" spans="1:13" s="1486" customFormat="1">
      <c r="A22" s="3701"/>
      <c r="B22" s="3704"/>
      <c r="C22" s="3431" t="s">
        <v>2909</v>
      </c>
      <c r="D22" s="3432"/>
      <c r="E22" s="3433">
        <v>0.9</v>
      </c>
      <c r="F22" s="3430" t="s">
        <v>2910</v>
      </c>
      <c r="G22" s="1081"/>
      <c r="H22" s="1071"/>
      <c r="I22" s="1071"/>
    </row>
    <row r="23" spans="1:13" s="1486" customFormat="1">
      <c r="A23" s="3701"/>
      <c r="B23" s="3704"/>
      <c r="C23" s="3431" t="s">
        <v>2911</v>
      </c>
      <c r="D23" s="3432"/>
      <c r="E23" s="3433">
        <v>0.9</v>
      </c>
      <c r="F23" s="3430" t="s">
        <v>2912</v>
      </c>
      <c r="G23" s="1081"/>
      <c r="H23" s="1071"/>
      <c r="I23" s="1071"/>
    </row>
    <row r="24" spans="1:13" s="1486" customFormat="1">
      <c r="A24" s="3701"/>
      <c r="B24" s="3704"/>
      <c r="C24" s="3431" t="s">
        <v>2913</v>
      </c>
      <c r="D24" s="3432"/>
      <c r="E24" s="3433">
        <v>0.8</v>
      </c>
      <c r="F24" s="3430" t="s">
        <v>2914</v>
      </c>
      <c r="G24" s="1081"/>
      <c r="H24" s="1071"/>
      <c r="I24" s="1071"/>
    </row>
    <row r="25" spans="1:13" s="1486" customFormat="1" ht="14.25" thickBot="1">
      <c r="A25" s="3702"/>
      <c r="B25" s="3705"/>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06" t="s">
        <v>2899</v>
      </c>
      <c r="B27" s="3703" t="s">
        <v>2899</v>
      </c>
      <c r="C27" s="3427" t="s">
        <v>2919</v>
      </c>
      <c r="D27" s="3428"/>
      <c r="E27" s="3429">
        <v>1</v>
      </c>
      <c r="F27" s="3430" t="s">
        <v>2920</v>
      </c>
      <c r="G27" s="1081"/>
      <c r="H27" s="1071"/>
      <c r="I27" s="1071"/>
    </row>
    <row r="28" spans="1:13" s="1486" customFormat="1">
      <c r="A28" s="3707"/>
      <c r="B28" s="3704"/>
      <c r="C28" s="3431" t="s">
        <v>2921</v>
      </c>
      <c r="D28" s="3432"/>
      <c r="E28" s="3433">
        <v>1</v>
      </c>
      <c r="F28" s="3430" t="s">
        <v>2922</v>
      </c>
      <c r="G28" s="1081"/>
      <c r="H28" s="1071"/>
      <c r="I28" s="1071"/>
    </row>
    <row r="29" spans="1:13" s="1486" customFormat="1">
      <c r="A29" s="3707"/>
      <c r="B29" s="3704"/>
      <c r="C29" s="3431" t="s">
        <v>2923</v>
      </c>
      <c r="D29" s="3432"/>
      <c r="E29" s="3433">
        <v>0.8</v>
      </c>
      <c r="F29" s="3430" t="s">
        <v>2924</v>
      </c>
      <c r="G29" s="1081"/>
      <c r="H29" s="1071"/>
      <c r="I29" s="1071"/>
    </row>
    <row r="30" spans="1:13" s="1486" customFormat="1">
      <c r="A30" s="3707"/>
      <c r="B30" s="3704"/>
      <c r="C30" s="3431" t="s">
        <v>2925</v>
      </c>
      <c r="D30" s="3432"/>
      <c r="E30" s="3433">
        <v>0.8</v>
      </c>
      <c r="F30" s="3430" t="s">
        <v>2926</v>
      </c>
      <c r="G30" s="1081"/>
      <c r="H30" s="1071"/>
      <c r="I30" s="1071"/>
    </row>
    <row r="31" spans="1:13" s="1486" customFormat="1">
      <c r="A31" s="3707"/>
      <c r="B31" s="3704"/>
      <c r="C31" s="3431" t="s">
        <v>2927</v>
      </c>
      <c r="D31" s="3432"/>
      <c r="E31" s="3433">
        <v>0.8</v>
      </c>
      <c r="F31" s="3430" t="s">
        <v>2928</v>
      </c>
      <c r="G31" s="1081"/>
      <c r="H31" s="1071"/>
      <c r="I31" s="1071"/>
    </row>
    <row r="32" spans="1:13" s="1486" customFormat="1">
      <c r="A32" s="3707"/>
      <c r="B32" s="3704"/>
      <c r="C32" s="3431" t="s">
        <v>2929</v>
      </c>
      <c r="D32" s="3432"/>
      <c r="E32" s="3433">
        <v>0.7</v>
      </c>
      <c r="F32" s="3430" t="s">
        <v>2930</v>
      </c>
      <c r="G32" s="1081"/>
      <c r="H32" s="1071"/>
      <c r="I32" s="1071"/>
    </row>
    <row r="33" spans="1:9" s="1486" customFormat="1">
      <c r="A33" s="3707"/>
      <c r="B33" s="3704"/>
      <c r="C33" s="3431" t="s">
        <v>2931</v>
      </c>
      <c r="D33" s="3432"/>
      <c r="E33" s="3433">
        <v>0.8</v>
      </c>
      <c r="F33" s="3430" t="s">
        <v>2932</v>
      </c>
      <c r="G33" s="1081"/>
      <c r="H33" s="1071"/>
      <c r="I33" s="1071"/>
    </row>
    <row r="34" spans="1:9" s="1486" customFormat="1">
      <c r="A34" s="3707"/>
      <c r="B34" s="3704"/>
      <c r="C34" s="3431" t="s">
        <v>2933</v>
      </c>
      <c r="D34" s="3432"/>
      <c r="E34" s="3433">
        <v>0.6</v>
      </c>
      <c r="F34" s="3430" t="s">
        <v>2934</v>
      </c>
      <c r="G34" s="1081"/>
      <c r="H34" s="1071"/>
      <c r="I34" s="1071"/>
    </row>
    <row r="35" spans="1:9" s="1486" customFormat="1">
      <c r="A35" s="3707"/>
      <c r="B35" s="3704"/>
      <c r="C35" s="3431" t="s">
        <v>2935</v>
      </c>
      <c r="D35" s="3432"/>
      <c r="E35" s="3433">
        <v>0.2</v>
      </c>
      <c r="F35" s="3430" t="s">
        <v>2936</v>
      </c>
      <c r="G35" s="1081"/>
      <c r="H35" s="1071"/>
      <c r="I35" s="1071"/>
    </row>
    <row r="36" spans="1:9" s="1486" customFormat="1">
      <c r="A36" s="3707"/>
      <c r="B36" s="3704"/>
      <c r="C36" s="3431" t="s">
        <v>2937</v>
      </c>
      <c r="D36" s="3432"/>
      <c r="E36" s="3433">
        <v>0.2</v>
      </c>
      <c r="F36" s="3430" t="s">
        <v>2938</v>
      </c>
      <c r="G36" s="1081"/>
      <c r="H36" s="1071"/>
      <c r="I36" s="1071"/>
    </row>
    <row r="37" spans="1:9" s="1486" customFormat="1">
      <c r="A37" s="3707"/>
      <c r="B37" s="3709" t="s">
        <v>2939</v>
      </c>
      <c r="C37" s="3431" t="s">
        <v>2940</v>
      </c>
      <c r="D37" s="3432"/>
      <c r="E37" s="3433">
        <v>0.6</v>
      </c>
      <c r="F37" s="3430" t="s">
        <v>2941</v>
      </c>
      <c r="G37" s="1081"/>
      <c r="H37" s="1071"/>
      <c r="I37" s="1071"/>
    </row>
    <row r="38" spans="1:9" s="1486" customFormat="1">
      <c r="A38" s="3707"/>
      <c r="B38" s="3704"/>
      <c r="C38" s="3431" t="s">
        <v>2942</v>
      </c>
      <c r="D38" s="3432"/>
      <c r="E38" s="3433">
        <v>0.6</v>
      </c>
      <c r="F38" s="3430" t="s">
        <v>2943</v>
      </c>
      <c r="G38" s="1081"/>
      <c r="H38" s="1071"/>
      <c r="I38" s="1071"/>
    </row>
    <row r="39" spans="1:9" s="1486" customFormat="1" ht="14.25" thickBot="1">
      <c r="A39" s="3708"/>
      <c r="B39" s="3705"/>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00" t="s">
        <v>2897</v>
      </c>
      <c r="B41" s="3703" t="s">
        <v>2948</v>
      </c>
      <c r="C41" s="3427" t="s">
        <v>2949</v>
      </c>
      <c r="D41" s="3428"/>
      <c r="E41" s="3429">
        <v>1</v>
      </c>
      <c r="F41" s="3430" t="s">
        <v>2950</v>
      </c>
      <c r="G41" s="1081"/>
      <c r="H41" s="1071"/>
      <c r="I41" s="1071"/>
    </row>
    <row r="42" spans="1:9" s="1486" customFormat="1">
      <c r="A42" s="3701"/>
      <c r="B42" s="3704"/>
      <c r="C42" s="3431" t="s">
        <v>2951</v>
      </c>
      <c r="D42" s="3432"/>
      <c r="E42" s="3433">
        <v>1</v>
      </c>
      <c r="F42" s="3430" t="s">
        <v>2952</v>
      </c>
      <c r="G42" s="1081"/>
      <c r="H42" s="1071"/>
      <c r="I42" s="1071"/>
    </row>
    <row r="43" spans="1:9" s="1486" customFormat="1">
      <c r="A43" s="3701"/>
      <c r="B43" s="3710"/>
      <c r="C43" s="3431" t="s">
        <v>2953</v>
      </c>
      <c r="D43" s="3432"/>
      <c r="E43" s="3433">
        <v>1.5</v>
      </c>
      <c r="F43" s="3430" t="s">
        <v>2954</v>
      </c>
      <c r="G43" s="1081"/>
      <c r="H43" s="1071"/>
      <c r="I43" s="1071"/>
    </row>
    <row r="44" spans="1:9" s="1486" customFormat="1">
      <c r="A44" s="3701"/>
      <c r="B44" s="3442" t="s">
        <v>2899</v>
      </c>
      <c r="C44" s="3431" t="s">
        <v>2898</v>
      </c>
      <c r="D44" s="3432"/>
      <c r="E44" s="3433">
        <v>2</v>
      </c>
      <c r="F44" s="3430" t="s">
        <v>2955</v>
      </c>
      <c r="G44" s="1081"/>
      <c r="H44" s="1071"/>
      <c r="I44" s="1071"/>
    </row>
    <row r="45" spans="1:9" s="1486" customFormat="1">
      <c r="A45" s="3701"/>
      <c r="B45" s="3709" t="s">
        <v>2956</v>
      </c>
      <c r="C45" s="3431" t="s">
        <v>2957</v>
      </c>
      <c r="D45" s="3432"/>
      <c r="E45" s="3433">
        <v>1</v>
      </c>
      <c r="F45" s="3430" t="s">
        <v>2958</v>
      </c>
      <c r="G45" s="1081"/>
      <c r="H45" s="1071"/>
      <c r="I45" s="1071"/>
    </row>
    <row r="46" spans="1:9" s="1486" customFormat="1">
      <c r="A46" s="3701"/>
      <c r="B46" s="3704"/>
      <c r="C46" s="3431" t="s">
        <v>2959</v>
      </c>
      <c r="D46" s="3432"/>
      <c r="E46" s="3433">
        <v>1</v>
      </c>
      <c r="F46" s="3430" t="s">
        <v>2960</v>
      </c>
      <c r="G46" s="1081"/>
      <c r="H46" s="1071"/>
      <c r="I46" s="1071"/>
    </row>
    <row r="47" spans="1:9" s="1486" customFormat="1">
      <c r="A47" s="3701"/>
      <c r="B47" s="3704"/>
      <c r="C47" s="3431" t="s">
        <v>2961</v>
      </c>
      <c r="D47" s="3432"/>
      <c r="E47" s="3433">
        <v>1</v>
      </c>
      <c r="F47" s="3430" t="s">
        <v>2962</v>
      </c>
      <c r="G47" s="1081"/>
      <c r="H47" s="1071"/>
      <c r="I47" s="1071"/>
    </row>
    <row r="48" spans="1:9" s="1486" customFormat="1">
      <c r="A48" s="3701"/>
      <c r="B48" s="3704"/>
      <c r="C48" s="3431" t="s">
        <v>2963</v>
      </c>
      <c r="D48" s="3432"/>
      <c r="E48" s="3433">
        <v>1</v>
      </c>
      <c r="F48" s="3430" t="s">
        <v>2964</v>
      </c>
      <c r="G48" s="1081"/>
      <c r="H48" s="1071"/>
      <c r="I48" s="1071"/>
    </row>
    <row r="49" spans="1:9" s="1486" customFormat="1">
      <c r="A49" s="3701"/>
      <c r="B49" s="3704"/>
      <c r="C49" s="3431" t="s">
        <v>2965</v>
      </c>
      <c r="D49" s="3432"/>
      <c r="E49" s="3433">
        <v>1</v>
      </c>
      <c r="F49" s="3430" t="s">
        <v>2966</v>
      </c>
      <c r="G49" s="1081"/>
      <c r="H49" s="1071"/>
      <c r="I49" s="1071"/>
    </row>
    <row r="50" spans="1:9" s="1486" customFormat="1">
      <c r="A50" s="3701"/>
      <c r="B50" s="3704"/>
      <c r="C50" s="3431" t="s">
        <v>2967</v>
      </c>
      <c r="D50" s="3432"/>
      <c r="E50" s="3433">
        <v>1</v>
      </c>
      <c r="F50" s="3430" t="s">
        <v>2968</v>
      </c>
      <c r="G50" s="1081"/>
      <c r="H50" s="1071"/>
      <c r="I50" s="1071"/>
    </row>
    <row r="51" spans="1:9" s="1486" customFormat="1" ht="14.25" thickBot="1">
      <c r="A51" s="3702"/>
      <c r="B51" s="3705"/>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1422</v>
      </c>
      <c r="C54" s="1034" t="s">
        <v>1422</v>
      </c>
      <c r="D54" s="1034" t="s">
        <v>1422</v>
      </c>
      <c r="E54" s="1100" t="s">
        <v>1422</v>
      </c>
      <c r="F54" s="1100" t="s">
        <v>1423</v>
      </c>
      <c r="G54" s="1100" t="s">
        <v>1422</v>
      </c>
      <c r="I54" s="1032"/>
    </row>
    <row r="55" spans="1:9">
      <c r="A55" s="1083"/>
      <c r="B55" s="1100" t="s">
        <v>985</v>
      </c>
      <c r="C55" s="1100" t="s">
        <v>985</v>
      </c>
      <c r="D55" s="1100" t="s">
        <v>985</v>
      </c>
      <c r="E55" s="1034" t="s">
        <v>1007</v>
      </c>
      <c r="F55" s="1034" t="s">
        <v>1410</v>
      </c>
      <c r="G55" s="1034" t="s">
        <v>1424</v>
      </c>
      <c r="I55" s="1032"/>
    </row>
    <row r="56" spans="1:9">
      <c r="A56" s="1084"/>
      <c r="B56" s="1034">
        <v>1</v>
      </c>
      <c r="C56" s="1034">
        <v>2</v>
      </c>
      <c r="D56" s="1034">
        <v>3</v>
      </c>
      <c r="E56" s="1078" t="s">
        <v>1425</v>
      </c>
      <c r="F56" s="1078" t="s">
        <v>1425</v>
      </c>
      <c r="G56" s="1078" t="s">
        <v>1425</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1426</v>
      </c>
      <c r="E70" s="1076"/>
      <c r="F70" s="1076"/>
    </row>
    <row r="71" spans="1:8" s="1071" customFormat="1">
      <c r="A71" s="1101" t="s">
        <v>1427</v>
      </c>
      <c r="B71" s="1101" t="s">
        <v>1428</v>
      </c>
      <c r="C71" s="1101" t="s">
        <v>1429</v>
      </c>
      <c r="D71" s="1101" t="s">
        <v>1430</v>
      </c>
      <c r="E71" s="1101" t="s">
        <v>1431</v>
      </c>
      <c r="F71" s="1101" t="s">
        <v>1432</v>
      </c>
    </row>
    <row r="72" spans="1:8" s="1071" customFormat="1">
      <c r="A72" s="1101"/>
      <c r="B72" s="1101"/>
      <c r="C72" s="1101" t="s">
        <v>2971</v>
      </c>
      <c r="D72" s="1101"/>
      <c r="E72" s="1086" t="s">
        <v>1419</v>
      </c>
      <c r="F72" s="1101" t="s">
        <v>1419</v>
      </c>
    </row>
    <row r="73" spans="1:8" s="1071" customFormat="1">
      <c r="A73" s="3442">
        <v>1</v>
      </c>
      <c r="B73" s="3709" t="s">
        <v>2972</v>
      </c>
      <c r="C73" s="3420" t="s">
        <v>2973</v>
      </c>
      <c r="D73" s="3420" t="s">
        <v>2974</v>
      </c>
      <c r="E73" s="3443">
        <v>0.2</v>
      </c>
      <c r="F73" s="3442">
        <v>25</v>
      </c>
      <c r="H73" s="1071">
        <f>SUMIF(C71:C139,基准地价!C8,E71:E139)</f>
        <v>0</v>
      </c>
    </row>
    <row r="74" spans="1:8" s="1071" customFormat="1" ht="24">
      <c r="A74" s="3442">
        <v>2</v>
      </c>
      <c r="B74" s="3704"/>
      <c r="C74" s="3420" t="s">
        <v>2975</v>
      </c>
      <c r="D74" s="3420" t="s">
        <v>2976</v>
      </c>
      <c r="E74" s="3443">
        <v>0.2</v>
      </c>
      <c r="F74" s="3442">
        <v>25</v>
      </c>
    </row>
    <row r="75" spans="1:8" s="1071" customFormat="1" ht="24">
      <c r="A75" s="3442">
        <v>3</v>
      </c>
      <c r="B75" s="3704"/>
      <c r="C75" s="3420" t="s">
        <v>2977</v>
      </c>
      <c r="D75" s="3420" t="s">
        <v>2978</v>
      </c>
      <c r="E75" s="3443">
        <v>0.2</v>
      </c>
      <c r="F75" s="3442">
        <v>25</v>
      </c>
    </row>
    <row r="76" spans="1:8" s="1071" customFormat="1">
      <c r="A76" s="3442">
        <v>4</v>
      </c>
      <c r="B76" s="3704"/>
      <c r="C76" s="3420" t="s">
        <v>2979</v>
      </c>
      <c r="D76" s="3420" t="s">
        <v>2980</v>
      </c>
      <c r="E76" s="3443">
        <v>0.15</v>
      </c>
      <c r="F76" s="3442">
        <v>20</v>
      </c>
    </row>
    <row r="77" spans="1:8" s="1071" customFormat="1" ht="24">
      <c r="A77" s="3442">
        <v>5</v>
      </c>
      <c r="B77" s="3704"/>
      <c r="C77" s="3420" t="s">
        <v>2981</v>
      </c>
      <c r="D77" s="3420" t="s">
        <v>2982</v>
      </c>
      <c r="E77" s="3443">
        <v>0.15</v>
      </c>
      <c r="F77" s="3442">
        <v>20</v>
      </c>
    </row>
    <row r="78" spans="1:8" s="1071" customFormat="1" ht="24">
      <c r="A78" s="3442">
        <v>6</v>
      </c>
      <c r="B78" s="3704"/>
      <c r="C78" s="3420" t="s">
        <v>2983</v>
      </c>
      <c r="D78" s="3420" t="s">
        <v>2984</v>
      </c>
      <c r="E78" s="3443">
        <v>0.15</v>
      </c>
      <c r="F78" s="3442">
        <v>20</v>
      </c>
    </row>
    <row r="79" spans="1:8" s="1071" customFormat="1" ht="24">
      <c r="A79" s="3442">
        <v>7</v>
      </c>
      <c r="B79" s="3704"/>
      <c r="C79" s="3420" t="s">
        <v>2985</v>
      </c>
      <c r="D79" s="3420" t="s">
        <v>2986</v>
      </c>
      <c r="E79" s="3443">
        <v>0.15</v>
      </c>
      <c r="F79" s="3442">
        <v>20</v>
      </c>
    </row>
    <row r="80" spans="1:8" s="1071" customFormat="1" ht="24">
      <c r="A80" s="3442">
        <v>8</v>
      </c>
      <c r="B80" s="3704"/>
      <c r="C80" s="3420" t="s">
        <v>2987</v>
      </c>
      <c r="D80" s="3420" t="s">
        <v>2988</v>
      </c>
      <c r="E80" s="3443">
        <v>0.1</v>
      </c>
      <c r="F80" s="3442">
        <v>15</v>
      </c>
    </row>
    <row r="81" spans="1:6" s="1071" customFormat="1" ht="24">
      <c r="A81" s="3442">
        <v>9</v>
      </c>
      <c r="B81" s="3704"/>
      <c r="C81" s="3420" t="s">
        <v>2989</v>
      </c>
      <c r="D81" s="3420" t="s">
        <v>2990</v>
      </c>
      <c r="E81" s="3443">
        <v>0.1</v>
      </c>
      <c r="F81" s="3442">
        <v>15</v>
      </c>
    </row>
    <row r="82" spans="1:6" s="1071" customFormat="1" ht="24">
      <c r="A82" s="3442">
        <v>10</v>
      </c>
      <c r="B82" s="3704"/>
      <c r="C82" s="3420" t="s">
        <v>2991</v>
      </c>
      <c r="D82" s="3420" t="s">
        <v>2992</v>
      </c>
      <c r="E82" s="3443">
        <v>0.1</v>
      </c>
      <c r="F82" s="3442">
        <v>15</v>
      </c>
    </row>
    <row r="83" spans="1:6" s="1071" customFormat="1" ht="24">
      <c r="A83" s="3442">
        <v>11</v>
      </c>
      <c r="B83" s="3704"/>
      <c r="C83" s="3420" t="s">
        <v>2993</v>
      </c>
      <c r="D83" s="3420" t="s">
        <v>2994</v>
      </c>
      <c r="E83" s="3443">
        <v>0.1</v>
      </c>
      <c r="F83" s="3442">
        <v>15</v>
      </c>
    </row>
    <row r="84" spans="1:6" s="1071" customFormat="1" ht="24">
      <c r="A84" s="3442">
        <v>12</v>
      </c>
      <c r="B84" s="3704"/>
      <c r="C84" s="3420" t="s">
        <v>2995</v>
      </c>
      <c r="D84" s="3420" t="s">
        <v>2996</v>
      </c>
      <c r="E84" s="3443">
        <v>0.1</v>
      </c>
      <c r="F84" s="3442">
        <v>15</v>
      </c>
    </row>
    <row r="85" spans="1:6" s="1071" customFormat="1">
      <c r="A85" s="3442">
        <v>13</v>
      </c>
      <c r="B85" s="3704"/>
      <c r="C85" s="3420" t="s">
        <v>2997</v>
      </c>
      <c r="D85" s="3420" t="s">
        <v>2998</v>
      </c>
      <c r="E85" s="3443">
        <v>0.1</v>
      </c>
      <c r="F85" s="3442">
        <v>15</v>
      </c>
    </row>
    <row r="86" spans="1:6" s="1071" customFormat="1">
      <c r="A86" s="3442">
        <v>14</v>
      </c>
      <c r="B86" s="3704"/>
      <c r="C86" s="3420" t="s">
        <v>2999</v>
      </c>
      <c r="D86" s="3420" t="s">
        <v>3000</v>
      </c>
      <c r="E86" s="3443">
        <v>0.1</v>
      </c>
      <c r="F86" s="3442">
        <v>15</v>
      </c>
    </row>
    <row r="87" spans="1:6" s="1071" customFormat="1">
      <c r="A87" s="3442">
        <v>15</v>
      </c>
      <c r="B87" s="3704"/>
      <c r="C87" s="3420" t="s">
        <v>3001</v>
      </c>
      <c r="D87" s="3420" t="s">
        <v>3002</v>
      </c>
      <c r="E87" s="3443">
        <v>0.1</v>
      </c>
      <c r="F87" s="3442">
        <v>15</v>
      </c>
    </row>
    <row r="88" spans="1:6" s="1071" customFormat="1" ht="24">
      <c r="A88" s="3442">
        <v>16</v>
      </c>
      <c r="B88" s="3704"/>
      <c r="C88" s="3420" t="s">
        <v>3003</v>
      </c>
      <c r="D88" s="3420" t="s">
        <v>3004</v>
      </c>
      <c r="E88" s="3443">
        <v>0.1</v>
      </c>
      <c r="F88" s="3442">
        <v>15</v>
      </c>
    </row>
    <row r="89" spans="1:6" s="1071" customFormat="1" ht="24">
      <c r="A89" s="3442">
        <v>17</v>
      </c>
      <c r="B89" s="3710"/>
      <c r="C89" s="3420" t="s">
        <v>3005</v>
      </c>
      <c r="D89" s="3420" t="s">
        <v>3006</v>
      </c>
      <c r="E89" s="3443">
        <v>0.1</v>
      </c>
      <c r="F89" s="3442">
        <v>15</v>
      </c>
    </row>
    <row r="90" spans="1:6" s="1071" customFormat="1">
      <c r="A90" s="3442">
        <v>18</v>
      </c>
      <c r="B90" s="3709" t="s">
        <v>3007</v>
      </c>
      <c r="C90" s="3420" t="s">
        <v>3008</v>
      </c>
      <c r="D90" s="3420" t="s">
        <v>3009</v>
      </c>
      <c r="E90" s="3443">
        <v>0.2</v>
      </c>
      <c r="F90" s="3442">
        <v>25</v>
      </c>
    </row>
    <row r="91" spans="1:6" s="1071" customFormat="1" ht="24">
      <c r="A91" s="3442">
        <v>19</v>
      </c>
      <c r="B91" s="3704"/>
      <c r="C91" s="3420" t="s">
        <v>3010</v>
      </c>
      <c r="D91" s="3420" t="s">
        <v>3011</v>
      </c>
      <c r="E91" s="3443">
        <v>0.2</v>
      </c>
      <c r="F91" s="3442">
        <v>25</v>
      </c>
    </row>
    <row r="92" spans="1:6" s="1071" customFormat="1">
      <c r="A92" s="3442">
        <v>20</v>
      </c>
      <c r="B92" s="3704"/>
      <c r="C92" s="3420" t="s">
        <v>3012</v>
      </c>
      <c r="D92" s="3420" t="s">
        <v>3013</v>
      </c>
      <c r="E92" s="3443">
        <v>0.15</v>
      </c>
      <c r="F92" s="3442">
        <v>20</v>
      </c>
    </row>
    <row r="93" spans="1:6" s="1071" customFormat="1" ht="24">
      <c r="A93" s="3442">
        <v>21</v>
      </c>
      <c r="B93" s="3704"/>
      <c r="C93" s="3420" t="s">
        <v>3014</v>
      </c>
      <c r="D93" s="3420" t="s">
        <v>3015</v>
      </c>
      <c r="E93" s="3443">
        <v>0.15</v>
      </c>
      <c r="F93" s="3442">
        <v>20</v>
      </c>
    </row>
    <row r="94" spans="1:6" s="1071" customFormat="1" ht="24">
      <c r="A94" s="3442">
        <v>22</v>
      </c>
      <c r="B94" s="3704"/>
      <c r="C94" s="3420" t="s">
        <v>3016</v>
      </c>
      <c r="D94" s="3420" t="s">
        <v>3017</v>
      </c>
      <c r="E94" s="3443">
        <v>0.15</v>
      </c>
      <c r="F94" s="3442">
        <v>20</v>
      </c>
    </row>
    <row r="95" spans="1:6" s="1071" customFormat="1" ht="36">
      <c r="A95" s="3442">
        <v>23</v>
      </c>
      <c r="B95" s="3704"/>
      <c r="C95" s="3420" t="s">
        <v>3018</v>
      </c>
      <c r="D95" s="3420" t="s">
        <v>3019</v>
      </c>
      <c r="E95" s="3443">
        <v>0.15</v>
      </c>
      <c r="F95" s="3442">
        <v>20</v>
      </c>
    </row>
    <row r="96" spans="1:6" s="1071" customFormat="1">
      <c r="A96" s="3442">
        <v>24</v>
      </c>
      <c r="B96" s="3704"/>
      <c r="C96" s="3420" t="s">
        <v>3020</v>
      </c>
      <c r="D96" s="3420" t="s">
        <v>3021</v>
      </c>
      <c r="E96" s="3443">
        <v>0.1</v>
      </c>
      <c r="F96" s="3442">
        <v>15</v>
      </c>
    </row>
    <row r="97" spans="1:6" s="1071" customFormat="1" ht="24">
      <c r="A97" s="3442">
        <v>25</v>
      </c>
      <c r="B97" s="3704"/>
      <c r="C97" s="3420" t="s">
        <v>3022</v>
      </c>
      <c r="D97" s="3420" t="s">
        <v>3023</v>
      </c>
      <c r="E97" s="3443">
        <v>0.1</v>
      </c>
      <c r="F97" s="3442">
        <v>15</v>
      </c>
    </row>
    <row r="98" spans="1:6" s="1071" customFormat="1" ht="24">
      <c r="A98" s="3442">
        <v>26</v>
      </c>
      <c r="B98" s="3704"/>
      <c r="C98" s="3420" t="s">
        <v>3024</v>
      </c>
      <c r="D98" s="3420" t="s">
        <v>3025</v>
      </c>
      <c r="E98" s="3443">
        <v>0.1</v>
      </c>
      <c r="F98" s="3442">
        <v>15</v>
      </c>
    </row>
    <row r="99" spans="1:6" s="1071" customFormat="1" ht="24">
      <c r="A99" s="3442">
        <v>27</v>
      </c>
      <c r="B99" s="3704"/>
      <c r="C99" s="3420" t="s">
        <v>3026</v>
      </c>
      <c r="D99" s="3420" t="s">
        <v>3027</v>
      </c>
      <c r="E99" s="3443">
        <v>0.1</v>
      </c>
      <c r="F99" s="3442">
        <v>15</v>
      </c>
    </row>
    <row r="100" spans="1:6" s="1071" customFormat="1" ht="24">
      <c r="A100" s="3442">
        <v>28</v>
      </c>
      <c r="B100" s="3704"/>
      <c r="C100" s="3420" t="s">
        <v>3028</v>
      </c>
      <c r="D100" s="3420" t="s">
        <v>3029</v>
      </c>
      <c r="E100" s="3443">
        <v>0.1</v>
      </c>
      <c r="F100" s="3442">
        <v>15</v>
      </c>
    </row>
    <row r="101" spans="1:6" s="1071" customFormat="1" ht="24">
      <c r="A101" s="3442">
        <v>29</v>
      </c>
      <c r="B101" s="3704"/>
      <c r="C101" s="3420" t="s">
        <v>3030</v>
      </c>
      <c r="D101" s="3420" t="s">
        <v>3031</v>
      </c>
      <c r="E101" s="3443">
        <v>0.1</v>
      </c>
      <c r="F101" s="3442">
        <v>15</v>
      </c>
    </row>
    <row r="102" spans="1:6" s="1071" customFormat="1" ht="24">
      <c r="A102" s="3442">
        <v>30</v>
      </c>
      <c r="B102" s="3704"/>
      <c r="C102" s="3420" t="s">
        <v>3032</v>
      </c>
      <c r="D102" s="3420" t="s">
        <v>3033</v>
      </c>
      <c r="E102" s="3443">
        <v>0.1</v>
      </c>
      <c r="F102" s="3442">
        <v>15</v>
      </c>
    </row>
    <row r="103" spans="1:6" s="1071" customFormat="1" ht="24">
      <c r="A103" s="3442">
        <v>31</v>
      </c>
      <c r="B103" s="3704"/>
      <c r="C103" s="3420" t="s">
        <v>3034</v>
      </c>
      <c r="D103" s="3420" t="s">
        <v>3035</v>
      </c>
      <c r="E103" s="3443">
        <v>0.1</v>
      </c>
      <c r="F103" s="3442">
        <v>15</v>
      </c>
    </row>
    <row r="104" spans="1:6" s="1071" customFormat="1" ht="24">
      <c r="A104" s="3442">
        <v>32</v>
      </c>
      <c r="B104" s="3704"/>
      <c r="C104" s="3420" t="s">
        <v>3036</v>
      </c>
      <c r="D104" s="3420" t="s">
        <v>3037</v>
      </c>
      <c r="E104" s="3443">
        <v>0.1</v>
      </c>
      <c r="F104" s="3442">
        <v>15</v>
      </c>
    </row>
    <row r="105" spans="1:6" s="1071" customFormat="1" ht="24">
      <c r="A105" s="3442">
        <v>33</v>
      </c>
      <c r="B105" s="3704"/>
      <c r="C105" s="3420" t="s">
        <v>3038</v>
      </c>
      <c r="D105" s="3420" t="s">
        <v>3039</v>
      </c>
      <c r="E105" s="3443">
        <v>0.1</v>
      </c>
      <c r="F105" s="3442">
        <v>15</v>
      </c>
    </row>
    <row r="106" spans="1:6" s="1071" customFormat="1" ht="24">
      <c r="A106" s="3442">
        <v>34</v>
      </c>
      <c r="B106" s="3710"/>
      <c r="C106" s="3420" t="s">
        <v>3040</v>
      </c>
      <c r="D106" s="3420" t="s">
        <v>3041</v>
      </c>
      <c r="E106" s="3443">
        <v>0.1</v>
      </c>
      <c r="F106" s="3442">
        <v>15</v>
      </c>
    </row>
    <row r="107" spans="1:6" s="1071" customFormat="1" ht="24">
      <c r="A107" s="3442">
        <v>35</v>
      </c>
      <c r="B107" s="3709" t="s">
        <v>3042</v>
      </c>
      <c r="C107" s="3442" t="s">
        <v>3043</v>
      </c>
      <c r="D107" s="3420" t="s">
        <v>3044</v>
      </c>
      <c r="E107" s="3443">
        <v>0.15</v>
      </c>
      <c r="F107" s="3442">
        <v>20</v>
      </c>
    </row>
    <row r="108" spans="1:6" s="1071" customFormat="1" ht="24">
      <c r="A108" s="3442">
        <v>36</v>
      </c>
      <c r="B108" s="3704"/>
      <c r="C108" s="3442" t="s">
        <v>3045</v>
      </c>
      <c r="D108" s="3420" t="s">
        <v>3046</v>
      </c>
      <c r="E108" s="3443">
        <v>0.15</v>
      </c>
      <c r="F108" s="3442">
        <v>20</v>
      </c>
    </row>
    <row r="109" spans="1:6" s="1071" customFormat="1" ht="24">
      <c r="A109" s="3442">
        <v>37</v>
      </c>
      <c r="B109" s="3704"/>
      <c r="C109" s="3442" t="s">
        <v>3047</v>
      </c>
      <c r="D109" s="3420" t="s">
        <v>3048</v>
      </c>
      <c r="E109" s="3443">
        <v>0.15</v>
      </c>
      <c r="F109" s="3442">
        <v>20</v>
      </c>
    </row>
    <row r="110" spans="1:6" s="1071" customFormat="1">
      <c r="A110" s="3442">
        <v>38</v>
      </c>
      <c r="B110" s="3704"/>
      <c r="C110" s="3442" t="s">
        <v>3049</v>
      </c>
      <c r="D110" s="3420" t="s">
        <v>3050</v>
      </c>
      <c r="E110" s="3443">
        <v>0.1</v>
      </c>
      <c r="F110" s="3442">
        <v>15</v>
      </c>
    </row>
    <row r="111" spans="1:6" s="1071" customFormat="1" ht="24">
      <c r="A111" s="3442">
        <v>39</v>
      </c>
      <c r="B111" s="3704"/>
      <c r="C111" s="3442" t="s">
        <v>3051</v>
      </c>
      <c r="D111" s="3420" t="s">
        <v>3052</v>
      </c>
      <c r="E111" s="3443">
        <v>0.1</v>
      </c>
      <c r="F111" s="3442">
        <v>15</v>
      </c>
    </row>
    <row r="112" spans="1:6" s="1071" customFormat="1" ht="24">
      <c r="A112" s="3442">
        <v>40</v>
      </c>
      <c r="B112" s="3710"/>
      <c r="C112" s="3442" t="s">
        <v>3053</v>
      </c>
      <c r="D112" s="3420" t="s">
        <v>3054</v>
      </c>
      <c r="E112" s="3443">
        <v>0.1</v>
      </c>
      <c r="F112" s="3442">
        <v>15</v>
      </c>
    </row>
    <row r="113" spans="1:6" s="1071" customFormat="1" ht="24">
      <c r="A113" s="3442">
        <v>41</v>
      </c>
      <c r="B113" s="3711" t="s">
        <v>3055</v>
      </c>
      <c r="C113" s="3442" t="s">
        <v>3056</v>
      </c>
      <c r="D113" s="3420" t="s">
        <v>3057</v>
      </c>
      <c r="E113" s="3443">
        <v>0.1</v>
      </c>
      <c r="F113" s="3442">
        <v>15</v>
      </c>
    </row>
    <row r="114" spans="1:6" s="1071" customFormat="1">
      <c r="A114" s="3442">
        <v>42</v>
      </c>
      <c r="B114" s="3711"/>
      <c r="C114" s="3442" t="s">
        <v>3058</v>
      </c>
      <c r="D114" s="3420" t="s">
        <v>3059</v>
      </c>
      <c r="E114" s="3443">
        <v>0.1</v>
      </c>
      <c r="F114" s="3442">
        <v>15</v>
      </c>
    </row>
    <row r="115" spans="1:6" s="1071" customFormat="1" ht="24">
      <c r="A115" s="3442">
        <v>43</v>
      </c>
      <c r="B115" s="3711"/>
      <c r="C115" s="3442" t="s">
        <v>3060</v>
      </c>
      <c r="D115" s="3420" t="s">
        <v>3061</v>
      </c>
      <c r="E115" s="3443">
        <v>0.1</v>
      </c>
      <c r="F115" s="3442">
        <v>15</v>
      </c>
    </row>
    <row r="116" spans="1:6" s="1071" customFormat="1" ht="24">
      <c r="A116" s="3442">
        <v>44</v>
      </c>
      <c r="B116" s="3709" t="s">
        <v>3062</v>
      </c>
      <c r="C116" s="3442" t="s">
        <v>3063</v>
      </c>
      <c r="D116" s="3420" t="s">
        <v>3064</v>
      </c>
      <c r="E116" s="3443">
        <v>0.1</v>
      </c>
      <c r="F116" s="3442">
        <v>15</v>
      </c>
    </row>
    <row r="117" spans="1:6" s="1071" customFormat="1" ht="24">
      <c r="A117" s="3442">
        <v>45</v>
      </c>
      <c r="B117" s="3710"/>
      <c r="C117" s="3420" t="s">
        <v>3065</v>
      </c>
      <c r="D117" s="3420" t="s">
        <v>3066</v>
      </c>
      <c r="E117" s="3443">
        <v>0.1</v>
      </c>
      <c r="F117" s="3442">
        <v>15</v>
      </c>
    </row>
    <row r="118" spans="1:6" s="1071" customFormat="1" ht="24">
      <c r="A118" s="3442">
        <v>46</v>
      </c>
      <c r="B118" s="3709" t="s">
        <v>3067</v>
      </c>
      <c r="C118" s="3442" t="s">
        <v>3068</v>
      </c>
      <c r="D118" s="3420" t="s">
        <v>3069</v>
      </c>
      <c r="E118" s="3443">
        <v>0.1</v>
      </c>
      <c r="F118" s="3442">
        <v>15</v>
      </c>
    </row>
    <row r="119" spans="1:6" s="1071" customFormat="1" ht="24">
      <c r="A119" s="3442">
        <v>47</v>
      </c>
      <c r="B119" s="3710"/>
      <c r="C119" s="3442" t="s">
        <v>3070</v>
      </c>
      <c r="D119" s="3420" t="s">
        <v>3071</v>
      </c>
      <c r="E119" s="3443">
        <v>0.1</v>
      </c>
      <c r="F119" s="3442">
        <v>15</v>
      </c>
    </row>
    <row r="120" spans="1:6" s="1071" customFormat="1" ht="24">
      <c r="A120" s="3442">
        <v>48</v>
      </c>
      <c r="B120" s="3709" t="s">
        <v>3072</v>
      </c>
      <c r="C120" s="3442" t="s">
        <v>3073</v>
      </c>
      <c r="D120" s="3420" t="s">
        <v>3074</v>
      </c>
      <c r="E120" s="3443">
        <v>0.1</v>
      </c>
      <c r="F120" s="3442">
        <v>15</v>
      </c>
    </row>
    <row r="121" spans="1:6" s="1071" customFormat="1">
      <c r="A121" s="3442">
        <v>49</v>
      </c>
      <c r="B121" s="3710"/>
      <c r="C121" s="3442" t="s">
        <v>3075</v>
      </c>
      <c r="D121" s="3420" t="s">
        <v>3076</v>
      </c>
      <c r="E121" s="3443">
        <v>0.1</v>
      </c>
      <c r="F121" s="3442">
        <v>15</v>
      </c>
    </row>
    <row r="122" spans="1:6" s="1071" customFormat="1" ht="24">
      <c r="A122" s="3442">
        <v>50</v>
      </c>
      <c r="B122" s="3711" t="s">
        <v>3077</v>
      </c>
      <c r="C122" s="3442" t="s">
        <v>3078</v>
      </c>
      <c r="D122" s="3420" t="s">
        <v>3079</v>
      </c>
      <c r="E122" s="3443">
        <v>0.1</v>
      </c>
      <c r="F122" s="3442">
        <v>15</v>
      </c>
    </row>
    <row r="123" spans="1:6" s="1071" customFormat="1" ht="24">
      <c r="A123" s="3442">
        <v>51</v>
      </c>
      <c r="B123" s="3711"/>
      <c r="C123" s="3442" t="s">
        <v>3080</v>
      </c>
      <c r="D123" s="3420" t="s">
        <v>3081</v>
      </c>
      <c r="E123" s="3443">
        <v>0.1</v>
      </c>
      <c r="F123" s="3442">
        <v>15</v>
      </c>
    </row>
    <row r="124" spans="1:6" s="1071" customFormat="1" ht="24">
      <c r="A124" s="3442">
        <v>52</v>
      </c>
      <c r="B124" s="3711" t="s">
        <v>3082</v>
      </c>
      <c r="C124" s="3442" t="s">
        <v>3083</v>
      </c>
      <c r="D124" s="3420" t="s">
        <v>3084</v>
      </c>
      <c r="E124" s="3443">
        <v>0.1</v>
      </c>
      <c r="F124" s="3442">
        <v>15</v>
      </c>
    </row>
    <row r="125" spans="1:6" s="1071" customFormat="1" ht="24">
      <c r="A125" s="3442">
        <v>53</v>
      </c>
      <c r="B125" s="3711"/>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11" t="s">
        <v>3090</v>
      </c>
      <c r="C127" s="3442" t="s">
        <v>3091</v>
      </c>
      <c r="D127" s="3420" t="s">
        <v>3092</v>
      </c>
      <c r="E127" s="3443">
        <v>0.1</v>
      </c>
      <c r="F127" s="3442">
        <v>15</v>
      </c>
    </row>
    <row r="128" spans="1:6">
      <c r="A128" s="3442">
        <v>56</v>
      </c>
      <c r="B128" s="3711"/>
      <c r="C128" s="3442" t="s">
        <v>3093</v>
      </c>
      <c r="D128" s="3420" t="s">
        <v>3094</v>
      </c>
      <c r="E128" s="3443">
        <v>0.1</v>
      </c>
      <c r="F128" s="3442">
        <v>15</v>
      </c>
    </row>
    <row r="129" spans="1:14" ht="24">
      <c r="A129" s="3442">
        <v>57</v>
      </c>
      <c r="B129" s="3711"/>
      <c r="C129" s="3442" t="s">
        <v>3095</v>
      </c>
      <c r="D129" s="3420" t="s">
        <v>3096</v>
      </c>
      <c r="E129" s="3443">
        <v>0.1</v>
      </c>
      <c r="F129" s="3442">
        <v>15</v>
      </c>
    </row>
    <row r="130" spans="1:14" ht="24">
      <c r="A130" s="3442">
        <v>58</v>
      </c>
      <c r="B130" s="3711" t="s">
        <v>3097</v>
      </c>
      <c r="C130" s="3442" t="s">
        <v>3098</v>
      </c>
      <c r="D130" s="3420" t="s">
        <v>3099</v>
      </c>
      <c r="E130" s="3443">
        <v>0.1</v>
      </c>
      <c r="F130" s="3442">
        <v>15</v>
      </c>
    </row>
    <row r="131" spans="1:14" ht="24">
      <c r="A131" s="3442">
        <v>59</v>
      </c>
      <c r="B131" s="3711"/>
      <c r="C131" s="3442" t="s">
        <v>3100</v>
      </c>
      <c r="D131" s="3420" t="s">
        <v>3101</v>
      </c>
      <c r="E131" s="3443">
        <v>0.1</v>
      </c>
      <c r="F131" s="3442">
        <v>15</v>
      </c>
    </row>
    <row r="132" spans="1:14" ht="24">
      <c r="A132" s="3442">
        <v>60</v>
      </c>
      <c r="B132" s="3709" t="s">
        <v>3102</v>
      </c>
      <c r="C132" s="3442" t="s">
        <v>3103</v>
      </c>
      <c r="D132" s="3420" t="s">
        <v>3104</v>
      </c>
      <c r="E132" s="3443">
        <v>0.1</v>
      </c>
      <c r="F132" s="3442">
        <v>15</v>
      </c>
    </row>
    <row r="133" spans="1:14" ht="24">
      <c r="A133" s="3442">
        <v>61</v>
      </c>
      <c r="B133" s="3710"/>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11" t="s">
        <v>3110</v>
      </c>
      <c r="C135" s="3442" t="s">
        <v>3111</v>
      </c>
      <c r="D135" s="3420" t="s">
        <v>3112</v>
      </c>
      <c r="E135" s="3443">
        <v>0.1</v>
      </c>
      <c r="F135" s="3442">
        <v>15</v>
      </c>
    </row>
    <row r="136" spans="1:14">
      <c r="A136" s="3442">
        <v>64</v>
      </c>
      <c r="B136" s="3711"/>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98" t="s">
        <v>1433</v>
      </c>
      <c r="B141" s="3698"/>
      <c r="C141" s="3698"/>
      <c r="D141" s="3698"/>
      <c r="E141" s="3698"/>
      <c r="F141" s="3698"/>
      <c r="G141" s="3698"/>
      <c r="H141" s="3698"/>
      <c r="I141" s="3698"/>
      <c r="J141" s="3698"/>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38" workbookViewId="0">
      <selection activeCell="I160" sqref="I160"/>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2" t="s">
        <v>1017</v>
      </c>
      <c r="B1" s="3712"/>
      <c r="C1" s="3712"/>
      <c r="D1" s="3712"/>
      <c r="E1" s="3712"/>
      <c r="F1" s="3712"/>
      <c r="H1" s="1036"/>
      <c r="I1" s="1037" t="s">
        <v>1018</v>
      </c>
      <c r="J1" s="1038" t="s">
        <v>1019</v>
      </c>
      <c r="K1" s="1038" t="s">
        <v>1020</v>
      </c>
      <c r="L1" s="1038" t="s">
        <v>1021</v>
      </c>
      <c r="M1" s="1038" t="s">
        <v>1022</v>
      </c>
      <c r="N1" s="1038" t="s">
        <v>1023</v>
      </c>
      <c r="O1" s="1038" t="s">
        <v>1024</v>
      </c>
      <c r="P1" s="1038" t="s">
        <v>1025</v>
      </c>
      <c r="Q1" s="1038" t="s">
        <v>1026</v>
      </c>
      <c r="R1" s="1038" t="s">
        <v>1027</v>
      </c>
      <c r="S1" s="1038" t="s">
        <v>1028</v>
      </c>
      <c r="T1" s="1039" t="s">
        <v>1029</v>
      </c>
    </row>
    <row r="2" spans="1:20" ht="14.25" thickBot="1">
      <c r="A2" s="3713" t="s">
        <v>1030</v>
      </c>
      <c r="B2" s="3713"/>
      <c r="C2" s="3713"/>
      <c r="D2" s="3713"/>
      <c r="E2" s="3713"/>
      <c r="F2" s="3713"/>
      <c r="I2" s="1040" t="s">
        <v>1031</v>
      </c>
      <c r="J2" s="1041" t="s">
        <v>1032</v>
      </c>
      <c r="K2" s="1041" t="s">
        <v>1033</v>
      </c>
      <c r="L2" s="1041" t="s">
        <v>1034</v>
      </c>
      <c r="M2" s="1041" t="s">
        <v>1035</v>
      </c>
      <c r="N2" s="1041" t="s">
        <v>1036</v>
      </c>
      <c r="O2" s="1041" t="s">
        <v>1037</v>
      </c>
      <c r="P2" s="1041" t="s">
        <v>1038</v>
      </c>
      <c r="Q2" s="1041" t="s">
        <v>1039</v>
      </c>
      <c r="R2" s="1041" t="s">
        <v>1040</v>
      </c>
      <c r="S2" s="1041" t="s">
        <v>1041</v>
      </c>
      <c r="T2" s="1041" t="s">
        <v>1042</v>
      </c>
    </row>
    <row r="3" spans="1:20" s="1036" customFormat="1" ht="19.5" customHeight="1">
      <c r="A3" s="3714" t="s">
        <v>1043</v>
      </c>
      <c r="B3" s="1042"/>
      <c r="C3" s="1043" t="s">
        <v>1044</v>
      </c>
      <c r="D3" s="1043" t="s">
        <v>1045</v>
      </c>
      <c r="E3" s="1043" t="s">
        <v>1046</v>
      </c>
      <c r="F3" s="1043" t="s">
        <v>1047</v>
      </c>
      <c r="G3" s="1044"/>
      <c r="I3" s="1040" t="s">
        <v>1048</v>
      </c>
      <c r="J3" s="1041" t="s">
        <v>1049</v>
      </c>
      <c r="K3" s="1041" t="s">
        <v>1050</v>
      </c>
      <c r="L3" s="1041" t="s">
        <v>1051</v>
      </c>
      <c r="M3" s="1041" t="s">
        <v>1052</v>
      </c>
      <c r="N3" s="1041" t="s">
        <v>1053</v>
      </c>
      <c r="O3" s="1041" t="s">
        <v>1054</v>
      </c>
      <c r="P3" s="1041" t="s">
        <v>1055</v>
      </c>
      <c r="Q3" s="1041" t="s">
        <v>1056</v>
      </c>
      <c r="R3" s="1041" t="s">
        <v>1057</v>
      </c>
      <c r="S3" s="1041" t="s">
        <v>1058</v>
      </c>
      <c r="T3" s="1041" t="s">
        <v>1059</v>
      </c>
    </row>
    <row r="4" spans="1:20" s="1036" customFormat="1" ht="19.5" customHeight="1" thickBot="1">
      <c r="A4" s="3715"/>
      <c r="B4" s="1045" t="s">
        <v>1060</v>
      </c>
      <c r="C4" s="1045" t="s">
        <v>1061</v>
      </c>
      <c r="D4" s="1045" t="s">
        <v>1061</v>
      </c>
      <c r="E4" s="1045" t="s">
        <v>1061</v>
      </c>
      <c r="F4" s="1046" t="s">
        <v>1061</v>
      </c>
      <c r="G4" s="1044"/>
      <c r="I4" s="1040" t="s">
        <v>1062</v>
      </c>
      <c r="J4" s="1041" t="s">
        <v>1063</v>
      </c>
      <c r="K4" s="1041" t="s">
        <v>1064</v>
      </c>
      <c r="L4" s="1041" t="s">
        <v>1065</v>
      </c>
      <c r="M4" s="1041" t="s">
        <v>1066</v>
      </c>
      <c r="N4" s="1041" t="s">
        <v>1067</v>
      </c>
      <c r="O4" s="1041" t="s">
        <v>1068</v>
      </c>
      <c r="P4" s="1041" t="s">
        <v>1069</v>
      </c>
      <c r="Q4" s="1041" t="s">
        <v>1070</v>
      </c>
      <c r="R4" s="1041" t="s">
        <v>1071</v>
      </c>
      <c r="S4" s="1041" t="s">
        <v>1072</v>
      </c>
      <c r="T4" s="1041" t="s">
        <v>1073</v>
      </c>
    </row>
    <row r="5" spans="1:20" ht="14.25" customHeight="1" thickBot="1">
      <c r="A5" s="1047" t="s">
        <v>1074</v>
      </c>
      <c r="B5" s="1048" t="s">
        <v>1031</v>
      </c>
      <c r="C5" s="1048">
        <v>29530</v>
      </c>
      <c r="D5" s="1048">
        <v>28130</v>
      </c>
      <c r="E5" s="1048">
        <v>27930</v>
      </c>
      <c r="F5" s="1049">
        <v>11300</v>
      </c>
      <c r="G5" s="1050" t="s">
        <v>1018</v>
      </c>
      <c r="H5" s="1051">
        <f>SUMPRODUCT((B5:B9=基准地价!I2)*(C3:F3=基准地价!E2)*(C5:F9))</f>
        <v>0</v>
      </c>
      <c r="I5" s="1040" t="s">
        <v>1075</v>
      </c>
      <c r="J5" s="1041" t="s">
        <v>1076</v>
      </c>
      <c r="K5" s="1041" t="s">
        <v>1077</v>
      </c>
      <c r="L5" s="1041" t="s">
        <v>1078</v>
      </c>
      <c r="M5" s="1041" t="s">
        <v>1079</v>
      </c>
      <c r="N5" s="1041" t="s">
        <v>1080</v>
      </c>
      <c r="O5" s="1041" t="s">
        <v>1081</v>
      </c>
      <c r="P5" s="1041" t="s">
        <v>1082</v>
      </c>
      <c r="Q5" s="1041" t="s">
        <v>1083</v>
      </c>
      <c r="R5" s="1041" t="s">
        <v>1084</v>
      </c>
      <c r="S5" s="1041" t="s">
        <v>1085</v>
      </c>
      <c r="T5" s="1041" t="s">
        <v>1086</v>
      </c>
    </row>
    <row r="6" spans="1:20" ht="14.25" customHeight="1" thickBot="1">
      <c r="A6" s="1047" t="s">
        <v>1074</v>
      </c>
      <c r="B6" s="1041" t="s">
        <v>1087</v>
      </c>
      <c r="C6" s="1041">
        <v>30290</v>
      </c>
      <c r="D6" s="1041">
        <v>29210</v>
      </c>
      <c r="E6" s="1041">
        <v>28860</v>
      </c>
      <c r="F6" s="1052">
        <v>12600</v>
      </c>
      <c r="G6" s="1053" t="s">
        <v>1088</v>
      </c>
      <c r="H6" s="1054">
        <f>SUMPRODUCT((B10:B28=基准地价!I2)*(C3:F3=基准地价!E2)*(C10:F28))</f>
        <v>0</v>
      </c>
      <c r="I6" s="1040" t="s">
        <v>1089</v>
      </c>
      <c r="J6" s="1041" t="s">
        <v>1090</v>
      </c>
      <c r="K6" s="1041" t="s">
        <v>1091</v>
      </c>
      <c r="L6" s="1041" t="s">
        <v>1092</v>
      </c>
      <c r="M6" s="1041" t="s">
        <v>1093</v>
      </c>
      <c r="N6" s="1041" t="s">
        <v>1094</v>
      </c>
      <c r="O6" s="1041" t="s">
        <v>1095</v>
      </c>
      <c r="P6" s="1041" t="s">
        <v>1096</v>
      </c>
      <c r="Q6" s="1041" t="s">
        <v>1097</v>
      </c>
      <c r="R6" s="1041" t="s">
        <v>1098</v>
      </c>
      <c r="S6" s="1041" t="s">
        <v>1099</v>
      </c>
      <c r="T6" s="1041" t="s">
        <v>1100</v>
      </c>
    </row>
    <row r="7" spans="1:20" ht="14.25" customHeight="1" thickBot="1">
      <c r="A7" s="1047" t="s">
        <v>1074</v>
      </c>
      <c r="B7" s="1055" t="s">
        <v>1062</v>
      </c>
      <c r="C7" s="1041">
        <v>29350</v>
      </c>
      <c r="D7" s="1041">
        <v>28410</v>
      </c>
      <c r="E7" s="1041">
        <v>27990</v>
      </c>
      <c r="F7" s="1052">
        <v>12300</v>
      </c>
      <c r="G7" s="1053" t="s">
        <v>888</v>
      </c>
      <c r="H7" s="1054">
        <f>SUMPRODUCT((B29:B48=基准地价!I2)*(C3:F3=基准地价!E2)*(C29:F48))</f>
        <v>0</v>
      </c>
      <c r="J7" s="1041" t="s">
        <v>1101</v>
      </c>
      <c r="K7" s="1041" t="s">
        <v>1102</v>
      </c>
      <c r="L7" s="1041" t="s">
        <v>1103</v>
      </c>
      <c r="M7" s="1041" t="s">
        <v>1104</v>
      </c>
      <c r="N7" s="1041" t="s">
        <v>1105</v>
      </c>
      <c r="O7" s="1041" t="s">
        <v>1106</v>
      </c>
      <c r="P7" s="1041" t="s">
        <v>1107</v>
      </c>
      <c r="Q7" s="1041" t="s">
        <v>1108</v>
      </c>
      <c r="R7" s="1041" t="s">
        <v>1109</v>
      </c>
      <c r="S7" s="1041" t="s">
        <v>1110</v>
      </c>
      <c r="T7" s="1055" t="s">
        <v>1111</v>
      </c>
    </row>
    <row r="8" spans="1:20" ht="14.25" customHeight="1" thickBot="1">
      <c r="A8" s="1047" t="s">
        <v>1074</v>
      </c>
      <c r="B8" s="1041" t="s">
        <v>1075</v>
      </c>
      <c r="C8" s="1041">
        <v>30890</v>
      </c>
      <c r="D8" s="1041">
        <v>29780</v>
      </c>
      <c r="E8" s="1041">
        <v>29270</v>
      </c>
      <c r="F8" s="1052">
        <v>11600</v>
      </c>
      <c r="G8" s="1053" t="s">
        <v>889</v>
      </c>
      <c r="H8" s="1054">
        <f>SUMPRODUCT((B49:B75=基准地价!I2)*(C3:F3=基准地价!E2)*(C49:F75))</f>
        <v>0</v>
      </c>
      <c r="J8" s="1041" t="s">
        <v>1112</v>
      </c>
      <c r="K8" s="1041" t="s">
        <v>1113</v>
      </c>
      <c r="L8" s="1041" t="s">
        <v>1114</v>
      </c>
      <c r="M8" s="1041" t="s">
        <v>1115</v>
      </c>
      <c r="N8" s="1041" t="s">
        <v>1116</v>
      </c>
      <c r="O8" s="1041" t="s">
        <v>1117</v>
      </c>
      <c r="P8" s="1041" t="s">
        <v>1118</v>
      </c>
      <c r="Q8" s="1041" t="s">
        <v>1119</v>
      </c>
      <c r="R8" s="1041" t="s">
        <v>1120</v>
      </c>
      <c r="S8" s="1041" t="s">
        <v>1121</v>
      </c>
      <c r="T8" s="1041" t="s">
        <v>1122</v>
      </c>
    </row>
    <row r="9" spans="1:20" ht="14.25" customHeight="1" thickBot="1">
      <c r="A9" s="1047" t="s">
        <v>1074</v>
      </c>
      <c r="B9" s="1056" t="s">
        <v>1089</v>
      </c>
      <c r="C9" s="1057">
        <v>28140</v>
      </c>
      <c r="D9" s="1057"/>
      <c r="E9" s="1057"/>
      <c r="F9" s="1058"/>
      <c r="G9" s="1053" t="s">
        <v>890</v>
      </c>
      <c r="H9" s="1054">
        <f>SUMPRODUCT((B76:B109=基准地价!I2)*(C3:F3=基准地价!E2)*(C76:F109))</f>
        <v>0</v>
      </c>
      <c r="J9" s="1041" t="s">
        <v>1123</v>
      </c>
      <c r="K9" s="1041" t="s">
        <v>1124</v>
      </c>
      <c r="L9" s="1041" t="s">
        <v>1125</v>
      </c>
      <c r="M9" s="1041" t="s">
        <v>1126</v>
      </c>
      <c r="N9" s="1041" t="s">
        <v>1127</v>
      </c>
      <c r="O9" s="1041" t="s">
        <v>1128</v>
      </c>
      <c r="P9" s="1041" t="s">
        <v>1129</v>
      </c>
      <c r="Q9" s="1041" t="s">
        <v>1130</v>
      </c>
      <c r="R9" s="1041" t="s">
        <v>1131</v>
      </c>
      <c r="S9" s="1041" t="s">
        <v>1132</v>
      </c>
    </row>
    <row r="10" spans="1:20" ht="14.25" customHeight="1" thickBot="1">
      <c r="A10" s="1047" t="s">
        <v>1133</v>
      </c>
      <c r="B10" s="1048" t="s">
        <v>1134</v>
      </c>
      <c r="C10" s="1048">
        <v>27450</v>
      </c>
      <c r="D10" s="1048">
        <v>26180</v>
      </c>
      <c r="E10" s="1048">
        <v>25980</v>
      </c>
      <c r="F10" s="1049">
        <v>8910</v>
      </c>
      <c r="G10" s="1053" t="s">
        <v>891</v>
      </c>
      <c r="H10" s="1054">
        <f>SUMPRODUCT((B110:B157=基准地价!I2)*(C3:F3=基准地价!E2)*(C110:F157))</f>
        <v>2060</v>
      </c>
      <c r="J10" s="1041" t="s">
        <v>1135</v>
      </c>
      <c r="K10" s="1041" t="s">
        <v>1136</v>
      </c>
      <c r="L10" s="1041" t="s">
        <v>1137</v>
      </c>
      <c r="M10" s="1041" t="s">
        <v>1138</v>
      </c>
      <c r="N10" s="1041" t="s">
        <v>1139</v>
      </c>
      <c r="O10" s="1041" t="s">
        <v>1140</v>
      </c>
      <c r="P10" s="1041" t="s">
        <v>1141</v>
      </c>
      <c r="Q10" s="1041" t="s">
        <v>1142</v>
      </c>
      <c r="R10" s="1041" t="s">
        <v>1143</v>
      </c>
      <c r="S10" s="1041" t="s">
        <v>1144</v>
      </c>
    </row>
    <row r="11" spans="1:20" ht="14.25" customHeight="1" thickBot="1">
      <c r="A11" s="1047" t="s">
        <v>1133</v>
      </c>
      <c r="B11" s="1055" t="s">
        <v>1049</v>
      </c>
      <c r="C11" s="1041">
        <v>22950</v>
      </c>
      <c r="D11" s="1041">
        <v>22630</v>
      </c>
      <c r="E11" s="1041">
        <v>22030</v>
      </c>
      <c r="F11" s="1059">
        <v>8330</v>
      </c>
      <c r="G11" s="1053" t="s">
        <v>892</v>
      </c>
      <c r="H11" s="1054">
        <f>SUMPRODUCT((B158:B205=基准地价!I2)*(C3:F3=基准地价!E2)*(C158:F205))</f>
        <v>0</v>
      </c>
      <c r="J11" s="1041" t="s">
        <v>1145</v>
      </c>
      <c r="K11" s="1041" t="s">
        <v>1146</v>
      </c>
      <c r="L11" s="1041" t="s">
        <v>1147</v>
      </c>
      <c r="M11" s="1041" t="s">
        <v>1148</v>
      </c>
      <c r="N11" s="1041" t="s">
        <v>1149</v>
      </c>
      <c r="O11" s="1041" t="s">
        <v>1150</v>
      </c>
      <c r="P11" s="1041" t="s">
        <v>1151</v>
      </c>
      <c r="Q11" s="1041" t="s">
        <v>1152</v>
      </c>
      <c r="R11" s="1041" t="s">
        <v>1153</v>
      </c>
      <c r="S11" s="1041" t="s">
        <v>1154</v>
      </c>
    </row>
    <row r="12" spans="1:20" ht="14.25" customHeight="1" thickBot="1">
      <c r="A12" s="1047" t="s">
        <v>1133</v>
      </c>
      <c r="B12" s="1055" t="s">
        <v>1063</v>
      </c>
      <c r="C12" s="1041">
        <v>24940</v>
      </c>
      <c r="D12" s="1041">
        <v>23180</v>
      </c>
      <c r="E12" s="1041">
        <v>22910</v>
      </c>
      <c r="F12" s="1059">
        <v>7180</v>
      </c>
      <c r="G12" s="1053" t="s">
        <v>893</v>
      </c>
      <c r="H12" s="1054">
        <f>SUMPRODUCT((B206:B244=基准地价!I2)*(C3:F3=基准地价!E2)*(C206:F244))</f>
        <v>0</v>
      </c>
      <c r="J12" s="1041" t="s">
        <v>1155</v>
      </c>
      <c r="K12" s="1041" t="s">
        <v>1156</v>
      </c>
      <c r="L12" s="1041" t="s">
        <v>1157</v>
      </c>
      <c r="M12" s="1041" t="s">
        <v>1158</v>
      </c>
      <c r="N12" s="1041" t="s">
        <v>1159</v>
      </c>
      <c r="O12" s="1041" t="s">
        <v>1160</v>
      </c>
      <c r="P12" s="1041" t="s">
        <v>1161</v>
      </c>
      <c r="Q12" s="1041" t="s">
        <v>1162</v>
      </c>
      <c r="R12" s="1041" t="s">
        <v>1163</v>
      </c>
      <c r="S12" s="1041" t="s">
        <v>1164</v>
      </c>
    </row>
    <row r="13" spans="1:20" ht="14.25" customHeight="1" thickBot="1">
      <c r="A13" s="1047" t="s">
        <v>1133</v>
      </c>
      <c r="B13" s="1055" t="s">
        <v>1076</v>
      </c>
      <c r="C13" s="1041">
        <v>24140</v>
      </c>
      <c r="D13" s="1041">
        <v>22270</v>
      </c>
      <c r="E13" s="1041">
        <v>21950</v>
      </c>
      <c r="F13" s="1059">
        <v>7600</v>
      </c>
      <c r="G13" s="1053" t="s">
        <v>894</v>
      </c>
      <c r="H13" s="1054">
        <f>SUMPRODUCT((B245:B289=基准地价!I2)*(C3:F3=基准地价!E2)*(C245:F289))</f>
        <v>0</v>
      </c>
      <c r="J13" s="1041" t="s">
        <v>1165</v>
      </c>
      <c r="K13" s="1041" t="s">
        <v>1166</v>
      </c>
      <c r="L13" s="1041" t="s">
        <v>1167</v>
      </c>
      <c r="M13" s="1041" t="s">
        <v>1168</v>
      </c>
      <c r="N13" s="1041" t="s">
        <v>1169</v>
      </c>
      <c r="O13" s="1041" t="s">
        <v>1170</v>
      </c>
      <c r="P13" s="1041" t="s">
        <v>1171</v>
      </c>
      <c r="Q13" s="1041" t="s">
        <v>1172</v>
      </c>
      <c r="R13" s="1041" t="s">
        <v>1173</v>
      </c>
      <c r="S13" s="1041" t="s">
        <v>1174</v>
      </c>
    </row>
    <row r="14" spans="1:20" ht="14.25" customHeight="1" thickBot="1">
      <c r="A14" s="1047" t="s">
        <v>1133</v>
      </c>
      <c r="B14" s="1055" t="s">
        <v>1090</v>
      </c>
      <c r="C14" s="1041">
        <v>25600</v>
      </c>
      <c r="D14" s="1041">
        <v>22260</v>
      </c>
      <c r="E14" s="1041">
        <v>22110</v>
      </c>
      <c r="F14" s="1059">
        <v>7630</v>
      </c>
      <c r="G14" s="1053" t="s">
        <v>895</v>
      </c>
      <c r="H14" s="1054">
        <f>SUMPRODUCT((B290:B316=基准地价!I2)*(C3:F3=基准地价!E2)*(C290:F316))</f>
        <v>0</v>
      </c>
      <c r="J14" s="1041" t="s">
        <v>1175</v>
      </c>
      <c r="K14" s="1041" t="s">
        <v>1176</v>
      </c>
      <c r="L14" s="1041" t="s">
        <v>1177</v>
      </c>
      <c r="M14" s="1041" t="s">
        <v>1178</v>
      </c>
      <c r="N14" s="1041" t="s">
        <v>1179</v>
      </c>
      <c r="O14" s="1041" t="s">
        <v>1180</v>
      </c>
      <c r="P14" s="1041" t="s">
        <v>1181</v>
      </c>
      <c r="Q14" s="1041" t="s">
        <v>1182</v>
      </c>
      <c r="R14" s="1041" t="s">
        <v>1183</v>
      </c>
      <c r="S14" s="1041" t="s">
        <v>1184</v>
      </c>
    </row>
    <row r="15" spans="1:20" ht="14.25" customHeight="1" thickBot="1">
      <c r="A15" s="1047" t="s">
        <v>1133</v>
      </c>
      <c r="B15" s="1055" t="s">
        <v>1101</v>
      </c>
      <c r="C15" s="1041">
        <v>24760</v>
      </c>
      <c r="D15" s="1041">
        <v>24440</v>
      </c>
      <c r="E15" s="1041">
        <v>24130</v>
      </c>
      <c r="F15" s="1059">
        <v>9480</v>
      </c>
      <c r="G15" s="1053" t="s">
        <v>896</v>
      </c>
      <c r="H15" s="1054">
        <f>SUMPRODUCT((B317:B337=基准地价!I2)*(C3:F3=基准地价!E2)*(C317:F337))</f>
        <v>0</v>
      </c>
      <c r="J15" s="1041" t="s">
        <v>1185</v>
      </c>
      <c r="K15" s="1041" t="s">
        <v>1186</v>
      </c>
      <c r="L15" s="1041" t="s">
        <v>1187</v>
      </c>
      <c r="M15" s="1041" t="s">
        <v>1188</v>
      </c>
      <c r="N15" s="1041" t="s">
        <v>1189</v>
      </c>
      <c r="O15" s="1041" t="s">
        <v>1190</v>
      </c>
      <c r="P15" s="1041" t="s">
        <v>1191</v>
      </c>
      <c r="Q15" s="1041" t="s">
        <v>1192</v>
      </c>
      <c r="R15" s="1041" t="s">
        <v>1193</v>
      </c>
      <c r="S15" s="1041" t="s">
        <v>1194</v>
      </c>
    </row>
    <row r="16" spans="1:20" ht="14.25" customHeight="1" thickBot="1">
      <c r="A16" s="1047" t="s">
        <v>1133</v>
      </c>
      <c r="B16" s="1055" t="s">
        <v>1112</v>
      </c>
      <c r="C16" s="1041">
        <v>22220</v>
      </c>
      <c r="D16" s="1041">
        <v>22310</v>
      </c>
      <c r="E16" s="1041">
        <v>22000</v>
      </c>
      <c r="F16" s="1059">
        <v>8900</v>
      </c>
      <c r="G16" s="1060" t="s">
        <v>897</v>
      </c>
      <c r="H16" s="1061">
        <f>SUMPRODUCT((B338:B344=基准地价!I2)*(C3:F3=基准地价!E2)*(C338:F344))</f>
        <v>0</v>
      </c>
      <c r="J16" s="1041" t="s">
        <v>1195</v>
      </c>
      <c r="K16" s="1041" t="s">
        <v>1196</v>
      </c>
      <c r="L16" s="1041" t="s">
        <v>1197</v>
      </c>
      <c r="M16" s="1041" t="s">
        <v>1198</v>
      </c>
      <c r="N16" s="1041" t="s">
        <v>1199</v>
      </c>
      <c r="O16" s="1041" t="s">
        <v>1200</v>
      </c>
      <c r="P16" s="1041" t="s">
        <v>1201</v>
      </c>
      <c r="Q16" s="1041" t="s">
        <v>1202</v>
      </c>
      <c r="R16" s="1041" t="s">
        <v>1203</v>
      </c>
      <c r="S16" s="1041" t="s">
        <v>1204</v>
      </c>
    </row>
    <row r="17" spans="1:19" ht="14.25" customHeight="1" thickBot="1">
      <c r="A17" s="1047" t="s">
        <v>1133</v>
      </c>
      <c r="B17" s="1055" t="s">
        <v>1123</v>
      </c>
      <c r="C17" s="1041">
        <v>24700</v>
      </c>
      <c r="D17" s="1041">
        <v>25150</v>
      </c>
      <c r="E17" s="1041">
        <v>24700</v>
      </c>
      <c r="F17" s="1062"/>
      <c r="H17" s="1063"/>
      <c r="J17" s="1041" t="s">
        <v>1205</v>
      </c>
      <c r="K17" s="1041" t="s">
        <v>1206</v>
      </c>
      <c r="L17" s="1041" t="s">
        <v>1207</v>
      </c>
      <c r="M17" s="1041" t="s">
        <v>1208</v>
      </c>
      <c r="N17" s="1041" t="s">
        <v>1209</v>
      </c>
      <c r="O17" s="1041" t="s">
        <v>1210</v>
      </c>
      <c r="P17" s="1041" t="s">
        <v>1211</v>
      </c>
      <c r="Q17" s="1041" t="s">
        <v>1212</v>
      </c>
      <c r="R17" s="1041" t="s">
        <v>1213</v>
      </c>
      <c r="S17" s="1041" t="s">
        <v>1214</v>
      </c>
    </row>
    <row r="18" spans="1:19" ht="14.25" customHeight="1" thickBot="1">
      <c r="A18" s="1047" t="s">
        <v>1133</v>
      </c>
      <c r="B18" s="1055" t="s">
        <v>1135</v>
      </c>
      <c r="C18" s="1041">
        <v>22350</v>
      </c>
      <c r="D18" s="1041">
        <v>24340</v>
      </c>
      <c r="E18" s="1041">
        <v>24100</v>
      </c>
      <c r="F18" s="1062"/>
      <c r="H18" s="1063"/>
      <c r="J18" s="1041" t="s">
        <v>1215</v>
      </c>
      <c r="K18" s="1041" t="s">
        <v>1216</v>
      </c>
      <c r="L18" s="1041" t="s">
        <v>1217</v>
      </c>
      <c r="M18" s="1041" t="s">
        <v>1218</v>
      </c>
      <c r="N18" s="1041" t="s">
        <v>1219</v>
      </c>
      <c r="O18" s="1041" t="s">
        <v>1220</v>
      </c>
      <c r="P18" s="1041" t="s">
        <v>1221</v>
      </c>
      <c r="Q18" s="1041" t="s">
        <v>1222</v>
      </c>
      <c r="R18" s="1041" t="s">
        <v>1223</v>
      </c>
      <c r="S18" s="1041" t="s">
        <v>1224</v>
      </c>
    </row>
    <row r="19" spans="1:19" ht="14.25" customHeight="1" thickBot="1">
      <c r="A19" s="1047" t="s">
        <v>1133</v>
      </c>
      <c r="B19" s="1055" t="s">
        <v>1145</v>
      </c>
      <c r="C19" s="1041">
        <v>23430</v>
      </c>
      <c r="D19" s="1041">
        <v>21580</v>
      </c>
      <c r="E19" s="1041">
        <v>21350</v>
      </c>
      <c r="F19" s="1062"/>
      <c r="H19" s="1063"/>
      <c r="J19" s="1041" t="s">
        <v>1225</v>
      </c>
      <c r="K19" s="1041" t="s">
        <v>1226</v>
      </c>
      <c r="L19" s="1041" t="s">
        <v>1227</v>
      </c>
      <c r="M19" s="1041" t="s">
        <v>1228</v>
      </c>
      <c r="N19" s="1041" t="s">
        <v>1229</v>
      </c>
      <c r="O19" s="1041" t="s">
        <v>1230</v>
      </c>
      <c r="P19" s="1041" t="s">
        <v>1231</v>
      </c>
      <c r="Q19" s="1041" t="s">
        <v>1232</v>
      </c>
      <c r="R19" s="1041" t="s">
        <v>1233</v>
      </c>
      <c r="S19" s="1041" t="s">
        <v>1234</v>
      </c>
    </row>
    <row r="20" spans="1:19" ht="14.25" customHeight="1" thickBot="1">
      <c r="A20" s="1047" t="s">
        <v>1133</v>
      </c>
      <c r="B20" s="1055" t="s">
        <v>1155</v>
      </c>
      <c r="C20" s="1041">
        <v>27660</v>
      </c>
      <c r="D20" s="1041">
        <v>24240</v>
      </c>
      <c r="E20" s="1041">
        <v>24020</v>
      </c>
      <c r="F20" s="1062"/>
      <c r="J20" s="1041" t="s">
        <v>1235</v>
      </c>
      <c r="K20" s="1041" t="s">
        <v>1236</v>
      </c>
      <c r="L20" s="1041" t="s">
        <v>1237</v>
      </c>
      <c r="M20" s="1041" t="s">
        <v>1238</v>
      </c>
      <c r="N20" s="1041" t="s">
        <v>1239</v>
      </c>
      <c r="O20" s="1041" t="s">
        <v>1240</v>
      </c>
      <c r="P20" s="1041" t="s">
        <v>1241</v>
      </c>
      <c r="Q20" s="1041" t="s">
        <v>1242</v>
      </c>
      <c r="R20" s="1041" t="s">
        <v>1243</v>
      </c>
      <c r="S20" s="1041" t="s">
        <v>1244</v>
      </c>
    </row>
    <row r="21" spans="1:19" ht="14.25" customHeight="1" thickBot="1">
      <c r="A21" s="1047" t="s">
        <v>1133</v>
      </c>
      <c r="B21" s="1055" t="s">
        <v>1165</v>
      </c>
      <c r="C21" s="1041">
        <v>24720</v>
      </c>
      <c r="D21" s="1041">
        <v>21670</v>
      </c>
      <c r="E21" s="1041">
        <v>21510</v>
      </c>
      <c r="F21" s="1062"/>
      <c r="K21" s="1041" t="s">
        <v>1245</v>
      </c>
      <c r="L21" s="1041" t="s">
        <v>1246</v>
      </c>
      <c r="M21" s="1041" t="s">
        <v>1247</v>
      </c>
      <c r="N21" s="1041" t="s">
        <v>1248</v>
      </c>
      <c r="O21" s="1041" t="s">
        <v>1249</v>
      </c>
      <c r="P21" s="1041" t="s">
        <v>1250</v>
      </c>
      <c r="Q21" s="1041" t="s">
        <v>1251</v>
      </c>
      <c r="R21" s="1041" t="s">
        <v>1252</v>
      </c>
      <c r="S21" s="1041" t="s">
        <v>1253</v>
      </c>
    </row>
    <row r="22" spans="1:19" ht="14.25" customHeight="1" thickBot="1">
      <c r="A22" s="1047" t="s">
        <v>1133</v>
      </c>
      <c r="B22" s="1055" t="s">
        <v>1254</v>
      </c>
      <c r="C22" s="1041">
        <v>26530</v>
      </c>
      <c r="D22" s="1041">
        <v>22980</v>
      </c>
      <c r="E22" s="1041">
        <v>22650</v>
      </c>
      <c r="F22" s="1062"/>
      <c r="L22" s="1041" t="s">
        <v>1255</v>
      </c>
      <c r="M22" s="1041" t="s">
        <v>1256</v>
      </c>
      <c r="N22" s="1041" t="s">
        <v>1257</v>
      </c>
      <c r="O22" s="1041" t="s">
        <v>1258</v>
      </c>
      <c r="P22" s="1041" t="s">
        <v>1259</v>
      </c>
      <c r="Q22" s="1041" t="s">
        <v>1260</v>
      </c>
      <c r="R22" s="1041" t="s">
        <v>1261</v>
      </c>
      <c r="S22" s="1055" t="s">
        <v>1262</v>
      </c>
    </row>
    <row r="23" spans="1:19" ht="14.25" customHeight="1" thickBot="1">
      <c r="A23" s="1047" t="s">
        <v>1133</v>
      </c>
      <c r="B23" s="1055" t="s">
        <v>1185</v>
      </c>
      <c r="C23" s="1041">
        <v>24700</v>
      </c>
      <c r="D23" s="1041">
        <v>27290</v>
      </c>
      <c r="E23" s="1041">
        <v>26710</v>
      </c>
      <c r="F23" s="1062"/>
      <c r="L23" s="1041" t="s">
        <v>1263</v>
      </c>
      <c r="M23" s="1041" t="s">
        <v>1264</v>
      </c>
      <c r="N23" s="1041" t="s">
        <v>1265</v>
      </c>
      <c r="O23" s="1041" t="s">
        <v>1266</v>
      </c>
      <c r="P23" s="1041" t="s">
        <v>1267</v>
      </c>
      <c r="Q23" s="1041" t="s">
        <v>1268</v>
      </c>
      <c r="R23" s="1041" t="s">
        <v>1269</v>
      </c>
    </row>
    <row r="24" spans="1:19" ht="14.25" customHeight="1" thickBot="1">
      <c r="A24" s="1047" t="s">
        <v>1133</v>
      </c>
      <c r="B24" s="1055" t="s">
        <v>1195</v>
      </c>
      <c r="C24" s="1041">
        <v>23070</v>
      </c>
      <c r="D24" s="1041">
        <v>24130</v>
      </c>
      <c r="E24" s="1041">
        <v>23860</v>
      </c>
      <c r="F24" s="1062"/>
      <c r="L24" s="1041" t="s">
        <v>1270</v>
      </c>
      <c r="M24" s="1041" t="s">
        <v>1271</v>
      </c>
      <c r="N24" s="1041" t="s">
        <v>1272</v>
      </c>
      <c r="O24" s="1041" t="s">
        <v>1273</v>
      </c>
      <c r="P24" s="1041" t="s">
        <v>1274</v>
      </c>
      <c r="Q24" s="1041" t="s">
        <v>1275</v>
      </c>
      <c r="R24" s="1041" t="s">
        <v>1276</v>
      </c>
    </row>
    <row r="25" spans="1:19" ht="14.25" customHeight="1" thickBot="1">
      <c r="A25" s="1047" t="s">
        <v>1133</v>
      </c>
      <c r="B25" s="1055" t="s">
        <v>1205</v>
      </c>
      <c r="C25" s="1041">
        <v>27550</v>
      </c>
      <c r="D25" s="1041">
        <v>25850</v>
      </c>
      <c r="E25" s="1041">
        <v>25340</v>
      </c>
      <c r="F25" s="1062"/>
      <c r="L25" s="1041" t="s">
        <v>1277</v>
      </c>
      <c r="M25" s="1041" t="s">
        <v>1278</v>
      </c>
      <c r="N25" s="1041" t="s">
        <v>1279</v>
      </c>
      <c r="O25" s="1041" t="s">
        <v>1280</v>
      </c>
      <c r="P25" s="1041" t="s">
        <v>1281</v>
      </c>
      <c r="Q25" s="1041" t="s">
        <v>1282</v>
      </c>
      <c r="R25" s="1041" t="s">
        <v>1283</v>
      </c>
    </row>
    <row r="26" spans="1:19" ht="14.25" customHeight="1" thickBot="1">
      <c r="A26" s="1047" t="s">
        <v>1133</v>
      </c>
      <c r="B26" s="1055" t="s">
        <v>1215</v>
      </c>
      <c r="C26" s="1041"/>
      <c r="D26" s="1041">
        <v>23900</v>
      </c>
      <c r="E26" s="1041">
        <v>23590</v>
      </c>
      <c r="F26" s="1062"/>
      <c r="L26" s="1041" t="s">
        <v>1284</v>
      </c>
      <c r="M26" s="1041" t="s">
        <v>1285</v>
      </c>
      <c r="N26" s="1041" t="s">
        <v>1286</v>
      </c>
      <c r="O26" s="1041" t="s">
        <v>1287</v>
      </c>
      <c r="P26" s="1041" t="s">
        <v>1288</v>
      </c>
      <c r="Q26" s="1041" t="s">
        <v>1289</v>
      </c>
      <c r="R26" s="1041" t="s">
        <v>1290</v>
      </c>
    </row>
    <row r="27" spans="1:19" ht="14.25" customHeight="1" thickBot="1">
      <c r="A27" s="1047" t="s">
        <v>1133</v>
      </c>
      <c r="B27" s="1055" t="s">
        <v>1225</v>
      </c>
      <c r="C27" s="1041"/>
      <c r="D27" s="1041">
        <v>22850</v>
      </c>
      <c r="E27" s="1041">
        <v>21920</v>
      </c>
      <c r="F27" s="1062"/>
      <c r="L27" s="1041" t="s">
        <v>1291</v>
      </c>
      <c r="M27" s="1041" t="s">
        <v>1292</v>
      </c>
      <c r="N27" s="1041" t="s">
        <v>1293</v>
      </c>
      <c r="O27" s="1041" t="s">
        <v>1294</v>
      </c>
      <c r="P27" s="1041" t="s">
        <v>1295</v>
      </c>
      <c r="Q27" s="1041" t="s">
        <v>1296</v>
      </c>
      <c r="R27" s="1041" t="s">
        <v>1297</v>
      </c>
    </row>
    <row r="28" spans="1:19" ht="14.25" customHeight="1" thickBot="1">
      <c r="A28" s="1064" t="s">
        <v>1133</v>
      </c>
      <c r="B28" s="1056" t="s">
        <v>1235</v>
      </c>
      <c r="C28" s="1057"/>
      <c r="D28" s="1057">
        <v>26610</v>
      </c>
      <c r="E28" s="1057">
        <v>26370</v>
      </c>
      <c r="F28" s="1058"/>
      <c r="L28" s="1041" t="s">
        <v>1298</v>
      </c>
      <c r="M28" s="1041" t="s">
        <v>1299</v>
      </c>
      <c r="N28" s="1041" t="s">
        <v>1300</v>
      </c>
      <c r="O28" s="1041" t="s">
        <v>1301</v>
      </c>
      <c r="P28" s="1041" t="s">
        <v>1302</v>
      </c>
      <c r="Q28" s="1041" t="s">
        <v>1303</v>
      </c>
    </row>
    <row r="29" spans="1:19" ht="14.25" customHeight="1" thickBot="1">
      <c r="A29" s="1047" t="s">
        <v>1304</v>
      </c>
      <c r="B29" s="1048" t="s">
        <v>1305</v>
      </c>
      <c r="C29" s="1048">
        <v>22090</v>
      </c>
      <c r="D29" s="1048">
        <v>21860</v>
      </c>
      <c r="E29" s="1048">
        <v>19380</v>
      </c>
      <c r="F29" s="1049">
        <v>6610</v>
      </c>
      <c r="M29" s="1041" t="s">
        <v>1306</v>
      </c>
      <c r="N29" s="1041" t="s">
        <v>1307</v>
      </c>
      <c r="O29" s="1041" t="s">
        <v>1308</v>
      </c>
      <c r="P29" s="1041" t="s">
        <v>1309</v>
      </c>
      <c r="Q29" s="1041" t="s">
        <v>1310</v>
      </c>
    </row>
    <row r="30" spans="1:19" ht="14.25" customHeight="1" thickBot="1">
      <c r="A30" s="1047" t="s">
        <v>1304</v>
      </c>
      <c r="B30" s="1055" t="s">
        <v>1050</v>
      </c>
      <c r="C30" s="1041">
        <v>21380</v>
      </c>
      <c r="D30" s="1041">
        <v>19930</v>
      </c>
      <c r="E30" s="1041">
        <v>19860</v>
      </c>
      <c r="F30" s="1059">
        <v>6010</v>
      </c>
      <c r="H30" s="1063"/>
      <c r="M30" s="1041" t="s">
        <v>1311</v>
      </c>
      <c r="N30" s="1041" t="s">
        <v>1312</v>
      </c>
      <c r="O30" s="1041" t="s">
        <v>1313</v>
      </c>
      <c r="P30" s="1041" t="s">
        <v>2208</v>
      </c>
      <c r="Q30" s="1041" t="s">
        <v>1314</v>
      </c>
    </row>
    <row r="31" spans="1:19" ht="14.25" customHeight="1" thickBot="1">
      <c r="A31" s="1047" t="s">
        <v>1304</v>
      </c>
      <c r="B31" s="1055" t="s">
        <v>1064</v>
      </c>
      <c r="C31" s="1041">
        <v>21670</v>
      </c>
      <c r="D31" s="1041">
        <v>20660</v>
      </c>
      <c r="E31" s="1041">
        <v>20290</v>
      </c>
      <c r="F31" s="1059">
        <v>5840</v>
      </c>
      <c r="H31" s="1063"/>
      <c r="M31" s="1041" t="s">
        <v>1315</v>
      </c>
      <c r="N31" s="1041" t="s">
        <v>1316</v>
      </c>
      <c r="O31" s="1041" t="s">
        <v>1317</v>
      </c>
      <c r="P31" s="1041" t="s">
        <v>1318</v>
      </c>
      <c r="Q31" s="1041" t="s">
        <v>1319</v>
      </c>
    </row>
    <row r="32" spans="1:19" ht="14.25" customHeight="1" thickBot="1">
      <c r="A32" s="1047" t="s">
        <v>1304</v>
      </c>
      <c r="B32" s="1055" t="s">
        <v>1077</v>
      </c>
      <c r="C32" s="1041">
        <v>22280</v>
      </c>
      <c r="D32" s="1041">
        <v>21800</v>
      </c>
      <c r="E32" s="1041">
        <v>17650</v>
      </c>
      <c r="F32" s="1059">
        <v>4690</v>
      </c>
      <c r="H32" s="1063"/>
      <c r="M32" s="1041" t="s">
        <v>1320</v>
      </c>
      <c r="N32" s="1041" t="s">
        <v>1321</v>
      </c>
      <c r="O32" s="1041" t="s">
        <v>1322</v>
      </c>
      <c r="P32" s="1041" t="s">
        <v>1323</v>
      </c>
      <c r="Q32" s="1041" t="s">
        <v>1324</v>
      </c>
    </row>
    <row r="33" spans="1:17" ht="14.25" customHeight="1" thickBot="1">
      <c r="A33" s="1047" t="s">
        <v>1304</v>
      </c>
      <c r="B33" s="1055" t="s">
        <v>1091</v>
      </c>
      <c r="C33" s="1041">
        <v>22130</v>
      </c>
      <c r="D33" s="1041">
        <v>20460</v>
      </c>
      <c r="E33" s="1041">
        <v>18500</v>
      </c>
      <c r="F33" s="1059">
        <v>5340</v>
      </c>
      <c r="H33" s="1063"/>
      <c r="M33" s="1041" t="s">
        <v>1325</v>
      </c>
      <c r="N33" s="1041" t="s">
        <v>1326</v>
      </c>
      <c r="O33" s="1041" t="s">
        <v>1327</v>
      </c>
      <c r="P33" s="1041" t="s">
        <v>1328</v>
      </c>
      <c r="Q33" s="1041" t="s">
        <v>1329</v>
      </c>
    </row>
    <row r="34" spans="1:17" ht="14.25" customHeight="1" thickBot="1">
      <c r="A34" s="1047" t="s">
        <v>1304</v>
      </c>
      <c r="B34" s="1055" t="s">
        <v>1102</v>
      </c>
      <c r="C34" s="1041">
        <v>22070</v>
      </c>
      <c r="D34" s="1041">
        <v>20110</v>
      </c>
      <c r="E34" s="1041">
        <v>18830</v>
      </c>
      <c r="F34" s="1059">
        <v>5190</v>
      </c>
      <c r="H34" s="1063"/>
      <c r="M34" s="1041" t="s">
        <v>1330</v>
      </c>
      <c r="N34" s="1041" t="s">
        <v>1331</v>
      </c>
      <c r="O34" s="1041" t="s">
        <v>1332</v>
      </c>
      <c r="P34" s="1041" t="s">
        <v>1333</v>
      </c>
      <c r="Q34" s="1041" t="s">
        <v>1334</v>
      </c>
    </row>
    <row r="35" spans="1:17" ht="14.25" customHeight="1" thickBot="1">
      <c r="A35" s="1047" t="s">
        <v>1304</v>
      </c>
      <c r="B35" s="1055" t="s">
        <v>1113</v>
      </c>
      <c r="C35" s="1041">
        <v>22240</v>
      </c>
      <c r="D35" s="1041">
        <v>19550</v>
      </c>
      <c r="E35" s="1041">
        <v>19220</v>
      </c>
      <c r="F35" s="1059">
        <v>5800</v>
      </c>
      <c r="H35" s="1063"/>
      <c r="M35" s="1041" t="s">
        <v>1335</v>
      </c>
      <c r="N35" s="1041" t="s">
        <v>1336</v>
      </c>
      <c r="O35" s="1041" t="s">
        <v>1337</v>
      </c>
      <c r="P35" s="1041" t="s">
        <v>1338</v>
      </c>
      <c r="Q35" s="1041" t="s">
        <v>1339</v>
      </c>
    </row>
    <row r="36" spans="1:17" ht="14.25" customHeight="1" thickBot="1">
      <c r="A36" s="1047" t="s">
        <v>1304</v>
      </c>
      <c r="B36" s="1055" t="s">
        <v>1124</v>
      </c>
      <c r="C36" s="1041">
        <v>19750</v>
      </c>
      <c r="D36" s="1041">
        <v>19790</v>
      </c>
      <c r="E36" s="1041">
        <v>18510</v>
      </c>
      <c r="F36" s="1059">
        <v>6520</v>
      </c>
      <c r="H36" s="1063"/>
      <c r="N36" s="1041" t="s">
        <v>1340</v>
      </c>
      <c r="O36" s="1041" t="s">
        <v>1341</v>
      </c>
      <c r="P36" s="1041" t="s">
        <v>1342</v>
      </c>
      <c r="Q36" s="1041" t="s">
        <v>1343</v>
      </c>
    </row>
    <row r="37" spans="1:17" ht="14.25" customHeight="1" thickBot="1">
      <c r="A37" s="1047" t="s">
        <v>1304</v>
      </c>
      <c r="B37" s="1055" t="s">
        <v>1136</v>
      </c>
      <c r="C37" s="1041">
        <v>22380</v>
      </c>
      <c r="D37" s="1041">
        <v>18530</v>
      </c>
      <c r="E37" s="1041">
        <v>17930</v>
      </c>
      <c r="F37" s="1059">
        <v>6270</v>
      </c>
      <c r="H37" s="1065"/>
      <c r="N37" s="1041" t="s">
        <v>1344</v>
      </c>
      <c r="O37" s="1041" t="s">
        <v>1345</v>
      </c>
      <c r="P37" s="1041" t="s">
        <v>1346</v>
      </c>
      <c r="Q37" s="1041" t="s">
        <v>1347</v>
      </c>
    </row>
    <row r="38" spans="1:17" ht="14.25" customHeight="1" thickBot="1">
      <c r="A38" s="1047" t="s">
        <v>1304</v>
      </c>
      <c r="B38" s="1055" t="s">
        <v>1146</v>
      </c>
      <c r="C38" s="1041">
        <v>20200</v>
      </c>
      <c r="D38" s="1041">
        <v>20070</v>
      </c>
      <c r="E38" s="1041">
        <v>19950</v>
      </c>
      <c r="F38" s="1059"/>
      <c r="H38" s="1066"/>
      <c r="N38" s="1041" t="s">
        <v>1348</v>
      </c>
      <c r="O38" s="1041" t="s">
        <v>1349</v>
      </c>
      <c r="P38" s="1041" t="s">
        <v>1350</v>
      </c>
      <c r="Q38" s="1041" t="s">
        <v>1351</v>
      </c>
    </row>
    <row r="39" spans="1:17" ht="14.25" customHeight="1" thickBot="1">
      <c r="A39" s="1047" t="s">
        <v>1304</v>
      </c>
      <c r="B39" s="1055" t="s">
        <v>1156</v>
      </c>
      <c r="C39" s="1041">
        <v>19300</v>
      </c>
      <c r="D39" s="1041">
        <v>20360</v>
      </c>
      <c r="E39" s="1041">
        <v>20230</v>
      </c>
      <c r="F39" s="1059"/>
      <c r="H39" s="1066"/>
      <c r="N39" s="1041" t="s">
        <v>1352</v>
      </c>
      <c r="O39" s="1041" t="s">
        <v>1353</v>
      </c>
      <c r="P39" s="1041" t="s">
        <v>1354</v>
      </c>
      <c r="Q39" s="1041" t="s">
        <v>1355</v>
      </c>
    </row>
    <row r="40" spans="1:17" ht="14.25" customHeight="1" thickBot="1">
      <c r="A40" s="1047" t="s">
        <v>1304</v>
      </c>
      <c r="B40" s="1055" t="s">
        <v>1166</v>
      </c>
      <c r="C40" s="1041">
        <v>20210</v>
      </c>
      <c r="D40" s="1041">
        <v>19060</v>
      </c>
      <c r="E40" s="1041">
        <v>18890</v>
      </c>
      <c r="F40" s="1059"/>
      <c r="H40" s="1066"/>
      <c r="N40" s="1041" t="s">
        <v>1356</v>
      </c>
      <c r="O40" s="1041" t="s">
        <v>1357</v>
      </c>
      <c r="P40" s="1041" t="s">
        <v>1358</v>
      </c>
      <c r="Q40" s="1041" t="s">
        <v>1359</v>
      </c>
    </row>
    <row r="41" spans="1:17" ht="14.25" customHeight="1" thickBot="1">
      <c r="A41" s="1047" t="s">
        <v>1304</v>
      </c>
      <c r="B41" s="1055" t="s">
        <v>1176</v>
      </c>
      <c r="C41" s="1041">
        <v>20560</v>
      </c>
      <c r="D41" s="1041">
        <v>21040</v>
      </c>
      <c r="E41" s="1041">
        <v>20740</v>
      </c>
      <c r="F41" s="1059"/>
      <c r="H41" s="1066"/>
      <c r="N41" s="1055" t="s">
        <v>1360</v>
      </c>
      <c r="O41" s="1055" t="s">
        <v>1361</v>
      </c>
      <c r="Q41" s="1055" t="s">
        <v>1362</v>
      </c>
    </row>
    <row r="42" spans="1:17" ht="14.25" customHeight="1" thickBot="1">
      <c r="A42" s="1047" t="s">
        <v>1304</v>
      </c>
      <c r="B42" s="1055" t="s">
        <v>1186</v>
      </c>
      <c r="C42" s="1041">
        <v>19280</v>
      </c>
      <c r="D42" s="1041">
        <v>22940</v>
      </c>
      <c r="E42" s="1041">
        <v>22500</v>
      </c>
      <c r="F42" s="1059"/>
      <c r="H42" s="1066"/>
      <c r="N42" s="1041" t="s">
        <v>1363</v>
      </c>
      <c r="O42" s="1041" t="s">
        <v>1364</v>
      </c>
      <c r="Q42" s="1041" t="s">
        <v>1365</v>
      </c>
    </row>
    <row r="43" spans="1:17" ht="14.25" customHeight="1" thickBot="1">
      <c r="A43" s="1047" t="s">
        <v>1304</v>
      </c>
      <c r="B43" s="1055" t="s">
        <v>1196</v>
      </c>
      <c r="C43" s="1041">
        <v>21520</v>
      </c>
      <c r="D43" s="1041">
        <v>19230</v>
      </c>
      <c r="E43" s="1041">
        <v>18540</v>
      </c>
      <c r="F43" s="1059"/>
      <c r="H43" s="1066"/>
      <c r="N43" s="1041" t="s">
        <v>1366</v>
      </c>
      <c r="O43" s="1041" t="s">
        <v>1367</v>
      </c>
      <c r="Q43" s="1041" t="s">
        <v>1368</v>
      </c>
    </row>
    <row r="44" spans="1:17" ht="14.25" customHeight="1" thickBot="1">
      <c r="A44" s="1047" t="s">
        <v>1304</v>
      </c>
      <c r="B44" s="1055" t="s">
        <v>1206</v>
      </c>
      <c r="C44" s="1041">
        <v>23260</v>
      </c>
      <c r="D44" s="1041">
        <v>21180</v>
      </c>
      <c r="E44" s="1041">
        <v>20730</v>
      </c>
      <c r="F44" s="1059"/>
      <c r="H44" s="1066"/>
      <c r="N44" s="1041" t="s">
        <v>1369</v>
      </c>
      <c r="O44" s="1041" t="s">
        <v>1370</v>
      </c>
      <c r="Q44" s="1041" t="s">
        <v>1371</v>
      </c>
    </row>
    <row r="45" spans="1:17" ht="14.25" customHeight="1" thickBot="1">
      <c r="A45" s="1047" t="s">
        <v>1304</v>
      </c>
      <c r="B45" s="1055" t="s">
        <v>1216</v>
      </c>
      <c r="C45" s="1041">
        <v>19610</v>
      </c>
      <c r="D45" s="1041">
        <v>18090</v>
      </c>
      <c r="E45" s="1041">
        <v>17970</v>
      </c>
      <c r="F45" s="1059"/>
      <c r="H45" s="1063"/>
      <c r="N45" s="1041" t="s">
        <v>1372</v>
      </c>
      <c r="O45" s="1041" t="s">
        <v>1373</v>
      </c>
      <c r="Q45" s="1041" t="s">
        <v>1374</v>
      </c>
    </row>
    <row r="46" spans="1:17" ht="14.25" customHeight="1" thickBot="1">
      <c r="A46" s="1047" t="s">
        <v>1304</v>
      </c>
      <c r="B46" s="1055" t="s">
        <v>1226</v>
      </c>
      <c r="C46" s="1041">
        <v>21660</v>
      </c>
      <c r="D46" s="1041">
        <v>19190</v>
      </c>
      <c r="E46" s="1041">
        <v>19790</v>
      </c>
      <c r="F46" s="1059"/>
      <c r="H46" s="1066"/>
      <c r="N46" s="1041" t="s">
        <v>1375</v>
      </c>
      <c r="O46" s="1041" t="s">
        <v>1376</v>
      </c>
      <c r="Q46" s="1041" t="s">
        <v>1377</v>
      </c>
    </row>
    <row r="47" spans="1:17" ht="14.25" customHeight="1" thickBot="1">
      <c r="A47" s="1047" t="s">
        <v>1304</v>
      </c>
      <c r="B47" s="1055" t="s">
        <v>1236</v>
      </c>
      <c r="C47" s="1041">
        <v>18220</v>
      </c>
      <c r="D47" s="1041"/>
      <c r="E47" s="1041">
        <v>17220</v>
      </c>
      <c r="F47" s="1059"/>
      <c r="H47" s="1066"/>
      <c r="N47" s="1041" t="s">
        <v>1378</v>
      </c>
      <c r="O47" s="1041" t="s">
        <v>1379</v>
      </c>
    </row>
    <row r="48" spans="1:17" ht="14.25" customHeight="1" thickBot="1">
      <c r="A48" s="1047" t="s">
        <v>1304</v>
      </c>
      <c r="B48" s="1056" t="s">
        <v>1245</v>
      </c>
      <c r="C48" s="1057">
        <v>19430</v>
      </c>
      <c r="D48" s="1057"/>
      <c r="E48" s="1057">
        <v>17830</v>
      </c>
      <c r="F48" s="1067"/>
      <c r="H48" s="1063"/>
      <c r="N48" s="1041" t="s">
        <v>1380</v>
      </c>
      <c r="O48" s="1041" t="s">
        <v>1381</v>
      </c>
    </row>
    <row r="49" spans="1:15" ht="14.25" customHeight="1" thickBot="1">
      <c r="A49" s="1047" t="s">
        <v>904</v>
      </c>
      <c r="B49" s="1048" t="s">
        <v>1382</v>
      </c>
      <c r="C49" s="1048">
        <v>17090</v>
      </c>
      <c r="D49" s="1048">
        <v>16950</v>
      </c>
      <c r="E49" s="1048">
        <v>16310</v>
      </c>
      <c r="F49" s="1049">
        <v>4540</v>
      </c>
      <c r="H49" s="1066"/>
      <c r="N49" s="1041" t="s">
        <v>1383</v>
      </c>
      <c r="O49" s="1041" t="s">
        <v>1384</v>
      </c>
    </row>
    <row r="50" spans="1:15" ht="14.25" customHeight="1" thickBot="1">
      <c r="A50" s="1047" t="s">
        <v>904</v>
      </c>
      <c r="B50" s="1041" t="s">
        <v>1051</v>
      </c>
      <c r="C50" s="1041">
        <v>19040</v>
      </c>
      <c r="D50" s="1041">
        <v>16960</v>
      </c>
      <c r="E50" s="1041">
        <v>14800</v>
      </c>
      <c r="F50" s="1059">
        <v>3940</v>
      </c>
      <c r="H50" s="1066"/>
    </row>
    <row r="51" spans="1:15" ht="14.25" customHeight="1" thickBot="1">
      <c r="A51" s="1047" t="s">
        <v>904</v>
      </c>
      <c r="B51" s="1041" t="s">
        <v>1065</v>
      </c>
      <c r="C51" s="1041">
        <v>17040</v>
      </c>
      <c r="D51" s="1041">
        <v>16930</v>
      </c>
      <c r="E51" s="1041">
        <v>15030</v>
      </c>
      <c r="F51" s="1059">
        <v>4120</v>
      </c>
      <c r="H51" s="1066"/>
    </row>
    <row r="52" spans="1:15" ht="14.25" customHeight="1" thickBot="1">
      <c r="A52" s="1047" t="s">
        <v>904</v>
      </c>
      <c r="B52" s="1041" t="s">
        <v>1078</v>
      </c>
      <c r="C52" s="1041">
        <v>17110</v>
      </c>
      <c r="D52" s="1041">
        <v>17750</v>
      </c>
      <c r="E52" s="1041">
        <v>17310</v>
      </c>
      <c r="F52" s="1059">
        <v>3220</v>
      </c>
      <c r="H52" s="1066"/>
    </row>
    <row r="53" spans="1:15" ht="14.25" customHeight="1" thickBot="1">
      <c r="A53" s="1047" t="s">
        <v>904</v>
      </c>
      <c r="B53" s="1041" t="s">
        <v>1092</v>
      </c>
      <c r="C53" s="1041">
        <v>17810</v>
      </c>
      <c r="D53" s="1041">
        <v>17260</v>
      </c>
      <c r="E53" s="1041">
        <v>17090</v>
      </c>
      <c r="F53" s="1059">
        <v>3520</v>
      </c>
      <c r="H53" s="1066"/>
    </row>
    <row r="54" spans="1:15" ht="14.25" customHeight="1" thickBot="1">
      <c r="A54" s="1047" t="s">
        <v>904</v>
      </c>
      <c r="B54" s="1041" t="s">
        <v>1103</v>
      </c>
      <c r="C54" s="1041">
        <v>17410</v>
      </c>
      <c r="D54" s="1041">
        <v>16780</v>
      </c>
      <c r="E54" s="1041">
        <v>16370</v>
      </c>
      <c r="F54" s="1059">
        <v>3410</v>
      </c>
      <c r="H54" s="1066"/>
    </row>
    <row r="55" spans="1:15" ht="14.25" customHeight="1" thickBot="1">
      <c r="A55" s="1047" t="s">
        <v>904</v>
      </c>
      <c r="B55" s="1041" t="s">
        <v>1114</v>
      </c>
      <c r="C55" s="1041">
        <v>16930</v>
      </c>
      <c r="D55" s="1041">
        <v>14720</v>
      </c>
      <c r="E55" s="1041">
        <v>15000</v>
      </c>
      <c r="F55" s="1059">
        <v>3710</v>
      </c>
      <c r="H55" s="1066"/>
    </row>
    <row r="56" spans="1:15" ht="14.25" customHeight="1" thickBot="1">
      <c r="A56" s="1047" t="s">
        <v>904</v>
      </c>
      <c r="B56" s="1041" t="s">
        <v>1125</v>
      </c>
      <c r="C56" s="1041">
        <v>14930</v>
      </c>
      <c r="D56" s="1041">
        <v>15850</v>
      </c>
      <c r="E56" s="1041">
        <v>14320</v>
      </c>
      <c r="F56" s="1059">
        <v>3960</v>
      </c>
      <c r="H56" s="1066"/>
    </row>
    <row r="57" spans="1:15" ht="14.25" customHeight="1" thickBot="1">
      <c r="A57" s="1047" t="s">
        <v>904</v>
      </c>
      <c r="B57" s="1041" t="s">
        <v>1137</v>
      </c>
      <c r="C57" s="1041">
        <v>16160</v>
      </c>
      <c r="D57" s="1041">
        <v>16190</v>
      </c>
      <c r="E57" s="1041">
        <v>15650</v>
      </c>
      <c r="F57" s="1059">
        <v>4200</v>
      </c>
      <c r="H57" s="1066"/>
    </row>
    <row r="58" spans="1:15" ht="14.25" customHeight="1" thickBot="1">
      <c r="A58" s="1047" t="s">
        <v>904</v>
      </c>
      <c r="B58" s="1041" t="s">
        <v>1147</v>
      </c>
      <c r="C58" s="1041">
        <v>16360</v>
      </c>
      <c r="D58" s="1041">
        <v>14050</v>
      </c>
      <c r="E58" s="1041">
        <v>16070</v>
      </c>
      <c r="F58" s="1059">
        <v>3990</v>
      </c>
      <c r="H58" s="1066"/>
    </row>
    <row r="59" spans="1:15" ht="14.25" customHeight="1" thickBot="1">
      <c r="A59" s="1047" t="s">
        <v>904</v>
      </c>
      <c r="B59" s="1041" t="s">
        <v>1157</v>
      </c>
      <c r="C59" s="1041">
        <v>14160</v>
      </c>
      <c r="D59" s="1041">
        <v>16620</v>
      </c>
      <c r="E59" s="1041">
        <v>13940</v>
      </c>
      <c r="F59" s="1059">
        <v>4260</v>
      </c>
      <c r="H59" s="1066"/>
    </row>
    <row r="60" spans="1:15" ht="14.25" customHeight="1" thickBot="1">
      <c r="A60" s="1047" t="s">
        <v>904</v>
      </c>
      <c r="B60" s="1041" t="s">
        <v>1167</v>
      </c>
      <c r="C60" s="1041">
        <v>16750</v>
      </c>
      <c r="D60" s="1041">
        <v>13910</v>
      </c>
      <c r="E60" s="1041">
        <v>16550</v>
      </c>
      <c r="F60" s="1059">
        <v>4550</v>
      </c>
      <c r="H60" s="1066"/>
    </row>
    <row r="61" spans="1:15" ht="14.25" customHeight="1" thickBot="1">
      <c r="A61" s="1047" t="s">
        <v>904</v>
      </c>
      <c r="B61" s="1041" t="s">
        <v>1177</v>
      </c>
      <c r="C61" s="1041">
        <v>14000</v>
      </c>
      <c r="D61" s="1041">
        <v>14550</v>
      </c>
      <c r="E61" s="1041">
        <v>13860</v>
      </c>
      <c r="F61" s="1068"/>
      <c r="H61" s="1066"/>
    </row>
    <row r="62" spans="1:15" ht="14.25" customHeight="1" thickBot="1">
      <c r="A62" s="1047" t="s">
        <v>904</v>
      </c>
      <c r="B62" s="1041" t="s">
        <v>1187</v>
      </c>
      <c r="C62" s="1041">
        <v>14660</v>
      </c>
      <c r="D62" s="1041">
        <v>17450</v>
      </c>
      <c r="E62" s="1041">
        <v>14470</v>
      </c>
      <c r="F62" s="1068"/>
      <c r="H62" s="1066"/>
    </row>
    <row r="63" spans="1:15" ht="14.25" customHeight="1" thickBot="1">
      <c r="A63" s="1047" t="s">
        <v>904</v>
      </c>
      <c r="B63" s="1041" t="s">
        <v>1197</v>
      </c>
      <c r="C63" s="1041">
        <v>17610</v>
      </c>
      <c r="D63" s="1041">
        <v>16500</v>
      </c>
      <c r="E63" s="1041">
        <v>17330</v>
      </c>
      <c r="F63" s="1068"/>
      <c r="H63" s="1066"/>
    </row>
    <row r="64" spans="1:15" ht="14.25" customHeight="1" thickBot="1">
      <c r="A64" s="1047" t="s">
        <v>904</v>
      </c>
      <c r="B64" s="1041" t="s">
        <v>1207</v>
      </c>
      <c r="C64" s="1041">
        <v>16590</v>
      </c>
      <c r="D64" s="1041">
        <v>15130</v>
      </c>
      <c r="E64" s="1041">
        <v>16420</v>
      </c>
      <c r="F64" s="1068"/>
      <c r="H64" s="1066"/>
    </row>
    <row r="65" spans="1:8" s="1035" customFormat="1" ht="14.25" customHeight="1" thickBot="1">
      <c r="A65" s="1047" t="s">
        <v>904</v>
      </c>
      <c r="B65" s="1041" t="s">
        <v>1217</v>
      </c>
      <c r="C65" s="1041">
        <v>15220</v>
      </c>
      <c r="D65" s="1041">
        <v>14660</v>
      </c>
      <c r="E65" s="1041">
        <v>15060</v>
      </c>
      <c r="F65" s="1059"/>
      <c r="H65" s="1066"/>
    </row>
    <row r="66" spans="1:8" s="1035" customFormat="1" ht="14.25" customHeight="1" thickBot="1">
      <c r="A66" s="1047" t="s">
        <v>904</v>
      </c>
      <c r="B66" s="1041" t="s">
        <v>1227</v>
      </c>
      <c r="C66" s="1041">
        <v>14720</v>
      </c>
      <c r="D66" s="1041">
        <v>15970</v>
      </c>
      <c r="E66" s="1041">
        <v>14610</v>
      </c>
      <c r="F66" s="1059"/>
      <c r="H66" s="1066"/>
    </row>
    <row r="67" spans="1:8" s="1035" customFormat="1" ht="14.25" customHeight="1" thickBot="1">
      <c r="A67" s="1047" t="s">
        <v>904</v>
      </c>
      <c r="B67" s="1041" t="s">
        <v>1237</v>
      </c>
      <c r="C67" s="1041">
        <v>16080</v>
      </c>
      <c r="D67" s="1041">
        <v>14840</v>
      </c>
      <c r="E67" s="1041">
        <v>15630</v>
      </c>
      <c r="F67" s="1059"/>
      <c r="H67" s="1066"/>
    </row>
    <row r="68" spans="1:8" s="1035" customFormat="1" ht="14.25" customHeight="1" thickBot="1">
      <c r="A68" s="1047" t="s">
        <v>904</v>
      </c>
      <c r="B68" s="1041" t="s">
        <v>1246</v>
      </c>
      <c r="C68" s="1041">
        <v>14940</v>
      </c>
      <c r="D68" s="1041">
        <v>18000</v>
      </c>
      <c r="E68" s="1041">
        <v>14040</v>
      </c>
      <c r="F68" s="1059"/>
      <c r="H68" s="1066"/>
    </row>
    <row r="69" spans="1:8" s="1035" customFormat="1" ht="14.25" customHeight="1" thickBot="1">
      <c r="A69" s="1047" t="s">
        <v>904</v>
      </c>
      <c r="B69" s="1041" t="s">
        <v>1255</v>
      </c>
      <c r="C69" s="1041">
        <v>18810</v>
      </c>
      <c r="D69" s="1041">
        <v>15100</v>
      </c>
      <c r="E69" s="1041">
        <v>14710</v>
      </c>
      <c r="F69" s="1059"/>
      <c r="H69" s="1066"/>
    </row>
    <row r="70" spans="1:8" s="1035" customFormat="1" ht="14.25" customHeight="1" thickBot="1">
      <c r="A70" s="1047" t="s">
        <v>904</v>
      </c>
      <c r="B70" s="1041" t="s">
        <v>1263</v>
      </c>
      <c r="C70" s="1041">
        <v>18270</v>
      </c>
      <c r="D70" s="1041"/>
      <c r="E70" s="1041"/>
      <c r="F70" s="1059"/>
      <c r="H70" s="1066"/>
    </row>
    <row r="71" spans="1:8" s="1035" customFormat="1" ht="14.25" customHeight="1" thickBot="1">
      <c r="A71" s="1047" t="s">
        <v>904</v>
      </c>
      <c r="B71" s="1041" t="s">
        <v>1270</v>
      </c>
      <c r="C71" s="1041">
        <v>15230</v>
      </c>
      <c r="D71" s="1041"/>
      <c r="E71" s="1041"/>
      <c r="F71" s="1059"/>
      <c r="H71" s="1066"/>
    </row>
    <row r="72" spans="1:8" s="1035" customFormat="1" ht="14.25" customHeight="1" thickBot="1">
      <c r="A72" s="1047" t="s">
        <v>904</v>
      </c>
      <c r="B72" s="1041" t="s">
        <v>1277</v>
      </c>
      <c r="C72" s="1041"/>
      <c r="D72" s="1041"/>
      <c r="E72" s="1041"/>
      <c r="F72" s="1059">
        <v>4120</v>
      </c>
      <c r="H72" s="1066"/>
    </row>
    <row r="73" spans="1:8" s="1035" customFormat="1" ht="14.25" customHeight="1" thickBot="1">
      <c r="A73" s="1047" t="s">
        <v>904</v>
      </c>
      <c r="B73" s="1041" t="s">
        <v>1284</v>
      </c>
      <c r="C73" s="1041"/>
      <c r="D73" s="1041"/>
      <c r="E73" s="1041"/>
      <c r="F73" s="1059">
        <v>3930</v>
      </c>
      <c r="H73" s="1066"/>
    </row>
    <row r="74" spans="1:8" s="1035" customFormat="1" ht="14.25" customHeight="1" thickBot="1">
      <c r="A74" s="1047" t="s">
        <v>904</v>
      </c>
      <c r="B74" s="1041" t="s">
        <v>1291</v>
      </c>
      <c r="C74" s="1041"/>
      <c r="D74" s="1041"/>
      <c r="E74" s="1041"/>
      <c r="F74" s="1059">
        <v>4060</v>
      </c>
      <c r="H74" s="1066"/>
    </row>
    <row r="75" spans="1:8" s="1035" customFormat="1" ht="14.25" customHeight="1" thickBot="1">
      <c r="A75" s="1047" t="s">
        <v>904</v>
      </c>
      <c r="B75" s="1057" t="s">
        <v>1298</v>
      </c>
      <c r="C75" s="1057"/>
      <c r="D75" s="1057"/>
      <c r="E75" s="1057"/>
      <c r="F75" s="1067">
        <v>3750</v>
      </c>
      <c r="H75" s="1066"/>
    </row>
    <row r="76" spans="1:8" s="1035" customFormat="1" ht="14.25" customHeight="1" thickBot="1">
      <c r="A76" s="1047" t="s">
        <v>1385</v>
      </c>
      <c r="B76" s="1048" t="s">
        <v>1386</v>
      </c>
      <c r="C76" s="1048">
        <v>14690</v>
      </c>
      <c r="D76" s="1048">
        <v>14640</v>
      </c>
      <c r="E76" s="1048">
        <v>14590</v>
      </c>
      <c r="F76" s="1049">
        <v>3060</v>
      </c>
      <c r="H76" s="1066"/>
    </row>
    <row r="77" spans="1:8" s="1035" customFormat="1" ht="14.25" customHeight="1" thickBot="1">
      <c r="A77" s="1047" t="s">
        <v>1385</v>
      </c>
      <c r="B77" s="1041" t="s">
        <v>1052</v>
      </c>
      <c r="C77" s="1041">
        <v>12550</v>
      </c>
      <c r="D77" s="1041">
        <v>12480</v>
      </c>
      <c r="E77" s="1041">
        <v>12450</v>
      </c>
      <c r="F77" s="1059">
        <v>2590</v>
      </c>
      <c r="H77" s="1066"/>
    </row>
    <row r="78" spans="1:8" s="1035" customFormat="1" ht="14.25" customHeight="1" thickBot="1">
      <c r="A78" s="1047" t="s">
        <v>1385</v>
      </c>
      <c r="B78" s="1041" t="s">
        <v>1066</v>
      </c>
      <c r="C78" s="1041">
        <v>14360</v>
      </c>
      <c r="D78" s="1041">
        <v>14320</v>
      </c>
      <c r="E78" s="1041">
        <v>12510</v>
      </c>
      <c r="F78" s="1059">
        <v>2700</v>
      </c>
      <c r="H78" s="1066"/>
    </row>
    <row r="79" spans="1:8" s="1035" customFormat="1" ht="14.25" customHeight="1" thickBot="1">
      <c r="A79" s="1047" t="s">
        <v>1385</v>
      </c>
      <c r="B79" s="1041" t="s">
        <v>1079</v>
      </c>
      <c r="C79" s="1041">
        <v>12590</v>
      </c>
      <c r="D79" s="1041">
        <v>12540</v>
      </c>
      <c r="E79" s="1041">
        <v>12350</v>
      </c>
      <c r="F79" s="1059">
        <v>2740</v>
      </c>
      <c r="H79" s="1066"/>
    </row>
    <row r="80" spans="1:8" s="1035" customFormat="1" ht="14.25" customHeight="1" thickBot="1">
      <c r="A80" s="1047" t="s">
        <v>1385</v>
      </c>
      <c r="B80" s="1041" t="s">
        <v>1093</v>
      </c>
      <c r="C80" s="1041">
        <v>12450</v>
      </c>
      <c r="D80" s="1041">
        <v>12370</v>
      </c>
      <c r="E80" s="1041">
        <v>10790</v>
      </c>
      <c r="F80" s="1059">
        <v>2290</v>
      </c>
      <c r="H80" s="1066"/>
    </row>
    <row r="81" spans="1:8" s="1035" customFormat="1" ht="14.25" customHeight="1" thickBot="1">
      <c r="A81" s="1047" t="s">
        <v>1385</v>
      </c>
      <c r="B81" s="1041" t="s">
        <v>1104</v>
      </c>
      <c r="C81" s="1041">
        <v>14210</v>
      </c>
      <c r="D81" s="1041">
        <v>14150</v>
      </c>
      <c r="E81" s="1041">
        <v>12730</v>
      </c>
      <c r="F81" s="1059">
        <v>2240</v>
      </c>
      <c r="H81" s="1066"/>
    </row>
    <row r="82" spans="1:8" s="1035" customFormat="1" ht="14.25" customHeight="1" thickBot="1">
      <c r="A82" s="1047" t="s">
        <v>1385</v>
      </c>
      <c r="B82" s="1041" t="s">
        <v>1115</v>
      </c>
      <c r="C82" s="1041">
        <v>10860</v>
      </c>
      <c r="D82" s="1041">
        <v>10820</v>
      </c>
      <c r="E82" s="1041">
        <v>14720</v>
      </c>
      <c r="F82" s="1059">
        <v>2490</v>
      </c>
      <c r="H82" s="1066"/>
    </row>
    <row r="83" spans="1:8" s="1035" customFormat="1" ht="14.25" customHeight="1" thickBot="1">
      <c r="A83" s="1047" t="s">
        <v>1385</v>
      </c>
      <c r="B83" s="1041" t="s">
        <v>1126</v>
      </c>
      <c r="C83" s="1041">
        <v>12810</v>
      </c>
      <c r="D83" s="1041">
        <v>12760</v>
      </c>
      <c r="E83" s="1041">
        <v>14830</v>
      </c>
      <c r="F83" s="1059">
        <v>2450</v>
      </c>
      <c r="H83" s="1066"/>
    </row>
    <row r="84" spans="1:8" s="1035" customFormat="1" ht="14.25" customHeight="1" thickBot="1">
      <c r="A84" s="1047" t="s">
        <v>1385</v>
      </c>
      <c r="B84" s="1041" t="s">
        <v>1138</v>
      </c>
      <c r="C84" s="1041">
        <v>14950</v>
      </c>
      <c r="D84" s="1041">
        <v>14810</v>
      </c>
      <c r="E84" s="1041">
        <v>12590</v>
      </c>
      <c r="F84" s="1059">
        <v>2540</v>
      </c>
      <c r="H84" s="1066"/>
    </row>
    <row r="85" spans="1:8" s="1035" customFormat="1" ht="14.25" customHeight="1" thickBot="1">
      <c r="A85" s="1047" t="s">
        <v>1385</v>
      </c>
      <c r="B85" s="1041" t="s">
        <v>1148</v>
      </c>
      <c r="C85" s="1041">
        <v>14960</v>
      </c>
      <c r="D85" s="1041">
        <v>14890</v>
      </c>
      <c r="E85" s="1041">
        <v>12840</v>
      </c>
      <c r="F85" s="1059">
        <v>2840</v>
      </c>
      <c r="H85" s="1066"/>
    </row>
    <row r="86" spans="1:8" s="1035" customFormat="1" ht="14.25" customHeight="1" thickBot="1">
      <c r="A86" s="1047" t="s">
        <v>1385</v>
      </c>
      <c r="B86" s="1041" t="s">
        <v>1158</v>
      </c>
      <c r="C86" s="1041">
        <v>12730</v>
      </c>
      <c r="D86" s="1041">
        <v>12660</v>
      </c>
      <c r="E86" s="1041">
        <v>13310</v>
      </c>
      <c r="F86" s="1059">
        <v>3140</v>
      </c>
      <c r="H86" s="1066"/>
    </row>
    <row r="87" spans="1:8" s="1035" customFormat="1" ht="14.25" customHeight="1" thickBot="1">
      <c r="A87" s="1047" t="s">
        <v>1385</v>
      </c>
      <c r="B87" s="1041" t="s">
        <v>1168</v>
      </c>
      <c r="C87" s="1041">
        <v>12940</v>
      </c>
      <c r="D87" s="1041">
        <v>12890</v>
      </c>
      <c r="E87" s="1041">
        <v>11580</v>
      </c>
      <c r="F87" s="1068"/>
      <c r="H87" s="1066"/>
    </row>
    <row r="88" spans="1:8" s="1035" customFormat="1" ht="14.25" customHeight="1" thickBot="1">
      <c r="A88" s="1047" t="s">
        <v>1385</v>
      </c>
      <c r="B88" s="1041" t="s">
        <v>1178</v>
      </c>
      <c r="C88" s="1041">
        <v>13430</v>
      </c>
      <c r="D88" s="1041">
        <v>13360</v>
      </c>
      <c r="E88" s="1041">
        <v>12790</v>
      </c>
      <c r="F88" s="1068"/>
      <c r="H88" s="1066"/>
    </row>
    <row r="89" spans="1:8" s="1035" customFormat="1" ht="14.25" customHeight="1" thickBot="1">
      <c r="A89" s="1047" t="s">
        <v>1385</v>
      </c>
      <c r="B89" s="1041" t="s">
        <v>1188</v>
      </c>
      <c r="C89" s="1041">
        <v>11680</v>
      </c>
      <c r="D89" s="1041">
        <v>11630</v>
      </c>
      <c r="E89" s="1041">
        <v>11320</v>
      </c>
      <c r="F89" s="1068"/>
      <c r="H89" s="1066"/>
    </row>
    <row r="90" spans="1:8" s="1035" customFormat="1" ht="14.25" customHeight="1" thickBot="1">
      <c r="A90" s="1047" t="s">
        <v>1385</v>
      </c>
      <c r="B90" s="1041" t="s">
        <v>1198</v>
      </c>
      <c r="C90" s="1041">
        <v>12890</v>
      </c>
      <c r="D90" s="1041">
        <v>12820</v>
      </c>
      <c r="E90" s="1041">
        <v>12710</v>
      </c>
      <c r="F90" s="1068"/>
      <c r="H90" s="1066"/>
    </row>
    <row r="91" spans="1:8" s="1035" customFormat="1" ht="14.25" customHeight="1" thickBot="1">
      <c r="A91" s="1047" t="s">
        <v>1385</v>
      </c>
      <c r="B91" s="1041" t="s">
        <v>1208</v>
      </c>
      <c r="C91" s="1041">
        <v>11410</v>
      </c>
      <c r="D91" s="1041">
        <v>11360</v>
      </c>
      <c r="E91" s="1041">
        <v>12670</v>
      </c>
      <c r="F91" s="1068"/>
      <c r="H91" s="1066"/>
    </row>
    <row r="92" spans="1:8" s="1035" customFormat="1" ht="14.25" customHeight="1" thickBot="1">
      <c r="A92" s="1047" t="s">
        <v>1385</v>
      </c>
      <c r="B92" s="1041" t="s">
        <v>1218</v>
      </c>
      <c r="C92" s="1041">
        <v>12770</v>
      </c>
      <c r="D92" s="1041">
        <v>12740</v>
      </c>
      <c r="E92" s="1041">
        <v>11970</v>
      </c>
      <c r="F92" s="1068"/>
      <c r="H92" s="1066"/>
    </row>
    <row r="93" spans="1:8" s="1035" customFormat="1" ht="14.25" customHeight="1" thickBot="1">
      <c r="A93" s="1047" t="s">
        <v>1385</v>
      </c>
      <c r="B93" s="1041" t="s">
        <v>1228</v>
      </c>
      <c r="C93" s="1041">
        <v>12740</v>
      </c>
      <c r="D93" s="1041">
        <v>12700</v>
      </c>
      <c r="E93" s="1041">
        <v>12540</v>
      </c>
      <c r="F93" s="1068"/>
      <c r="H93" s="1066"/>
    </row>
    <row r="94" spans="1:8" s="1035" customFormat="1" ht="14.25" customHeight="1" thickBot="1">
      <c r="A94" s="1047" t="s">
        <v>1385</v>
      </c>
      <c r="B94" s="1041" t="s">
        <v>1238</v>
      </c>
      <c r="C94" s="1041">
        <v>12020</v>
      </c>
      <c r="D94" s="1041">
        <v>11990</v>
      </c>
      <c r="E94" s="1041">
        <v>13110</v>
      </c>
      <c r="F94" s="1068"/>
      <c r="H94" s="1066"/>
    </row>
    <row r="95" spans="1:8" s="1035" customFormat="1" ht="14.25" customHeight="1" thickBot="1">
      <c r="A95" s="1047" t="s">
        <v>1385</v>
      </c>
      <c r="B95" s="1041" t="s">
        <v>1247</v>
      </c>
      <c r="C95" s="1041">
        <v>12620</v>
      </c>
      <c r="D95" s="1041">
        <v>12580</v>
      </c>
      <c r="E95" s="1041">
        <v>13160</v>
      </c>
      <c r="F95" s="1059"/>
      <c r="H95" s="1066"/>
    </row>
    <row r="96" spans="1:8" s="1035" customFormat="1" ht="14.25" customHeight="1" thickBot="1">
      <c r="A96" s="1047" t="s">
        <v>1385</v>
      </c>
      <c r="B96" s="1041" t="s">
        <v>1256</v>
      </c>
      <c r="C96" s="1041">
        <v>13200</v>
      </c>
      <c r="D96" s="1041">
        <v>13150</v>
      </c>
      <c r="E96" s="1041">
        <v>12900</v>
      </c>
      <c r="F96" s="1059"/>
      <c r="H96" s="1066"/>
    </row>
    <row r="97" spans="1:8" s="1035" customFormat="1" ht="14.25" customHeight="1" thickBot="1">
      <c r="A97" s="1047" t="s">
        <v>1385</v>
      </c>
      <c r="B97" s="1041" t="s">
        <v>1264</v>
      </c>
      <c r="C97" s="1041">
        <v>13270</v>
      </c>
      <c r="D97" s="1041">
        <v>13210</v>
      </c>
      <c r="E97" s="1041">
        <v>11080</v>
      </c>
      <c r="F97" s="1059"/>
      <c r="H97" s="1066"/>
    </row>
    <row r="98" spans="1:8" s="1035" customFormat="1" ht="14.25" customHeight="1" thickBot="1">
      <c r="A98" s="1047" t="s">
        <v>1385</v>
      </c>
      <c r="B98" s="1041" t="s">
        <v>1271</v>
      </c>
      <c r="C98" s="1041">
        <v>13010</v>
      </c>
      <c r="D98" s="1041">
        <v>12930</v>
      </c>
      <c r="E98" s="1041">
        <v>12840</v>
      </c>
      <c r="F98" s="1059"/>
      <c r="H98" s="1066"/>
    </row>
    <row r="99" spans="1:8" s="1035" customFormat="1" ht="14.25" customHeight="1" thickBot="1">
      <c r="A99" s="1047" t="s">
        <v>1385</v>
      </c>
      <c r="B99" s="1041" t="s">
        <v>1278</v>
      </c>
      <c r="C99" s="1041">
        <v>11190</v>
      </c>
      <c r="D99" s="1041">
        <v>11130</v>
      </c>
      <c r="E99" s="1041"/>
      <c r="F99" s="1059"/>
      <c r="H99" s="1066"/>
    </row>
    <row r="100" spans="1:8" s="1035" customFormat="1" ht="14.25" customHeight="1" thickBot="1">
      <c r="A100" s="1047" t="s">
        <v>1385</v>
      </c>
      <c r="B100" s="1041" t="s">
        <v>1285</v>
      </c>
      <c r="C100" s="1041">
        <v>14280</v>
      </c>
      <c r="D100" s="1041">
        <v>14180</v>
      </c>
      <c r="E100" s="1041"/>
      <c r="F100" s="1059"/>
      <c r="H100" s="1066"/>
    </row>
    <row r="101" spans="1:8" s="1035" customFormat="1" ht="14.25" customHeight="1" thickBot="1">
      <c r="A101" s="1047" t="s">
        <v>1385</v>
      </c>
      <c r="B101" s="1041" t="s">
        <v>1292</v>
      </c>
      <c r="C101" s="1041">
        <v>12960</v>
      </c>
      <c r="D101" s="1041">
        <v>12890</v>
      </c>
      <c r="E101" s="1041"/>
      <c r="F101" s="1059"/>
      <c r="H101" s="1066"/>
    </row>
    <row r="102" spans="1:8" s="1035" customFormat="1" ht="14.25" customHeight="1" thickBot="1">
      <c r="A102" s="1047" t="s">
        <v>1385</v>
      </c>
      <c r="B102" s="1041" t="s">
        <v>1299</v>
      </c>
      <c r="C102" s="1041"/>
      <c r="D102" s="1041"/>
      <c r="E102" s="1041"/>
      <c r="F102" s="1059">
        <v>3100</v>
      </c>
      <c r="H102" s="1066"/>
    </row>
    <row r="103" spans="1:8" s="1035" customFormat="1" ht="14.25" customHeight="1" thickBot="1">
      <c r="A103" s="1047" t="s">
        <v>1385</v>
      </c>
      <c r="B103" s="1041" t="s">
        <v>1306</v>
      </c>
      <c r="C103" s="1041"/>
      <c r="D103" s="1041"/>
      <c r="E103" s="1041"/>
      <c r="F103" s="1059">
        <v>2320</v>
      </c>
      <c r="H103" s="1066"/>
    </row>
    <row r="104" spans="1:8" s="1035" customFormat="1" ht="14.25" customHeight="1" thickBot="1">
      <c r="A104" s="1047" t="s">
        <v>1385</v>
      </c>
      <c r="B104" s="1041" t="s">
        <v>1311</v>
      </c>
      <c r="C104" s="1041"/>
      <c r="D104" s="1041"/>
      <c r="E104" s="1041"/>
      <c r="F104" s="1059">
        <v>2320</v>
      </c>
      <c r="H104" s="1066"/>
    </row>
    <row r="105" spans="1:8" s="1035" customFormat="1" ht="14.25" customHeight="1" thickBot="1">
      <c r="A105" s="1047" t="s">
        <v>1385</v>
      </c>
      <c r="B105" s="1041" t="s">
        <v>1315</v>
      </c>
      <c r="C105" s="1041"/>
      <c r="D105" s="1041"/>
      <c r="E105" s="1041"/>
      <c r="F105" s="1059">
        <v>2320</v>
      </c>
      <c r="H105" s="1066"/>
    </row>
    <row r="106" spans="1:8" s="1035" customFormat="1" ht="14.25" customHeight="1" thickBot="1">
      <c r="A106" s="1047" t="s">
        <v>1385</v>
      </c>
      <c r="B106" s="1041" t="s">
        <v>1320</v>
      </c>
      <c r="C106" s="1041"/>
      <c r="D106" s="1041"/>
      <c r="E106" s="1041"/>
      <c r="F106" s="1059">
        <v>2320</v>
      </c>
      <c r="H106" s="1066"/>
    </row>
    <row r="107" spans="1:8" s="1035" customFormat="1" ht="14.25" customHeight="1" thickBot="1">
      <c r="A107" s="1047" t="s">
        <v>1385</v>
      </c>
      <c r="B107" s="1041" t="s">
        <v>1325</v>
      </c>
      <c r="C107" s="1041"/>
      <c r="D107" s="1041"/>
      <c r="E107" s="1041"/>
      <c r="F107" s="1059">
        <v>2280</v>
      </c>
      <c r="H107" s="1066"/>
    </row>
    <row r="108" spans="1:8" s="1035" customFormat="1" ht="14.25" customHeight="1" thickBot="1">
      <c r="A108" s="1047" t="s">
        <v>1385</v>
      </c>
      <c r="B108" s="1041" t="s">
        <v>1330</v>
      </c>
      <c r="C108" s="1041"/>
      <c r="D108" s="1041"/>
      <c r="E108" s="1041"/>
      <c r="F108" s="1059">
        <v>2280</v>
      </c>
      <c r="H108" s="1066"/>
    </row>
    <row r="109" spans="1:8" s="1035" customFormat="1" ht="14.25" customHeight="1" thickBot="1">
      <c r="A109" s="1047" t="s">
        <v>1385</v>
      </c>
      <c r="B109" s="1057" t="s">
        <v>1335</v>
      </c>
      <c r="C109" s="1057"/>
      <c r="D109" s="1057"/>
      <c r="E109" s="1057"/>
      <c r="F109" s="1067">
        <v>2280</v>
      </c>
      <c r="H109" s="1066"/>
    </row>
    <row r="110" spans="1:8" s="1035" customFormat="1" ht="14.25" customHeight="1" thickBot="1">
      <c r="A110" s="1047" t="s">
        <v>1387</v>
      </c>
      <c r="B110" s="1048" t="s">
        <v>1388</v>
      </c>
      <c r="C110" s="1048">
        <v>10520</v>
      </c>
      <c r="D110" s="1048">
        <v>10490</v>
      </c>
      <c r="E110" s="1048">
        <v>10760</v>
      </c>
      <c r="F110" s="1049">
        <v>2160</v>
      </c>
      <c r="H110" s="1066"/>
    </row>
    <row r="111" spans="1:8" s="1035" customFormat="1" ht="14.25" customHeight="1" thickBot="1">
      <c r="A111" s="1047" t="s">
        <v>1387</v>
      </c>
      <c r="B111" s="1041" t="s">
        <v>1053</v>
      </c>
      <c r="C111" s="1041">
        <v>10090</v>
      </c>
      <c r="D111" s="1041">
        <v>10060</v>
      </c>
      <c r="E111" s="1041">
        <v>10300</v>
      </c>
      <c r="F111" s="1059">
        <v>2010</v>
      </c>
      <c r="H111" s="1066"/>
    </row>
    <row r="112" spans="1:8" s="1035" customFormat="1" ht="14.25" customHeight="1" thickBot="1">
      <c r="A112" s="1047" t="s">
        <v>1387</v>
      </c>
      <c r="B112" s="1041" t="s">
        <v>1067</v>
      </c>
      <c r="C112" s="1041">
        <v>9910</v>
      </c>
      <c r="D112" s="1041">
        <v>9850</v>
      </c>
      <c r="E112" s="1041">
        <v>9960</v>
      </c>
      <c r="F112" s="1059">
        <v>2090</v>
      </c>
      <c r="H112" s="1066"/>
    </row>
    <row r="113" spans="1:8" s="1035" customFormat="1" ht="14.25" customHeight="1" thickBot="1">
      <c r="A113" s="1047" t="s">
        <v>1387</v>
      </c>
      <c r="B113" s="1041" t="s">
        <v>1080</v>
      </c>
      <c r="C113" s="1041">
        <v>11430</v>
      </c>
      <c r="D113" s="1041">
        <v>11400</v>
      </c>
      <c r="E113" s="1041">
        <v>11710</v>
      </c>
      <c r="F113" s="1059">
        <v>2050</v>
      </c>
      <c r="H113" s="1066"/>
    </row>
    <row r="114" spans="1:8" s="1035" customFormat="1" ht="14.25" customHeight="1" thickBot="1">
      <c r="A114" s="1047" t="s">
        <v>1387</v>
      </c>
      <c r="B114" s="1041" t="s">
        <v>1094</v>
      </c>
      <c r="C114" s="1041">
        <v>11390</v>
      </c>
      <c r="D114" s="1041">
        <v>11350</v>
      </c>
      <c r="E114" s="1041">
        <v>11640</v>
      </c>
      <c r="F114" s="1059">
        <v>1620</v>
      </c>
      <c r="H114" s="1066"/>
    </row>
    <row r="115" spans="1:8" s="1035" customFormat="1" ht="14.25" customHeight="1" thickBot="1">
      <c r="A115" s="1047" t="s">
        <v>1387</v>
      </c>
      <c r="B115" s="1041" t="s">
        <v>1105</v>
      </c>
      <c r="C115" s="1041">
        <v>9930</v>
      </c>
      <c r="D115" s="1041">
        <v>9900</v>
      </c>
      <c r="E115" s="1041">
        <v>10160</v>
      </c>
      <c r="F115" s="1059">
        <v>1580</v>
      </c>
      <c r="H115" s="1066"/>
    </row>
    <row r="116" spans="1:8" s="1035" customFormat="1" ht="14.25" customHeight="1" thickBot="1">
      <c r="A116" s="1047" t="s">
        <v>1387</v>
      </c>
      <c r="B116" s="1041" t="s">
        <v>1116</v>
      </c>
      <c r="C116" s="1041">
        <v>9150</v>
      </c>
      <c r="D116" s="1041">
        <v>9120</v>
      </c>
      <c r="E116" s="1041">
        <v>9380</v>
      </c>
      <c r="F116" s="1059">
        <v>1750</v>
      </c>
      <c r="H116" s="1066"/>
    </row>
    <row r="117" spans="1:8" s="1035" customFormat="1" ht="14.25" customHeight="1" thickBot="1">
      <c r="A117" s="1047" t="s">
        <v>1387</v>
      </c>
      <c r="B117" s="1041" t="s">
        <v>1127</v>
      </c>
      <c r="C117" s="1041">
        <v>10680</v>
      </c>
      <c r="D117" s="1041">
        <v>10650</v>
      </c>
      <c r="E117" s="1041">
        <v>10970</v>
      </c>
      <c r="F117" s="1059">
        <v>1730</v>
      </c>
      <c r="H117" s="1066"/>
    </row>
    <row r="118" spans="1:8" s="1035" customFormat="1" ht="14.25" customHeight="1" thickBot="1">
      <c r="A118" s="1047" t="s">
        <v>1387</v>
      </c>
      <c r="B118" s="1041" t="s">
        <v>1139</v>
      </c>
      <c r="C118" s="1041">
        <v>10080</v>
      </c>
      <c r="D118" s="1041">
        <v>10050</v>
      </c>
      <c r="E118" s="1041">
        <v>10350</v>
      </c>
      <c r="F118" s="1059">
        <v>1920</v>
      </c>
      <c r="H118" s="1066"/>
    </row>
    <row r="119" spans="1:8" s="1035" customFormat="1" ht="14.25" customHeight="1" thickBot="1">
      <c r="A119" s="1047" t="s">
        <v>1387</v>
      </c>
      <c r="B119" s="1041" t="s">
        <v>1149</v>
      </c>
      <c r="C119" s="1041">
        <v>9450</v>
      </c>
      <c r="D119" s="1041">
        <v>9410</v>
      </c>
      <c r="E119" s="1041">
        <v>9680</v>
      </c>
      <c r="F119" s="1059">
        <v>1880</v>
      </c>
      <c r="H119" s="1066"/>
    </row>
    <row r="120" spans="1:8" s="1035" customFormat="1" ht="14.25" customHeight="1" thickBot="1">
      <c r="A120" s="1047" t="s">
        <v>1387</v>
      </c>
      <c r="B120" s="1041" t="s">
        <v>1159</v>
      </c>
      <c r="C120" s="1041">
        <v>8730</v>
      </c>
      <c r="D120" s="1041">
        <v>8700</v>
      </c>
      <c r="E120" s="1041">
        <v>8950</v>
      </c>
      <c r="F120" s="1059">
        <v>1830</v>
      </c>
      <c r="H120" s="1066"/>
    </row>
    <row r="121" spans="1:8" s="1035" customFormat="1" ht="14.25" customHeight="1" thickBot="1">
      <c r="A121" s="1047" t="s">
        <v>1387</v>
      </c>
      <c r="B121" s="1041" t="s">
        <v>1169</v>
      </c>
      <c r="C121" s="1041">
        <v>10070</v>
      </c>
      <c r="D121" s="1041">
        <v>10040</v>
      </c>
      <c r="E121" s="1041">
        <v>10270</v>
      </c>
      <c r="F121" s="1059">
        <v>1960</v>
      </c>
      <c r="H121" s="1066"/>
    </row>
    <row r="122" spans="1:8" s="1035" customFormat="1" ht="14.25" customHeight="1" thickBot="1">
      <c r="A122" s="1047" t="s">
        <v>1387</v>
      </c>
      <c r="B122" s="1041" t="s">
        <v>1179</v>
      </c>
      <c r="C122" s="1041">
        <v>10500</v>
      </c>
      <c r="D122" s="1041">
        <v>10470</v>
      </c>
      <c r="E122" s="1041">
        <v>10780</v>
      </c>
      <c r="F122" s="1059">
        <v>2180</v>
      </c>
      <c r="H122" s="1066"/>
    </row>
    <row r="123" spans="1:8" s="1035" customFormat="1" ht="14.25" customHeight="1" thickBot="1">
      <c r="A123" s="1047" t="s">
        <v>1387</v>
      </c>
      <c r="B123" s="1041" t="s">
        <v>1189</v>
      </c>
      <c r="C123" s="1041">
        <v>10390</v>
      </c>
      <c r="D123" s="1041">
        <v>10360</v>
      </c>
      <c r="E123" s="1041">
        <v>10660</v>
      </c>
      <c r="F123" s="1059">
        <v>2040</v>
      </c>
      <c r="H123" s="1066"/>
    </row>
    <row r="124" spans="1:8" s="1035" customFormat="1" ht="14.25" customHeight="1" thickBot="1">
      <c r="A124" s="1047" t="s">
        <v>1387</v>
      </c>
      <c r="B124" s="1041" t="s">
        <v>1199</v>
      </c>
      <c r="C124" s="1041">
        <v>10390</v>
      </c>
      <c r="D124" s="1041">
        <v>10360</v>
      </c>
      <c r="E124" s="1041">
        <v>10680</v>
      </c>
      <c r="F124" s="1068"/>
      <c r="H124" s="1066"/>
    </row>
    <row r="125" spans="1:8" s="1035" customFormat="1" ht="14.25" customHeight="1" thickBot="1">
      <c r="A125" s="1047" t="s">
        <v>1387</v>
      </c>
      <c r="B125" s="1041" t="s">
        <v>1209</v>
      </c>
      <c r="C125" s="1041">
        <v>10440</v>
      </c>
      <c r="D125" s="1041">
        <v>10410</v>
      </c>
      <c r="E125" s="1041">
        <v>10710</v>
      </c>
      <c r="F125" s="1068"/>
      <c r="H125" s="1066"/>
    </row>
    <row r="126" spans="1:8" s="1035" customFormat="1" ht="14.25" customHeight="1" thickBot="1">
      <c r="A126" s="1047" t="s">
        <v>1387</v>
      </c>
      <c r="B126" s="1041" t="s">
        <v>1219</v>
      </c>
      <c r="C126" s="1041">
        <v>10780</v>
      </c>
      <c r="D126" s="1041">
        <v>10750</v>
      </c>
      <c r="E126" s="1041">
        <v>11080</v>
      </c>
      <c r="F126" s="1068"/>
      <c r="H126" s="1066"/>
    </row>
    <row r="127" spans="1:8" s="1035" customFormat="1" ht="14.25" customHeight="1" thickBot="1">
      <c r="A127" s="1047" t="s">
        <v>1387</v>
      </c>
      <c r="B127" s="1041" t="s">
        <v>1229</v>
      </c>
      <c r="C127" s="1041">
        <v>10100</v>
      </c>
      <c r="D127" s="1041">
        <v>10070</v>
      </c>
      <c r="E127" s="1041">
        <v>10350</v>
      </c>
      <c r="F127" s="1068"/>
      <c r="H127" s="1066"/>
    </row>
    <row r="128" spans="1:8" s="1035" customFormat="1" ht="14.25" customHeight="1" thickBot="1">
      <c r="A128" s="1047" t="s">
        <v>1387</v>
      </c>
      <c r="B128" s="1041" t="s">
        <v>1239</v>
      </c>
      <c r="C128" s="1041">
        <v>9200</v>
      </c>
      <c r="D128" s="1041">
        <v>9160</v>
      </c>
      <c r="E128" s="1041">
        <v>9660</v>
      </c>
      <c r="F128" s="1068"/>
      <c r="H128" s="1066"/>
    </row>
    <row r="129" spans="1:8" s="1035" customFormat="1" ht="14.25" customHeight="1" thickBot="1">
      <c r="A129" s="1047" t="s">
        <v>1387</v>
      </c>
      <c r="B129" s="1041" t="s">
        <v>1248</v>
      </c>
      <c r="C129" s="1041">
        <v>10340</v>
      </c>
      <c r="D129" s="1041">
        <v>10310</v>
      </c>
      <c r="E129" s="1041">
        <v>10580</v>
      </c>
      <c r="F129" s="1068"/>
      <c r="H129" s="1066"/>
    </row>
    <row r="130" spans="1:8" s="1035" customFormat="1" ht="14.25" customHeight="1" thickBot="1">
      <c r="A130" s="1047" t="s">
        <v>1387</v>
      </c>
      <c r="B130" s="1041" t="s">
        <v>1257</v>
      </c>
      <c r="C130" s="1041">
        <v>9680</v>
      </c>
      <c r="D130" s="1041">
        <v>9660</v>
      </c>
      <c r="E130" s="1041">
        <v>9950</v>
      </c>
      <c r="F130" s="1068"/>
      <c r="H130" s="1066"/>
    </row>
    <row r="131" spans="1:8" s="1035" customFormat="1" ht="14.25" customHeight="1" thickBot="1">
      <c r="A131" s="1047" t="s">
        <v>1387</v>
      </c>
      <c r="B131" s="1041" t="s">
        <v>1265</v>
      </c>
      <c r="C131" s="1041">
        <v>9540</v>
      </c>
      <c r="D131" s="1041">
        <v>9510</v>
      </c>
      <c r="E131" s="1041">
        <v>9790</v>
      </c>
      <c r="F131" s="1068"/>
      <c r="H131" s="1066"/>
    </row>
    <row r="132" spans="1:8" s="1035" customFormat="1" ht="14.25" customHeight="1" thickBot="1">
      <c r="A132" s="1047" t="s">
        <v>1387</v>
      </c>
      <c r="B132" s="1041" t="s">
        <v>1272</v>
      </c>
      <c r="C132" s="1041">
        <v>9320</v>
      </c>
      <c r="D132" s="1041">
        <v>9290</v>
      </c>
      <c r="E132" s="1041">
        <v>9570</v>
      </c>
      <c r="F132" s="1068"/>
      <c r="H132" s="1066"/>
    </row>
    <row r="133" spans="1:8" s="1035" customFormat="1" ht="14.25" customHeight="1" thickBot="1">
      <c r="A133" s="1047" t="s">
        <v>1387</v>
      </c>
      <c r="B133" s="1041" t="s">
        <v>1279</v>
      </c>
      <c r="C133" s="1041">
        <v>10310</v>
      </c>
      <c r="D133" s="1041">
        <v>10280</v>
      </c>
      <c r="E133" s="1041">
        <v>10530</v>
      </c>
      <c r="F133" s="1068"/>
      <c r="H133" s="1066"/>
    </row>
    <row r="134" spans="1:8" s="1035" customFormat="1" ht="14.25" customHeight="1" thickBot="1">
      <c r="A134" s="1047" t="s">
        <v>1387</v>
      </c>
      <c r="B134" s="1041" t="s">
        <v>1286</v>
      </c>
      <c r="C134" s="1041">
        <v>10370</v>
      </c>
      <c r="D134" s="1041">
        <v>10310</v>
      </c>
      <c r="E134" s="1041">
        <v>10240</v>
      </c>
      <c r="F134" s="1059">
        <v>2060</v>
      </c>
      <c r="H134" s="1066"/>
    </row>
    <row r="135" spans="1:8" s="1035" customFormat="1" ht="14.25" customHeight="1" thickBot="1">
      <c r="A135" s="1047" t="s">
        <v>1387</v>
      </c>
      <c r="B135" s="1041" t="s">
        <v>1293</v>
      </c>
      <c r="C135" s="1041">
        <v>9300</v>
      </c>
      <c r="D135" s="1041">
        <v>9270</v>
      </c>
      <c r="E135" s="1041">
        <v>9350</v>
      </c>
      <c r="F135" s="1068"/>
      <c r="H135" s="1066"/>
    </row>
    <row r="136" spans="1:8" s="1035" customFormat="1" ht="14.25" customHeight="1" thickBot="1">
      <c r="A136" s="1047" t="s">
        <v>1387</v>
      </c>
      <c r="B136" s="1041" t="s">
        <v>1300</v>
      </c>
      <c r="C136" s="1041">
        <v>10160</v>
      </c>
      <c r="D136" s="1041">
        <v>10110</v>
      </c>
      <c r="E136" s="1041">
        <v>10080</v>
      </c>
      <c r="F136" s="1068"/>
      <c r="H136" s="1066"/>
    </row>
    <row r="137" spans="1:8" s="1035" customFormat="1" ht="14.25" customHeight="1" thickBot="1">
      <c r="A137" s="1047" t="s">
        <v>1387</v>
      </c>
      <c r="B137" s="1041" t="s">
        <v>1307</v>
      </c>
      <c r="C137" s="1041">
        <v>9200</v>
      </c>
      <c r="D137" s="1041">
        <v>9170</v>
      </c>
      <c r="E137" s="1041">
        <v>9450</v>
      </c>
      <c r="F137" s="1068"/>
      <c r="H137" s="1066"/>
    </row>
    <row r="138" spans="1:8" s="1035" customFormat="1" ht="14.25" customHeight="1" thickBot="1">
      <c r="A138" s="1047" t="s">
        <v>1387</v>
      </c>
      <c r="B138" s="1041" t="s">
        <v>1312</v>
      </c>
      <c r="C138" s="1041">
        <v>9690</v>
      </c>
      <c r="D138" s="1041">
        <v>9660</v>
      </c>
      <c r="E138" s="1041">
        <v>9840</v>
      </c>
      <c r="F138" s="1068"/>
      <c r="H138" s="1066"/>
    </row>
    <row r="139" spans="1:8" s="1035" customFormat="1" ht="14.25" customHeight="1" thickBot="1">
      <c r="A139" s="1047" t="s">
        <v>1387</v>
      </c>
      <c r="B139" s="1041" t="s">
        <v>1316</v>
      </c>
      <c r="C139" s="1041">
        <v>10290</v>
      </c>
      <c r="D139" s="1041">
        <v>10260</v>
      </c>
      <c r="E139" s="1041">
        <v>10550</v>
      </c>
      <c r="F139" s="1059">
        <v>1700</v>
      </c>
      <c r="H139" s="1066"/>
    </row>
    <row r="140" spans="1:8" s="1035" customFormat="1" ht="14.25" customHeight="1" thickBot="1">
      <c r="A140" s="1047" t="s">
        <v>1387</v>
      </c>
      <c r="B140" s="1041" t="s">
        <v>1321</v>
      </c>
      <c r="C140" s="1041">
        <v>9740</v>
      </c>
      <c r="D140" s="1041">
        <v>9710</v>
      </c>
      <c r="E140" s="1041">
        <v>10000</v>
      </c>
      <c r="F140" s="1059">
        <v>2000</v>
      </c>
      <c r="H140" s="1066"/>
    </row>
    <row r="141" spans="1:8" s="1035" customFormat="1" ht="14.25" customHeight="1" thickBot="1">
      <c r="A141" s="1047" t="s">
        <v>1387</v>
      </c>
      <c r="B141" s="1041" t="s">
        <v>1326</v>
      </c>
      <c r="C141" s="1041">
        <v>9810</v>
      </c>
      <c r="D141" s="1041">
        <v>9770</v>
      </c>
      <c r="E141" s="1041">
        <v>10060</v>
      </c>
      <c r="F141" s="1068"/>
      <c r="H141" s="1066"/>
    </row>
    <row r="142" spans="1:8" s="1035" customFormat="1" ht="14.25" customHeight="1" thickBot="1">
      <c r="A142" s="1047" t="s">
        <v>1387</v>
      </c>
      <c r="B142" s="1041" t="s">
        <v>1331</v>
      </c>
      <c r="C142" s="1041">
        <v>9300</v>
      </c>
      <c r="D142" s="1041">
        <v>9270</v>
      </c>
      <c r="E142" s="1041">
        <v>9530</v>
      </c>
      <c r="F142" s="1068"/>
      <c r="H142" s="1066"/>
    </row>
    <row r="143" spans="1:8" s="1035" customFormat="1" ht="14.25" customHeight="1" thickBot="1">
      <c r="A143" s="1047" t="s">
        <v>1387</v>
      </c>
      <c r="B143" s="1041" t="s">
        <v>1336</v>
      </c>
      <c r="C143" s="1041">
        <v>10080</v>
      </c>
      <c r="D143" s="1041">
        <v>10050</v>
      </c>
      <c r="E143" s="1041">
        <v>10340</v>
      </c>
      <c r="F143" s="1068"/>
      <c r="H143" s="1066"/>
    </row>
    <row r="144" spans="1:8" s="1035" customFormat="1" ht="14.25" customHeight="1" thickBot="1">
      <c r="A144" s="1047" t="s">
        <v>1387</v>
      </c>
      <c r="B144" s="1041" t="s">
        <v>1340</v>
      </c>
      <c r="C144" s="1041">
        <v>9820</v>
      </c>
      <c r="D144" s="1041">
        <v>9750</v>
      </c>
      <c r="E144" s="1041">
        <v>9900</v>
      </c>
      <c r="F144" s="1068"/>
      <c r="H144" s="1066"/>
    </row>
    <row r="145" spans="1:8" s="1035" customFormat="1" ht="14.25" customHeight="1" thickBot="1">
      <c r="A145" s="1047" t="s">
        <v>1387</v>
      </c>
      <c r="B145" s="1041" t="s">
        <v>1344</v>
      </c>
      <c r="C145" s="1041"/>
      <c r="D145" s="1041"/>
      <c r="E145" s="1041"/>
      <c r="F145" s="1059">
        <v>1740</v>
      </c>
      <c r="H145" s="1066"/>
    </row>
    <row r="146" spans="1:8" s="1035" customFormat="1" ht="14.25" customHeight="1" thickBot="1">
      <c r="A146" s="1047" t="s">
        <v>1387</v>
      </c>
      <c r="B146" s="1041" t="s">
        <v>1348</v>
      </c>
      <c r="C146" s="1041"/>
      <c r="D146" s="1041"/>
      <c r="E146" s="1041"/>
      <c r="F146" s="1059">
        <v>1740</v>
      </c>
      <c r="H146" s="1066"/>
    </row>
    <row r="147" spans="1:8" s="1035" customFormat="1" ht="14.25" customHeight="1" thickBot="1">
      <c r="A147" s="1047" t="s">
        <v>1387</v>
      </c>
      <c r="B147" s="1041" t="s">
        <v>1352</v>
      </c>
      <c r="C147" s="1041"/>
      <c r="D147" s="1041"/>
      <c r="E147" s="1041"/>
      <c r="F147" s="1059">
        <v>1740</v>
      </c>
      <c r="H147" s="1066"/>
    </row>
    <row r="148" spans="1:8" s="1035" customFormat="1" ht="14.25" customHeight="1" thickBot="1">
      <c r="A148" s="1047" t="s">
        <v>1387</v>
      </c>
      <c r="B148" s="1041" t="s">
        <v>1356</v>
      </c>
      <c r="C148" s="1041"/>
      <c r="D148" s="1041"/>
      <c r="E148" s="1041"/>
      <c r="F148" s="1059">
        <v>1740</v>
      </c>
      <c r="H148" s="1066"/>
    </row>
    <row r="149" spans="1:8" s="1035" customFormat="1" ht="14.25" customHeight="1" thickBot="1">
      <c r="A149" s="1047" t="s">
        <v>1387</v>
      </c>
      <c r="B149" s="1041" t="s">
        <v>1360</v>
      </c>
      <c r="C149" s="1041"/>
      <c r="D149" s="1041"/>
      <c r="E149" s="1041"/>
      <c r="F149" s="1059">
        <v>1740</v>
      </c>
      <c r="H149" s="1066"/>
    </row>
    <row r="150" spans="1:8" s="1035" customFormat="1" ht="14.25" customHeight="1" thickBot="1">
      <c r="A150" s="1047" t="s">
        <v>1387</v>
      </c>
      <c r="B150" s="1041" t="s">
        <v>1363</v>
      </c>
      <c r="C150" s="1041"/>
      <c r="D150" s="1041"/>
      <c r="E150" s="1041"/>
      <c r="F150" s="1059">
        <v>1610</v>
      </c>
      <c r="H150" s="1066"/>
    </row>
    <row r="151" spans="1:8" s="1035" customFormat="1" ht="14.25" customHeight="1" thickBot="1">
      <c r="A151" s="1047" t="s">
        <v>1387</v>
      </c>
      <c r="B151" s="1041" t="s">
        <v>1366</v>
      </c>
      <c r="C151" s="1041"/>
      <c r="D151" s="1041"/>
      <c r="E151" s="1041"/>
      <c r="F151" s="1059">
        <v>1610</v>
      </c>
      <c r="H151" s="1066"/>
    </row>
    <row r="152" spans="1:8" s="1035" customFormat="1" ht="14.25" customHeight="1" thickBot="1">
      <c r="A152" s="1047" t="s">
        <v>1387</v>
      </c>
      <c r="B152" s="1041" t="s">
        <v>1369</v>
      </c>
      <c r="C152" s="1041"/>
      <c r="D152" s="1041"/>
      <c r="E152" s="1041"/>
      <c r="F152" s="1059">
        <v>1610</v>
      </c>
      <c r="H152" s="1066"/>
    </row>
    <row r="153" spans="1:8" s="1035" customFormat="1" ht="14.25" customHeight="1" thickBot="1">
      <c r="A153" s="1047" t="s">
        <v>1387</v>
      </c>
      <c r="B153" s="1041" t="s">
        <v>1372</v>
      </c>
      <c r="C153" s="1041"/>
      <c r="D153" s="1041"/>
      <c r="E153" s="1041"/>
      <c r="F153" s="1059">
        <v>1610</v>
      </c>
      <c r="H153" s="1066"/>
    </row>
    <row r="154" spans="1:8" s="1035" customFormat="1" ht="14.25" customHeight="1" thickBot="1">
      <c r="A154" s="1047" t="s">
        <v>1387</v>
      </c>
      <c r="B154" s="1041" t="s">
        <v>1375</v>
      </c>
      <c r="C154" s="1041"/>
      <c r="D154" s="1041"/>
      <c r="E154" s="1041"/>
      <c r="F154" s="1059">
        <v>1610</v>
      </c>
      <c r="H154" s="1066"/>
    </row>
    <row r="155" spans="1:8" s="1035" customFormat="1" ht="14.25" customHeight="1" thickBot="1">
      <c r="A155" s="1047" t="s">
        <v>1387</v>
      </c>
      <c r="B155" s="1041" t="s">
        <v>1378</v>
      </c>
      <c r="C155" s="1041"/>
      <c r="D155" s="1041"/>
      <c r="E155" s="1041"/>
      <c r="F155" s="1059">
        <v>1800</v>
      </c>
      <c r="H155" s="1066"/>
    </row>
    <row r="156" spans="1:8" s="1035" customFormat="1" ht="14.25" customHeight="1" thickBot="1">
      <c r="A156" s="1047" t="s">
        <v>1387</v>
      </c>
      <c r="B156" s="1041" t="s">
        <v>1380</v>
      </c>
      <c r="C156" s="1041"/>
      <c r="D156" s="1041"/>
      <c r="E156" s="1041"/>
      <c r="F156" s="1059">
        <v>1910</v>
      </c>
      <c r="H156" s="1066"/>
    </row>
    <row r="157" spans="1:8" s="1035" customFormat="1" ht="14.25" customHeight="1" thickBot="1">
      <c r="A157" s="1047" t="s">
        <v>1387</v>
      </c>
      <c r="B157" s="1057" t="s">
        <v>1383</v>
      </c>
      <c r="C157" s="1057"/>
      <c r="D157" s="1057"/>
      <c r="E157" s="1057"/>
      <c r="F157" s="1067">
        <v>1500</v>
      </c>
      <c r="H157" s="1066"/>
    </row>
    <row r="158" spans="1:8" s="1035" customFormat="1" ht="14.25" customHeight="1" thickBot="1">
      <c r="A158" s="1047" t="s">
        <v>1389</v>
      </c>
      <c r="B158" s="1048" t="s">
        <v>1390</v>
      </c>
      <c r="C158" s="1048">
        <v>8170</v>
      </c>
      <c r="D158" s="1048">
        <v>8140</v>
      </c>
      <c r="E158" s="1048">
        <v>8590</v>
      </c>
      <c r="F158" s="1049">
        <v>1450</v>
      </c>
      <c r="H158" s="1066"/>
    </row>
    <row r="159" spans="1:8" s="1035" customFormat="1" ht="14.25" customHeight="1" thickBot="1">
      <c r="A159" s="1047" t="s">
        <v>1389</v>
      </c>
      <c r="B159" s="1041" t="s">
        <v>1054</v>
      </c>
      <c r="C159" s="1041">
        <v>7410</v>
      </c>
      <c r="D159" s="1041">
        <v>7370</v>
      </c>
      <c r="E159" s="1041">
        <v>8030</v>
      </c>
      <c r="F159" s="1059">
        <v>1510</v>
      </c>
      <c r="H159" s="1066"/>
    </row>
    <row r="160" spans="1:8" s="1035" customFormat="1" ht="14.25" customHeight="1" thickBot="1">
      <c r="A160" s="1047" t="s">
        <v>1389</v>
      </c>
      <c r="B160" s="1041" t="s">
        <v>1068</v>
      </c>
      <c r="C160" s="1041">
        <v>7240</v>
      </c>
      <c r="D160" s="1041">
        <v>7210</v>
      </c>
      <c r="E160" s="1041">
        <v>7860</v>
      </c>
      <c r="F160" s="1059">
        <v>1370</v>
      </c>
      <c r="H160" s="1066"/>
    </row>
    <row r="161" spans="1:8" s="1035" customFormat="1" ht="14.25" customHeight="1" thickBot="1">
      <c r="A161" s="1047" t="s">
        <v>1389</v>
      </c>
      <c r="B161" s="1041" t="s">
        <v>1081</v>
      </c>
      <c r="C161" s="1041">
        <v>7720</v>
      </c>
      <c r="D161" s="1041">
        <v>7690</v>
      </c>
      <c r="E161" s="1041">
        <v>8200</v>
      </c>
      <c r="F161" s="1059">
        <v>1190</v>
      </c>
      <c r="H161" s="1066"/>
    </row>
    <row r="162" spans="1:8" s="1035" customFormat="1" ht="14.25" customHeight="1" thickBot="1">
      <c r="A162" s="1047" t="s">
        <v>1389</v>
      </c>
      <c r="B162" s="1041" t="s">
        <v>1095</v>
      </c>
      <c r="C162" s="1041">
        <v>6900</v>
      </c>
      <c r="D162" s="1041">
        <v>6870</v>
      </c>
      <c r="E162" s="1041">
        <v>7500</v>
      </c>
      <c r="F162" s="1059">
        <v>1390</v>
      </c>
      <c r="H162" s="1066"/>
    </row>
    <row r="163" spans="1:8" s="1035" customFormat="1" ht="14.25" customHeight="1" thickBot="1">
      <c r="A163" s="1047" t="s">
        <v>1389</v>
      </c>
      <c r="B163" s="1041" t="s">
        <v>1106</v>
      </c>
      <c r="C163" s="1041">
        <v>7120</v>
      </c>
      <c r="D163" s="1041">
        <v>7090</v>
      </c>
      <c r="E163" s="1041">
        <v>7690</v>
      </c>
      <c r="F163" s="1059">
        <v>1230</v>
      </c>
      <c r="H163" s="1066"/>
    </row>
    <row r="164" spans="1:8" s="1035" customFormat="1" ht="14.25" customHeight="1" thickBot="1">
      <c r="A164" s="1047" t="s">
        <v>1389</v>
      </c>
      <c r="B164" s="1041" t="s">
        <v>1117</v>
      </c>
      <c r="C164" s="1041">
        <v>6560</v>
      </c>
      <c r="D164" s="1041">
        <v>6530</v>
      </c>
      <c r="E164" s="1041">
        <v>7110</v>
      </c>
      <c r="F164" s="1059">
        <v>1340</v>
      </c>
      <c r="H164" s="1066"/>
    </row>
    <row r="165" spans="1:8" s="1035" customFormat="1" ht="14.25" customHeight="1" thickBot="1">
      <c r="A165" s="1047" t="s">
        <v>1389</v>
      </c>
      <c r="B165" s="1041" t="s">
        <v>1128</v>
      </c>
      <c r="C165" s="1041">
        <v>7450</v>
      </c>
      <c r="D165" s="1041">
        <v>7430</v>
      </c>
      <c r="E165" s="1041">
        <v>8110</v>
      </c>
      <c r="F165" s="1059">
        <v>1290</v>
      </c>
      <c r="H165" s="1066"/>
    </row>
    <row r="166" spans="1:8" s="1035" customFormat="1" ht="14.25" customHeight="1" thickBot="1">
      <c r="A166" s="1047" t="s">
        <v>1389</v>
      </c>
      <c r="B166" s="1041" t="s">
        <v>1140</v>
      </c>
      <c r="C166" s="1041">
        <v>7490</v>
      </c>
      <c r="D166" s="1041">
        <v>7460</v>
      </c>
      <c r="E166" s="1041">
        <v>8150</v>
      </c>
      <c r="F166" s="1059">
        <v>1350</v>
      </c>
      <c r="H166" s="1066"/>
    </row>
    <row r="167" spans="1:8" s="1035" customFormat="1" ht="14.25" customHeight="1" thickBot="1">
      <c r="A167" s="1047" t="s">
        <v>1389</v>
      </c>
      <c r="B167" s="1041" t="s">
        <v>1150</v>
      </c>
      <c r="C167" s="1041">
        <v>7540</v>
      </c>
      <c r="D167" s="1041">
        <v>7510</v>
      </c>
      <c r="E167" s="1041">
        <v>8030</v>
      </c>
      <c r="F167" s="1068"/>
      <c r="H167" s="1066"/>
    </row>
    <row r="168" spans="1:8" s="1035" customFormat="1" ht="14.25" customHeight="1" thickBot="1">
      <c r="A168" s="1047" t="s">
        <v>1389</v>
      </c>
      <c r="B168" s="1041" t="s">
        <v>1160</v>
      </c>
      <c r="C168" s="1041">
        <v>7210</v>
      </c>
      <c r="D168" s="1041">
        <v>7180</v>
      </c>
      <c r="E168" s="1041">
        <v>7830</v>
      </c>
      <c r="F168" s="1068"/>
      <c r="H168" s="1066"/>
    </row>
    <row r="169" spans="1:8" s="1035" customFormat="1" ht="14.25" customHeight="1" thickBot="1">
      <c r="A169" s="1047" t="s">
        <v>1389</v>
      </c>
      <c r="B169" s="1041" t="s">
        <v>1170</v>
      </c>
      <c r="C169" s="1041">
        <v>7040</v>
      </c>
      <c r="D169" s="1041">
        <v>7020</v>
      </c>
      <c r="E169" s="1041">
        <v>7670</v>
      </c>
      <c r="F169" s="1068"/>
      <c r="H169" s="1066"/>
    </row>
    <row r="170" spans="1:8" s="1035" customFormat="1" ht="14.25" customHeight="1" thickBot="1">
      <c r="A170" s="1047" t="s">
        <v>1389</v>
      </c>
      <c r="B170" s="1041" t="s">
        <v>1180</v>
      </c>
      <c r="C170" s="1041">
        <v>8040</v>
      </c>
      <c r="D170" s="1041">
        <v>7190</v>
      </c>
      <c r="E170" s="1041">
        <v>7850</v>
      </c>
      <c r="F170" s="1068"/>
      <c r="H170" s="1066"/>
    </row>
    <row r="171" spans="1:8" s="1035" customFormat="1" ht="14.25" customHeight="1" thickBot="1">
      <c r="A171" s="1047" t="s">
        <v>1389</v>
      </c>
      <c r="B171" s="1041" t="s">
        <v>1190</v>
      </c>
      <c r="C171" s="1041">
        <v>7860</v>
      </c>
      <c r="D171" s="1041">
        <v>7720</v>
      </c>
      <c r="E171" s="1041">
        <v>8150</v>
      </c>
      <c r="F171" s="1059">
        <v>1110</v>
      </c>
      <c r="H171" s="1066"/>
    </row>
    <row r="172" spans="1:8" s="1035" customFormat="1" ht="14.25" customHeight="1" thickBot="1">
      <c r="A172" s="1047" t="s">
        <v>1389</v>
      </c>
      <c r="B172" s="1041" t="s">
        <v>1200</v>
      </c>
      <c r="C172" s="1041">
        <v>7210</v>
      </c>
      <c r="D172" s="1041">
        <v>7170</v>
      </c>
      <c r="E172" s="1041">
        <v>7320</v>
      </c>
      <c r="F172" s="1068"/>
      <c r="H172" s="1066"/>
    </row>
    <row r="173" spans="1:8" s="1035" customFormat="1" ht="14.25" customHeight="1" thickBot="1">
      <c r="A173" s="1047" t="s">
        <v>1389</v>
      </c>
      <c r="B173" s="1041" t="s">
        <v>1210</v>
      </c>
      <c r="C173" s="1041">
        <v>6860</v>
      </c>
      <c r="D173" s="1041">
        <v>6810</v>
      </c>
      <c r="E173" s="1041">
        <v>7440</v>
      </c>
      <c r="F173" s="1068"/>
      <c r="H173" s="1066"/>
    </row>
    <row r="174" spans="1:8" s="1035" customFormat="1" ht="14.25" customHeight="1" thickBot="1">
      <c r="A174" s="1047" t="s">
        <v>1389</v>
      </c>
      <c r="B174" s="1041" t="s">
        <v>1220</v>
      </c>
      <c r="C174" s="1041">
        <v>7120</v>
      </c>
      <c r="D174" s="1041">
        <v>7090</v>
      </c>
      <c r="E174" s="1041">
        <v>7500</v>
      </c>
      <c r="F174" s="1059">
        <v>1490</v>
      </c>
      <c r="H174" s="1066"/>
    </row>
    <row r="175" spans="1:8" s="1035" customFormat="1" ht="14.25" customHeight="1" thickBot="1">
      <c r="A175" s="1047" t="s">
        <v>1389</v>
      </c>
      <c r="B175" s="1041" t="s">
        <v>1230</v>
      </c>
      <c r="C175" s="1041">
        <v>7850</v>
      </c>
      <c r="D175" s="1041">
        <v>7820</v>
      </c>
      <c r="E175" s="1041">
        <v>8120</v>
      </c>
      <c r="F175" s="1059">
        <v>1530</v>
      </c>
      <c r="H175" s="1066"/>
    </row>
    <row r="176" spans="1:8" s="1035" customFormat="1" ht="14.25" customHeight="1" thickBot="1">
      <c r="A176" s="1047" t="s">
        <v>1389</v>
      </c>
      <c r="B176" s="1041" t="s">
        <v>1240</v>
      </c>
      <c r="C176" s="1041">
        <v>7620</v>
      </c>
      <c r="D176" s="1041">
        <v>7570</v>
      </c>
      <c r="E176" s="1041">
        <v>7990</v>
      </c>
      <c r="F176" s="1059">
        <v>1480</v>
      </c>
      <c r="H176" s="1066"/>
    </row>
    <row r="177" spans="1:8" s="1035" customFormat="1" ht="14.25" customHeight="1" thickBot="1">
      <c r="A177" s="1047" t="s">
        <v>1389</v>
      </c>
      <c r="B177" s="1041" t="s">
        <v>1249</v>
      </c>
      <c r="C177" s="1041">
        <v>8590</v>
      </c>
      <c r="D177" s="1041">
        <v>8570</v>
      </c>
      <c r="E177" s="1041">
        <v>8740</v>
      </c>
      <c r="F177" s="1059">
        <v>1540</v>
      </c>
      <c r="H177" s="1066"/>
    </row>
    <row r="178" spans="1:8" s="1035" customFormat="1" ht="14.25" customHeight="1" thickBot="1">
      <c r="A178" s="1047" t="s">
        <v>1389</v>
      </c>
      <c r="B178" s="1041" t="s">
        <v>1258</v>
      </c>
      <c r="C178" s="1041">
        <v>7510</v>
      </c>
      <c r="D178" s="1041">
        <v>7470</v>
      </c>
      <c r="E178" s="1041">
        <v>8090</v>
      </c>
      <c r="F178" s="1059">
        <v>1320</v>
      </c>
      <c r="H178" s="1066"/>
    </row>
    <row r="179" spans="1:8" s="1035" customFormat="1" ht="14.25" customHeight="1" thickBot="1">
      <c r="A179" s="1047" t="s">
        <v>1389</v>
      </c>
      <c r="B179" s="1041" t="s">
        <v>1266</v>
      </c>
      <c r="C179" s="1041">
        <v>6380</v>
      </c>
      <c r="D179" s="1041">
        <v>6340</v>
      </c>
      <c r="E179" s="1041">
        <v>6810</v>
      </c>
      <c r="F179" s="1068"/>
      <c r="H179" s="1066"/>
    </row>
    <row r="180" spans="1:8" s="1035" customFormat="1" ht="14.25" customHeight="1" thickBot="1">
      <c r="A180" s="1047" t="s">
        <v>1389</v>
      </c>
      <c r="B180" s="1041" t="s">
        <v>1273</v>
      </c>
      <c r="C180" s="1041">
        <v>7830</v>
      </c>
      <c r="D180" s="1041">
        <v>7800</v>
      </c>
      <c r="E180" s="1041">
        <v>7780</v>
      </c>
      <c r="F180" s="1059">
        <v>1440</v>
      </c>
      <c r="H180" s="1066"/>
    </row>
    <row r="181" spans="1:8" s="1035" customFormat="1" ht="14.25" customHeight="1" thickBot="1">
      <c r="A181" s="1047" t="s">
        <v>1389</v>
      </c>
      <c r="B181" s="1041" t="s">
        <v>1280</v>
      </c>
      <c r="C181" s="1041">
        <v>7110</v>
      </c>
      <c r="D181" s="1041">
        <v>7080</v>
      </c>
      <c r="E181" s="1041">
        <v>7730</v>
      </c>
      <c r="F181" s="1059">
        <v>1350</v>
      </c>
      <c r="H181" s="1066"/>
    </row>
    <row r="182" spans="1:8" s="1035" customFormat="1" ht="14.25" customHeight="1" thickBot="1">
      <c r="A182" s="1047" t="s">
        <v>1389</v>
      </c>
      <c r="B182" s="1041" t="s">
        <v>1287</v>
      </c>
      <c r="C182" s="1041">
        <v>7310</v>
      </c>
      <c r="D182" s="1041">
        <v>7280</v>
      </c>
      <c r="E182" s="1041">
        <v>7950</v>
      </c>
      <c r="F182" s="1059">
        <v>1220</v>
      </c>
      <c r="H182" s="1066"/>
    </row>
    <row r="183" spans="1:8" s="1035" customFormat="1" ht="14.25" customHeight="1" thickBot="1">
      <c r="A183" s="1047" t="s">
        <v>1389</v>
      </c>
      <c r="B183" s="1041" t="s">
        <v>1294</v>
      </c>
      <c r="C183" s="1041">
        <v>7470</v>
      </c>
      <c r="D183" s="1041">
        <v>7440</v>
      </c>
      <c r="E183" s="1041">
        <v>7880</v>
      </c>
      <c r="F183" s="1068"/>
      <c r="H183" s="1066"/>
    </row>
    <row r="184" spans="1:8" s="1035" customFormat="1" ht="14.25" customHeight="1" thickBot="1">
      <c r="A184" s="1047" t="s">
        <v>1389</v>
      </c>
      <c r="B184" s="1041" t="s">
        <v>1301</v>
      </c>
      <c r="C184" s="1041">
        <v>6960</v>
      </c>
      <c r="D184" s="1041">
        <v>6930</v>
      </c>
      <c r="E184" s="1041">
        <v>7570</v>
      </c>
      <c r="F184" s="1068"/>
      <c r="H184" s="1066"/>
    </row>
    <row r="185" spans="1:8" s="1035" customFormat="1" ht="14.25" customHeight="1" thickBot="1">
      <c r="A185" s="1047" t="s">
        <v>1389</v>
      </c>
      <c r="B185" s="1041" t="s">
        <v>1308</v>
      </c>
      <c r="C185" s="1041">
        <v>7260</v>
      </c>
      <c r="D185" s="1041">
        <v>7230</v>
      </c>
      <c r="E185" s="1041">
        <v>7710</v>
      </c>
      <c r="F185" s="1059">
        <v>1360</v>
      </c>
      <c r="H185" s="1066"/>
    </row>
    <row r="186" spans="1:8" s="1035" customFormat="1" ht="14.25" customHeight="1" thickBot="1">
      <c r="A186" s="1047" t="s">
        <v>1389</v>
      </c>
      <c r="B186" s="1041" t="s">
        <v>1313</v>
      </c>
      <c r="C186" s="1041"/>
      <c r="D186" s="1041"/>
      <c r="E186" s="1041"/>
      <c r="F186" s="1059">
        <v>1560</v>
      </c>
      <c r="H186" s="1066"/>
    </row>
    <row r="187" spans="1:8" s="1035" customFormat="1" ht="14.25" customHeight="1" thickBot="1">
      <c r="A187" s="1047" t="s">
        <v>1389</v>
      </c>
      <c r="B187" s="1041" t="s">
        <v>1317</v>
      </c>
      <c r="C187" s="1041"/>
      <c r="D187" s="1041"/>
      <c r="E187" s="1041"/>
      <c r="F187" s="1059">
        <v>1560</v>
      </c>
      <c r="H187" s="1066"/>
    </row>
    <row r="188" spans="1:8" s="1035" customFormat="1" ht="14.25" customHeight="1" thickBot="1">
      <c r="A188" s="1047" t="s">
        <v>1389</v>
      </c>
      <c r="B188" s="1041" t="s">
        <v>1322</v>
      </c>
      <c r="C188" s="1041"/>
      <c r="D188" s="1041"/>
      <c r="E188" s="1041"/>
      <c r="F188" s="1059">
        <v>1560</v>
      </c>
      <c r="H188" s="1066"/>
    </row>
    <row r="189" spans="1:8" s="1035" customFormat="1" ht="14.25" customHeight="1" thickBot="1">
      <c r="A189" s="1047" t="s">
        <v>1389</v>
      </c>
      <c r="B189" s="1041" t="s">
        <v>1327</v>
      </c>
      <c r="C189" s="1041"/>
      <c r="D189" s="1041"/>
      <c r="E189" s="1041"/>
      <c r="F189" s="1059">
        <v>1320</v>
      </c>
      <c r="H189" s="1066"/>
    </row>
    <row r="190" spans="1:8" s="1035" customFormat="1" ht="14.25" customHeight="1" thickBot="1">
      <c r="A190" s="1047" t="s">
        <v>1389</v>
      </c>
      <c r="B190" s="1041" t="s">
        <v>1332</v>
      </c>
      <c r="C190" s="1041"/>
      <c r="D190" s="1041"/>
      <c r="E190" s="1041"/>
      <c r="F190" s="1059">
        <v>1320</v>
      </c>
      <c r="H190" s="1066"/>
    </row>
    <row r="191" spans="1:8" s="1035" customFormat="1" ht="14.25" customHeight="1" thickBot="1">
      <c r="A191" s="1047" t="s">
        <v>1389</v>
      </c>
      <c r="B191" s="1041" t="s">
        <v>1337</v>
      </c>
      <c r="C191" s="1041"/>
      <c r="D191" s="1041"/>
      <c r="E191" s="1041"/>
      <c r="F191" s="1059">
        <v>1320</v>
      </c>
      <c r="H191" s="1066"/>
    </row>
    <row r="192" spans="1:8" s="1035" customFormat="1" ht="14.25" customHeight="1" thickBot="1">
      <c r="A192" s="1047" t="s">
        <v>1389</v>
      </c>
      <c r="B192" s="1041" t="s">
        <v>1341</v>
      </c>
      <c r="C192" s="1041"/>
      <c r="D192" s="1041"/>
      <c r="E192" s="1041"/>
      <c r="F192" s="1059">
        <v>1100</v>
      </c>
      <c r="H192" s="1066"/>
    </row>
    <row r="193" spans="1:8" s="1035" customFormat="1" ht="14.25" customHeight="1" thickBot="1">
      <c r="A193" s="1047" t="s">
        <v>1389</v>
      </c>
      <c r="B193" s="1041" t="s">
        <v>1345</v>
      </c>
      <c r="C193" s="1041"/>
      <c r="D193" s="1041"/>
      <c r="E193" s="1041"/>
      <c r="F193" s="1059">
        <v>1100</v>
      </c>
      <c r="H193" s="1066"/>
    </row>
    <row r="194" spans="1:8" s="1035" customFormat="1" ht="14.25" customHeight="1" thickBot="1">
      <c r="A194" s="1047" t="s">
        <v>1389</v>
      </c>
      <c r="B194" s="1041" t="s">
        <v>1349</v>
      </c>
      <c r="C194" s="1041"/>
      <c r="D194" s="1041"/>
      <c r="E194" s="1041"/>
      <c r="F194" s="1059">
        <v>1080</v>
      </c>
      <c r="H194" s="1066"/>
    </row>
    <row r="195" spans="1:8" s="1035" customFormat="1" ht="14.25" customHeight="1" thickBot="1">
      <c r="A195" s="1047" t="s">
        <v>1389</v>
      </c>
      <c r="B195" s="1041" t="s">
        <v>1353</v>
      </c>
      <c r="C195" s="1041"/>
      <c r="D195" s="1041"/>
      <c r="E195" s="1041"/>
      <c r="F195" s="1059">
        <v>1270</v>
      </c>
      <c r="H195" s="1066"/>
    </row>
    <row r="196" spans="1:8" s="1035" customFormat="1" ht="14.25" customHeight="1" thickBot="1">
      <c r="A196" s="1047" t="s">
        <v>1389</v>
      </c>
      <c r="B196" s="1041" t="s">
        <v>1357</v>
      </c>
      <c r="C196" s="1041"/>
      <c r="D196" s="1041"/>
      <c r="E196" s="1041"/>
      <c r="F196" s="1059">
        <v>1150</v>
      </c>
      <c r="H196" s="1066"/>
    </row>
    <row r="197" spans="1:8" s="1035" customFormat="1" ht="14.25" customHeight="1" thickBot="1">
      <c r="A197" s="1047" t="s">
        <v>1389</v>
      </c>
      <c r="B197" s="1041" t="s">
        <v>1361</v>
      </c>
      <c r="C197" s="1041"/>
      <c r="D197" s="1041"/>
      <c r="E197" s="1041"/>
      <c r="F197" s="1059">
        <v>1330</v>
      </c>
      <c r="H197" s="1066"/>
    </row>
    <row r="198" spans="1:8" s="1035" customFormat="1" ht="14.25" customHeight="1" thickBot="1">
      <c r="A198" s="1047" t="s">
        <v>1389</v>
      </c>
      <c r="B198" s="1041" t="s">
        <v>1364</v>
      </c>
      <c r="C198" s="1041"/>
      <c r="D198" s="1041"/>
      <c r="E198" s="1041"/>
      <c r="F198" s="1059">
        <v>1170</v>
      </c>
      <c r="H198" s="1066"/>
    </row>
    <row r="199" spans="1:8" s="1035" customFormat="1" ht="14.25" customHeight="1" thickBot="1">
      <c r="A199" s="1047" t="s">
        <v>1389</v>
      </c>
      <c r="B199" s="1041" t="s">
        <v>1367</v>
      </c>
      <c r="C199" s="1041"/>
      <c r="D199" s="1041"/>
      <c r="E199" s="1041"/>
      <c r="F199" s="1059">
        <v>1120</v>
      </c>
      <c r="H199" s="1066"/>
    </row>
    <row r="200" spans="1:8" s="1035" customFormat="1" ht="14.25" customHeight="1" thickBot="1">
      <c r="A200" s="1047" t="s">
        <v>1389</v>
      </c>
      <c r="B200" s="1041" t="s">
        <v>1370</v>
      </c>
      <c r="C200" s="1041"/>
      <c r="D200" s="1041"/>
      <c r="E200" s="1041"/>
      <c r="F200" s="1059">
        <v>1120</v>
      </c>
      <c r="H200" s="1066"/>
    </row>
    <row r="201" spans="1:8" s="1035" customFormat="1" ht="14.25" customHeight="1" thickBot="1">
      <c r="A201" s="1047" t="s">
        <v>1389</v>
      </c>
      <c r="B201" s="1041" t="s">
        <v>1373</v>
      </c>
      <c r="C201" s="1041"/>
      <c r="D201" s="1041"/>
      <c r="E201" s="1041"/>
      <c r="F201" s="1059">
        <v>1540</v>
      </c>
      <c r="H201" s="1066"/>
    </row>
    <row r="202" spans="1:8" s="1035" customFormat="1" ht="14.25" customHeight="1" thickBot="1">
      <c r="A202" s="1047" t="s">
        <v>1389</v>
      </c>
      <c r="B202" s="1041" t="s">
        <v>1376</v>
      </c>
      <c r="C202" s="1041"/>
      <c r="D202" s="1041"/>
      <c r="E202" s="1041"/>
      <c r="F202" s="1059">
        <v>1310</v>
      </c>
      <c r="H202" s="1066"/>
    </row>
    <row r="203" spans="1:8" s="1035" customFormat="1" ht="14.25" customHeight="1" thickBot="1">
      <c r="A203" s="1047" t="s">
        <v>1389</v>
      </c>
      <c r="B203" s="1041" t="s">
        <v>1379</v>
      </c>
      <c r="C203" s="1041"/>
      <c r="D203" s="1041"/>
      <c r="E203" s="1041"/>
      <c r="F203" s="1059">
        <v>1310</v>
      </c>
      <c r="H203" s="1066"/>
    </row>
    <row r="204" spans="1:8" s="1035" customFormat="1" ht="14.25" customHeight="1" thickBot="1">
      <c r="A204" s="1047" t="s">
        <v>1389</v>
      </c>
      <c r="B204" s="1041" t="s">
        <v>1381</v>
      </c>
      <c r="C204" s="1041"/>
      <c r="D204" s="1041"/>
      <c r="E204" s="1041"/>
      <c r="F204" s="1059">
        <v>1080</v>
      </c>
      <c r="H204" s="1066"/>
    </row>
    <row r="205" spans="1:8" s="1035" customFormat="1" ht="14.25" customHeight="1" thickBot="1">
      <c r="A205" s="1047" t="s">
        <v>1389</v>
      </c>
      <c r="B205" s="1041" t="s">
        <v>1384</v>
      </c>
      <c r="C205" s="1041"/>
      <c r="D205" s="1041"/>
      <c r="E205" s="1041"/>
      <c r="F205" s="1059">
        <v>1080</v>
      </c>
      <c r="H205" s="1066"/>
    </row>
    <row r="206" spans="1:8" s="1035" customFormat="1" ht="14.25" customHeight="1" thickBot="1">
      <c r="A206" s="1047" t="s">
        <v>1391</v>
      </c>
      <c r="B206" s="1048" t="s">
        <v>1392</v>
      </c>
      <c r="C206" s="1048">
        <v>5450</v>
      </c>
      <c r="D206" s="1048">
        <v>5430</v>
      </c>
      <c r="E206" s="1048">
        <v>5700</v>
      </c>
      <c r="F206" s="1049">
        <v>1020</v>
      </c>
      <c r="H206" s="1066"/>
    </row>
    <row r="207" spans="1:8" s="1035" customFormat="1" ht="14.25" customHeight="1" thickBot="1">
      <c r="A207" s="1047" t="s">
        <v>1391</v>
      </c>
      <c r="B207" s="1041" t="s">
        <v>1055</v>
      </c>
      <c r="C207" s="1041">
        <v>5860</v>
      </c>
      <c r="D207" s="1041">
        <v>5820</v>
      </c>
      <c r="E207" s="1041">
        <v>6050</v>
      </c>
      <c r="F207" s="1059">
        <v>1080</v>
      </c>
      <c r="H207" s="1066"/>
    </row>
    <row r="208" spans="1:8" s="1035" customFormat="1" ht="14.25" customHeight="1" thickBot="1">
      <c r="A208" s="1047" t="s">
        <v>1391</v>
      </c>
      <c r="B208" s="1041" t="s">
        <v>1069</v>
      </c>
      <c r="C208" s="1041">
        <v>4630</v>
      </c>
      <c r="D208" s="1041">
        <v>4600</v>
      </c>
      <c r="E208" s="1041">
        <v>4840</v>
      </c>
      <c r="F208" s="1059">
        <v>900</v>
      </c>
      <c r="H208" s="1066"/>
    </row>
    <row r="209" spans="1:8" s="1035" customFormat="1" ht="14.25" customHeight="1" thickBot="1">
      <c r="A209" s="1047" t="s">
        <v>1391</v>
      </c>
      <c r="B209" s="1041" t="s">
        <v>1082</v>
      </c>
      <c r="C209" s="1041">
        <v>5320</v>
      </c>
      <c r="D209" s="1041">
        <v>5270</v>
      </c>
      <c r="E209" s="1041">
        <v>5540</v>
      </c>
      <c r="F209" s="1059">
        <v>980</v>
      </c>
      <c r="H209" s="1066"/>
    </row>
    <row r="210" spans="1:8" s="1035" customFormat="1" ht="14.25" customHeight="1" thickBot="1">
      <c r="A210" s="1047" t="s">
        <v>1391</v>
      </c>
      <c r="B210" s="1041" t="s">
        <v>1096</v>
      </c>
      <c r="C210" s="1041">
        <v>5760</v>
      </c>
      <c r="D210" s="1041">
        <v>5710</v>
      </c>
      <c r="E210" s="1041">
        <v>6010</v>
      </c>
      <c r="F210" s="1059">
        <v>870</v>
      </c>
      <c r="H210" s="1066"/>
    </row>
    <row r="211" spans="1:8" s="1035" customFormat="1" ht="14.25" customHeight="1" thickBot="1">
      <c r="A211" s="1047" t="s">
        <v>1391</v>
      </c>
      <c r="B211" s="1041" t="s">
        <v>1107</v>
      </c>
      <c r="C211" s="1041">
        <v>4160</v>
      </c>
      <c r="D211" s="1041">
        <v>4100</v>
      </c>
      <c r="E211" s="1041">
        <v>4270</v>
      </c>
      <c r="F211" s="1059">
        <v>790</v>
      </c>
      <c r="H211" s="1066"/>
    </row>
    <row r="212" spans="1:8" s="1035" customFormat="1" ht="14.25" customHeight="1" thickBot="1">
      <c r="A212" s="1047" t="s">
        <v>1391</v>
      </c>
      <c r="B212" s="1041" t="s">
        <v>1118</v>
      </c>
      <c r="C212" s="1041">
        <v>4880</v>
      </c>
      <c r="D212" s="1041">
        <v>4850</v>
      </c>
      <c r="E212" s="1041">
        <v>5110</v>
      </c>
      <c r="F212" s="1059">
        <v>940</v>
      </c>
      <c r="H212" s="1066"/>
    </row>
    <row r="213" spans="1:8" s="1035" customFormat="1" ht="14.25" customHeight="1" thickBot="1">
      <c r="A213" s="1047" t="s">
        <v>1391</v>
      </c>
      <c r="B213" s="1041" t="s">
        <v>1129</v>
      </c>
      <c r="C213" s="1041">
        <v>4640</v>
      </c>
      <c r="D213" s="1041">
        <v>4590</v>
      </c>
      <c r="E213" s="1041">
        <v>4700</v>
      </c>
      <c r="F213" s="1059">
        <v>1030</v>
      </c>
      <c r="H213" s="1066"/>
    </row>
    <row r="214" spans="1:8" s="1035" customFormat="1" ht="14.25" customHeight="1" thickBot="1">
      <c r="A214" s="1047" t="s">
        <v>1391</v>
      </c>
      <c r="B214" s="1041" t="s">
        <v>1141</v>
      </c>
      <c r="C214" s="1041">
        <v>4540</v>
      </c>
      <c r="D214" s="1041">
        <v>4490</v>
      </c>
      <c r="E214" s="1041">
        <v>4610</v>
      </c>
      <c r="F214" s="1068"/>
      <c r="H214" s="1066"/>
    </row>
    <row r="215" spans="1:8" s="1035" customFormat="1" ht="14.25" customHeight="1" thickBot="1">
      <c r="A215" s="1047" t="s">
        <v>1391</v>
      </c>
      <c r="B215" s="1041" t="s">
        <v>1151</v>
      </c>
      <c r="C215" s="1041">
        <v>5280</v>
      </c>
      <c r="D215" s="1041">
        <v>5250</v>
      </c>
      <c r="E215" s="1041">
        <v>5520</v>
      </c>
      <c r="F215" s="1059">
        <v>1000</v>
      </c>
      <c r="H215" s="1066"/>
    </row>
    <row r="216" spans="1:8" s="1035" customFormat="1" ht="14.25" customHeight="1" thickBot="1">
      <c r="A216" s="1047" t="s">
        <v>1391</v>
      </c>
      <c r="B216" s="1041" t="s">
        <v>1161</v>
      </c>
      <c r="C216" s="1041">
        <v>5100</v>
      </c>
      <c r="D216" s="1041">
        <v>5050</v>
      </c>
      <c r="E216" s="1041">
        <v>5300</v>
      </c>
      <c r="F216" s="1059">
        <v>950</v>
      </c>
      <c r="H216" s="1066"/>
    </row>
    <row r="217" spans="1:8" s="1035" customFormat="1" ht="14.25" customHeight="1" thickBot="1">
      <c r="A217" s="1047" t="s">
        <v>1391</v>
      </c>
      <c r="B217" s="1041" t="s">
        <v>1171</v>
      </c>
      <c r="C217" s="1041">
        <v>5370</v>
      </c>
      <c r="D217" s="1041">
        <v>5320</v>
      </c>
      <c r="E217" s="1041">
        <v>5410</v>
      </c>
      <c r="F217" s="1059">
        <v>950</v>
      </c>
      <c r="H217" s="1066"/>
    </row>
    <row r="218" spans="1:8" s="1035" customFormat="1" ht="14.25" customHeight="1" thickBot="1">
      <c r="A218" s="1047" t="s">
        <v>1391</v>
      </c>
      <c r="B218" s="1041" t="s">
        <v>1181</v>
      </c>
      <c r="C218" s="1041">
        <v>5540</v>
      </c>
      <c r="D218" s="1041">
        <v>5480</v>
      </c>
      <c r="E218" s="1041">
        <v>5740</v>
      </c>
      <c r="F218" s="1059">
        <v>1020</v>
      </c>
      <c r="H218" s="1066"/>
    </row>
    <row r="219" spans="1:8" s="1035" customFormat="1" ht="14.25" customHeight="1" thickBot="1">
      <c r="A219" s="1047" t="s">
        <v>1391</v>
      </c>
      <c r="B219" s="1041" t="s">
        <v>1191</v>
      </c>
      <c r="C219" s="1041">
        <v>5140</v>
      </c>
      <c r="D219" s="1041">
        <v>5100</v>
      </c>
      <c r="E219" s="1041">
        <v>5350</v>
      </c>
      <c r="F219" s="1059">
        <v>1120</v>
      </c>
      <c r="H219" s="1066"/>
    </row>
    <row r="220" spans="1:8" s="1035" customFormat="1" ht="14.25" customHeight="1" thickBot="1">
      <c r="A220" s="1047" t="s">
        <v>1391</v>
      </c>
      <c r="B220" s="1041" t="s">
        <v>1201</v>
      </c>
      <c r="C220" s="1041">
        <v>5040</v>
      </c>
      <c r="D220" s="1041">
        <v>5000</v>
      </c>
      <c r="E220" s="1041">
        <v>5240</v>
      </c>
      <c r="F220" s="1059">
        <v>980</v>
      </c>
      <c r="H220" s="1066"/>
    </row>
    <row r="221" spans="1:8" s="1035" customFormat="1" ht="14.25" customHeight="1" thickBot="1">
      <c r="A221" s="1047" t="s">
        <v>1391</v>
      </c>
      <c r="B221" s="1041" t="s">
        <v>1211</v>
      </c>
      <c r="C221" s="1069"/>
      <c r="D221" s="1069"/>
      <c r="E221" s="1069"/>
      <c r="F221" s="1059">
        <v>1070</v>
      </c>
      <c r="H221" s="1066"/>
    </row>
    <row r="222" spans="1:8" s="1035" customFormat="1" ht="14.25" customHeight="1" thickBot="1">
      <c r="A222" s="1047" t="s">
        <v>1391</v>
      </c>
      <c r="B222" s="1041" t="s">
        <v>1221</v>
      </c>
      <c r="C222" s="1069"/>
      <c r="D222" s="1069"/>
      <c r="E222" s="1069"/>
      <c r="F222" s="1059">
        <v>870</v>
      </c>
      <c r="H222" s="1066"/>
    </row>
    <row r="223" spans="1:8" s="1035" customFormat="1" ht="14.25" customHeight="1" thickBot="1">
      <c r="A223" s="1047" t="s">
        <v>1391</v>
      </c>
      <c r="B223" s="1041" t="s">
        <v>1231</v>
      </c>
      <c r="C223" s="1069"/>
      <c r="D223" s="1069"/>
      <c r="E223" s="1069"/>
      <c r="F223" s="1059">
        <v>940</v>
      </c>
      <c r="H223" s="1066"/>
    </row>
    <row r="224" spans="1:8" s="1035" customFormat="1" ht="14.25" customHeight="1" thickBot="1">
      <c r="A224" s="1047" t="s">
        <v>1391</v>
      </c>
      <c r="B224" s="1041" t="s">
        <v>1241</v>
      </c>
      <c r="C224" s="1069"/>
      <c r="D224" s="1069"/>
      <c r="E224" s="1069"/>
      <c r="F224" s="1059">
        <v>990</v>
      </c>
      <c r="H224" s="1066"/>
    </row>
    <row r="225" spans="1:8" s="1035" customFormat="1" ht="14.25" customHeight="1" thickBot="1">
      <c r="A225" s="1047" t="s">
        <v>1391</v>
      </c>
      <c r="B225" s="1041" t="s">
        <v>1250</v>
      </c>
      <c r="C225" s="1041">
        <v>5730</v>
      </c>
      <c r="D225" s="1041">
        <v>5680</v>
      </c>
      <c r="E225" s="1041">
        <v>6020</v>
      </c>
      <c r="F225" s="1059">
        <v>1000</v>
      </c>
      <c r="H225" s="1066"/>
    </row>
    <row r="226" spans="1:8" s="1035" customFormat="1" ht="14.25" customHeight="1" thickBot="1">
      <c r="A226" s="1047" t="s">
        <v>1391</v>
      </c>
      <c r="B226" s="1041" t="s">
        <v>1259</v>
      </c>
      <c r="C226" s="1041">
        <v>4970</v>
      </c>
      <c r="D226" s="1041">
        <v>4940</v>
      </c>
      <c r="E226" s="1041">
        <v>5180</v>
      </c>
      <c r="F226" s="1059">
        <v>960</v>
      </c>
      <c r="H226" s="1066"/>
    </row>
    <row r="227" spans="1:8" s="1035" customFormat="1" ht="14.25" customHeight="1" thickBot="1">
      <c r="A227" s="1047" t="s">
        <v>1391</v>
      </c>
      <c r="B227" s="1041" t="s">
        <v>1267</v>
      </c>
      <c r="C227" s="1041">
        <v>5550</v>
      </c>
      <c r="D227" s="1041">
        <v>5500</v>
      </c>
      <c r="E227" s="1041">
        <v>5780</v>
      </c>
      <c r="F227" s="1059">
        <v>940</v>
      </c>
      <c r="H227" s="1066"/>
    </row>
    <row r="228" spans="1:8" s="1035" customFormat="1" ht="14.25" customHeight="1" thickBot="1">
      <c r="A228" s="1047" t="s">
        <v>1391</v>
      </c>
      <c r="B228" s="1041" t="s">
        <v>1274</v>
      </c>
      <c r="C228" s="1041">
        <v>5460</v>
      </c>
      <c r="D228" s="1041">
        <v>5420</v>
      </c>
      <c r="E228" s="1041">
        <v>5690</v>
      </c>
      <c r="F228" s="1059">
        <v>910</v>
      </c>
      <c r="H228" s="1066"/>
    </row>
    <row r="229" spans="1:8" s="1035" customFormat="1" ht="14.25" customHeight="1" thickBot="1">
      <c r="A229" s="1047" t="s">
        <v>1391</v>
      </c>
      <c r="B229" s="1041" t="s">
        <v>1281</v>
      </c>
      <c r="C229" s="1041">
        <v>5310</v>
      </c>
      <c r="D229" s="1041">
        <v>5270</v>
      </c>
      <c r="E229" s="1041">
        <v>5510</v>
      </c>
      <c r="F229" s="1068"/>
      <c r="H229" s="1066"/>
    </row>
    <row r="230" spans="1:8" s="1035" customFormat="1" ht="14.25" customHeight="1" thickBot="1">
      <c r="A230" s="1047" t="s">
        <v>1391</v>
      </c>
      <c r="B230" s="1041" t="s">
        <v>1288</v>
      </c>
      <c r="C230" s="1041">
        <v>4540</v>
      </c>
      <c r="D230" s="1041">
        <v>4500</v>
      </c>
      <c r="E230" s="1041">
        <v>4730</v>
      </c>
      <c r="F230" s="1068"/>
      <c r="H230" s="1066"/>
    </row>
    <row r="231" spans="1:8" s="1035" customFormat="1" ht="14.25" customHeight="1" thickBot="1">
      <c r="A231" s="1047" t="s">
        <v>1391</v>
      </c>
      <c r="B231" s="1041" t="s">
        <v>1295</v>
      </c>
      <c r="C231" s="1041">
        <v>4480</v>
      </c>
      <c r="D231" s="1041">
        <v>4410</v>
      </c>
      <c r="E231" s="1041">
        <v>4640</v>
      </c>
      <c r="F231" s="1068"/>
      <c r="H231" s="1066"/>
    </row>
    <row r="232" spans="1:8" s="1035" customFormat="1" ht="14.25" customHeight="1" thickBot="1">
      <c r="A232" s="1047" t="s">
        <v>1391</v>
      </c>
      <c r="B232" s="1041" t="s">
        <v>1302</v>
      </c>
      <c r="C232" s="1041">
        <v>5670</v>
      </c>
      <c r="D232" s="1041">
        <v>5600</v>
      </c>
      <c r="E232" s="1041">
        <v>5890</v>
      </c>
      <c r="F232" s="1059">
        <v>1150</v>
      </c>
      <c r="H232" s="1066"/>
    </row>
    <row r="233" spans="1:8" s="1035" customFormat="1" ht="14.25" customHeight="1" thickBot="1">
      <c r="A233" s="1047" t="s">
        <v>1391</v>
      </c>
      <c r="B233" s="1041" t="s">
        <v>1309</v>
      </c>
      <c r="C233" s="1041">
        <v>4590</v>
      </c>
      <c r="D233" s="1041">
        <v>4500</v>
      </c>
      <c r="E233" s="1041">
        <v>4600</v>
      </c>
      <c r="F233" s="1068"/>
      <c r="H233" s="1066"/>
    </row>
    <row r="234" spans="1:8" s="1035" customFormat="1" ht="14.25" customHeight="1" thickBot="1">
      <c r="A234" s="1047" t="s">
        <v>1391</v>
      </c>
      <c r="B234" s="1041" t="s">
        <v>2209</v>
      </c>
      <c r="C234" s="1041">
        <v>3990</v>
      </c>
      <c r="D234" s="1041">
        <v>3950</v>
      </c>
      <c r="E234" s="1041">
        <v>4180</v>
      </c>
      <c r="F234" s="1068"/>
      <c r="H234" s="1066"/>
    </row>
    <row r="235" spans="1:8" s="1035" customFormat="1" ht="14.25" customHeight="1" thickBot="1">
      <c r="A235" s="1047" t="s">
        <v>1391</v>
      </c>
      <c r="B235" s="1041" t="s">
        <v>1318</v>
      </c>
      <c r="C235" s="1041">
        <v>5590</v>
      </c>
      <c r="D235" s="1041">
        <v>5540</v>
      </c>
      <c r="E235" s="1041">
        <v>5810</v>
      </c>
      <c r="F235" s="1059">
        <v>970</v>
      </c>
      <c r="H235" s="1066"/>
    </row>
    <row r="236" spans="1:8" s="1035" customFormat="1" ht="14.25" customHeight="1" thickBot="1">
      <c r="A236" s="1047" t="s">
        <v>1391</v>
      </c>
      <c r="B236" s="1041" t="s">
        <v>1323</v>
      </c>
      <c r="C236" s="1041"/>
      <c r="D236" s="1041"/>
      <c r="E236" s="1041"/>
      <c r="F236" s="1059">
        <v>1020</v>
      </c>
      <c r="H236" s="1066"/>
    </row>
    <row r="237" spans="1:8" s="1035" customFormat="1" ht="14.25" customHeight="1" thickBot="1">
      <c r="A237" s="1047" t="s">
        <v>1391</v>
      </c>
      <c r="B237" s="1041" t="s">
        <v>1328</v>
      </c>
      <c r="C237" s="1041"/>
      <c r="D237" s="1041"/>
      <c r="E237" s="1041"/>
      <c r="F237" s="1059">
        <v>960</v>
      </c>
      <c r="H237" s="1066"/>
    </row>
    <row r="238" spans="1:8" s="1035" customFormat="1" ht="14.25" customHeight="1" thickBot="1">
      <c r="A238" s="1047" t="s">
        <v>1391</v>
      </c>
      <c r="B238" s="1041" t="s">
        <v>1333</v>
      </c>
      <c r="C238" s="1041"/>
      <c r="D238" s="1041"/>
      <c r="E238" s="1041"/>
      <c r="F238" s="1059">
        <v>960</v>
      </c>
      <c r="H238" s="1066"/>
    </row>
    <row r="239" spans="1:8" s="1035" customFormat="1" ht="14.25" customHeight="1" thickBot="1">
      <c r="A239" s="1047" t="s">
        <v>1391</v>
      </c>
      <c r="B239" s="1041" t="s">
        <v>1338</v>
      </c>
      <c r="C239" s="1041"/>
      <c r="D239" s="1041"/>
      <c r="E239" s="1041"/>
      <c r="F239" s="1059">
        <v>960</v>
      </c>
      <c r="H239" s="1066"/>
    </row>
    <row r="240" spans="1:8" s="1035" customFormat="1" ht="14.25" customHeight="1" thickBot="1">
      <c r="A240" s="1047" t="s">
        <v>1391</v>
      </c>
      <c r="B240" s="1041" t="s">
        <v>1342</v>
      </c>
      <c r="C240" s="1041"/>
      <c r="D240" s="1041"/>
      <c r="E240" s="1041"/>
      <c r="F240" s="1059">
        <v>990</v>
      </c>
      <c r="H240" s="1066"/>
    </row>
    <row r="241" spans="1:8" s="1035" customFormat="1" ht="14.25" customHeight="1" thickBot="1">
      <c r="A241" s="1047" t="s">
        <v>1391</v>
      </c>
      <c r="B241" s="1041" t="s">
        <v>1346</v>
      </c>
      <c r="C241" s="1041"/>
      <c r="D241" s="1041"/>
      <c r="E241" s="1041"/>
      <c r="F241" s="1059">
        <v>1000</v>
      </c>
      <c r="H241" s="1066"/>
    </row>
    <row r="242" spans="1:8" s="1035" customFormat="1" ht="14.25" customHeight="1" thickBot="1">
      <c r="A242" s="1047" t="s">
        <v>1391</v>
      </c>
      <c r="B242" s="1041" t="s">
        <v>1350</v>
      </c>
      <c r="C242" s="1041"/>
      <c r="D242" s="1041"/>
      <c r="E242" s="1041"/>
      <c r="F242" s="1059">
        <v>980</v>
      </c>
      <c r="H242" s="1066"/>
    </row>
    <row r="243" spans="1:8" s="1035" customFormat="1" ht="14.25" customHeight="1" thickBot="1">
      <c r="A243" s="1047" t="s">
        <v>1391</v>
      </c>
      <c r="B243" s="1041" t="s">
        <v>1354</v>
      </c>
      <c r="C243" s="1041"/>
      <c r="D243" s="1041"/>
      <c r="E243" s="1041"/>
      <c r="F243" s="1059">
        <v>970</v>
      </c>
      <c r="H243" s="1066"/>
    </row>
    <row r="244" spans="1:8" s="1035" customFormat="1" ht="14.25" customHeight="1" thickBot="1">
      <c r="A244" s="1047" t="s">
        <v>1391</v>
      </c>
      <c r="B244" s="1057" t="s">
        <v>1358</v>
      </c>
      <c r="C244" s="1057"/>
      <c r="D244" s="1057"/>
      <c r="E244" s="1057"/>
      <c r="F244" s="1067">
        <v>970</v>
      </c>
      <c r="H244" s="1066"/>
    </row>
    <row r="245" spans="1:8" s="1035" customFormat="1" ht="14.25" customHeight="1" thickBot="1">
      <c r="A245" s="1047" t="s">
        <v>1393</v>
      </c>
      <c r="B245" s="1048" t="s">
        <v>1394</v>
      </c>
      <c r="C245" s="1048">
        <v>4050</v>
      </c>
      <c r="D245" s="1048">
        <v>4020</v>
      </c>
      <c r="E245" s="1048">
        <v>4160</v>
      </c>
      <c r="F245" s="1049">
        <v>840</v>
      </c>
      <c r="H245" s="1066"/>
    </row>
    <row r="246" spans="1:8" s="1035" customFormat="1" ht="14.25" customHeight="1" thickBot="1">
      <c r="A246" s="1047" t="s">
        <v>1393</v>
      </c>
      <c r="B246" s="1041" t="s">
        <v>1056</v>
      </c>
      <c r="C246" s="1041">
        <v>4010</v>
      </c>
      <c r="D246" s="1041">
        <v>3960</v>
      </c>
      <c r="E246" s="1041">
        <v>4130</v>
      </c>
      <c r="F246" s="1059">
        <v>840</v>
      </c>
      <c r="H246" s="1066"/>
    </row>
    <row r="247" spans="1:8" s="1035" customFormat="1" ht="14.25" customHeight="1" thickBot="1">
      <c r="A247" s="1047" t="s">
        <v>1393</v>
      </c>
      <c r="B247" s="1041" t="s">
        <v>1395</v>
      </c>
      <c r="C247" s="1041">
        <v>3170</v>
      </c>
      <c r="D247" s="1041">
        <v>3140</v>
      </c>
      <c r="E247" s="1041">
        <v>3270</v>
      </c>
      <c r="F247" s="1059">
        <v>640</v>
      </c>
      <c r="H247" s="1066"/>
    </row>
    <row r="248" spans="1:8" s="1035" customFormat="1" ht="14.25" customHeight="1" thickBot="1">
      <c r="A248" s="1047" t="s">
        <v>1393</v>
      </c>
      <c r="B248" s="1041" t="s">
        <v>1396</v>
      </c>
      <c r="C248" s="1041">
        <v>3140</v>
      </c>
      <c r="D248" s="1041">
        <v>3120</v>
      </c>
      <c r="E248" s="1041">
        <v>3240</v>
      </c>
      <c r="F248" s="1059">
        <v>620</v>
      </c>
      <c r="H248" s="1066"/>
    </row>
    <row r="249" spans="1:8" s="1035" customFormat="1" ht="14.25" customHeight="1" thickBot="1">
      <c r="A249" s="1047" t="s">
        <v>1393</v>
      </c>
      <c r="B249" s="1041" t="s">
        <v>1097</v>
      </c>
      <c r="C249" s="1041">
        <v>3200</v>
      </c>
      <c r="D249" s="1041">
        <v>3100</v>
      </c>
      <c r="E249" s="1041">
        <v>3230</v>
      </c>
      <c r="F249" s="1059">
        <v>750</v>
      </c>
      <c r="H249" s="1066"/>
    </row>
    <row r="250" spans="1:8" s="1035" customFormat="1" ht="14.25" customHeight="1" thickBot="1">
      <c r="A250" s="1047" t="s">
        <v>1393</v>
      </c>
      <c r="B250" s="1041" t="s">
        <v>1108</v>
      </c>
      <c r="C250" s="1041">
        <v>4060</v>
      </c>
      <c r="D250" s="1041">
        <v>4000</v>
      </c>
      <c r="E250" s="1041">
        <v>4140</v>
      </c>
      <c r="F250" s="1059">
        <v>790</v>
      </c>
      <c r="H250" s="1066"/>
    </row>
    <row r="251" spans="1:8" s="1035" customFormat="1" ht="14.25" customHeight="1" thickBot="1">
      <c r="A251" s="1047" t="s">
        <v>1393</v>
      </c>
      <c r="B251" s="1041" t="s">
        <v>1119</v>
      </c>
      <c r="C251" s="1041">
        <v>3990</v>
      </c>
      <c r="D251" s="1041">
        <v>3970</v>
      </c>
      <c r="E251" s="1041">
        <v>4110</v>
      </c>
      <c r="F251" s="1059">
        <v>730</v>
      </c>
      <c r="H251" s="1066"/>
    </row>
    <row r="252" spans="1:8" s="1035" customFormat="1" ht="14.25" customHeight="1" thickBot="1">
      <c r="A252" s="1047" t="s">
        <v>1393</v>
      </c>
      <c r="B252" s="1041" t="s">
        <v>1130</v>
      </c>
      <c r="C252" s="1041">
        <v>3560</v>
      </c>
      <c r="D252" s="1041">
        <v>3530</v>
      </c>
      <c r="E252" s="1041">
        <v>3650</v>
      </c>
      <c r="F252" s="1059">
        <v>750</v>
      </c>
      <c r="H252" s="1066"/>
    </row>
    <row r="253" spans="1:8" s="1035" customFormat="1" ht="14.25" customHeight="1" thickBot="1">
      <c r="A253" s="1047" t="s">
        <v>1393</v>
      </c>
      <c r="B253" s="1041" t="s">
        <v>1142</v>
      </c>
      <c r="C253" s="1041">
        <v>3780</v>
      </c>
      <c r="D253" s="1041">
        <v>3750</v>
      </c>
      <c r="E253" s="1041">
        <v>3870</v>
      </c>
      <c r="F253" s="1059">
        <v>770</v>
      </c>
      <c r="H253" s="1066"/>
    </row>
    <row r="254" spans="1:8" s="1035" customFormat="1" ht="14.25" customHeight="1" thickBot="1">
      <c r="A254" s="1047" t="s">
        <v>1393</v>
      </c>
      <c r="B254" s="1041" t="s">
        <v>1152</v>
      </c>
      <c r="C254" s="1069"/>
      <c r="D254" s="1069"/>
      <c r="E254" s="1069"/>
      <c r="F254" s="1059">
        <v>740</v>
      </c>
      <c r="H254" s="1066"/>
    </row>
    <row r="255" spans="1:8" s="1035" customFormat="1" ht="14.25" customHeight="1" thickBot="1">
      <c r="A255" s="1047" t="s">
        <v>1393</v>
      </c>
      <c r="B255" s="1041" t="s">
        <v>1162</v>
      </c>
      <c r="C255" s="1069"/>
      <c r="D255" s="1069"/>
      <c r="E255" s="1069"/>
      <c r="F255" s="1059">
        <v>760</v>
      </c>
      <c r="H255" s="1066"/>
    </row>
    <row r="256" spans="1:8" s="1035" customFormat="1" ht="14.25" customHeight="1" thickBot="1">
      <c r="A256" s="1047" t="s">
        <v>1393</v>
      </c>
      <c r="B256" s="1041" t="s">
        <v>1172</v>
      </c>
      <c r="C256" s="1041">
        <v>3760</v>
      </c>
      <c r="D256" s="1041">
        <v>3730</v>
      </c>
      <c r="E256" s="1041">
        <v>3870</v>
      </c>
      <c r="F256" s="1059">
        <v>830</v>
      </c>
      <c r="H256" s="1066"/>
    </row>
    <row r="257" spans="1:8" s="1035" customFormat="1" ht="14.25" customHeight="1" thickBot="1">
      <c r="A257" s="1047" t="s">
        <v>1393</v>
      </c>
      <c r="B257" s="1041" t="s">
        <v>1182</v>
      </c>
      <c r="C257" s="1041">
        <v>3570</v>
      </c>
      <c r="D257" s="1041">
        <v>3540</v>
      </c>
      <c r="E257" s="1041">
        <v>3650</v>
      </c>
      <c r="F257" s="1059">
        <v>790</v>
      </c>
      <c r="H257" s="1066"/>
    </row>
    <row r="258" spans="1:8" s="1035" customFormat="1" ht="14.25" customHeight="1" thickBot="1">
      <c r="A258" s="1047" t="s">
        <v>1393</v>
      </c>
      <c r="B258" s="1041" t="s">
        <v>1192</v>
      </c>
      <c r="C258" s="1041">
        <v>3410</v>
      </c>
      <c r="D258" s="1041">
        <v>3380</v>
      </c>
      <c r="E258" s="1041">
        <v>3500</v>
      </c>
      <c r="F258" s="1059">
        <v>830</v>
      </c>
      <c r="H258" s="1066"/>
    </row>
    <row r="259" spans="1:8" s="1035" customFormat="1" ht="14.25" customHeight="1" thickBot="1">
      <c r="A259" s="1047" t="s">
        <v>1393</v>
      </c>
      <c r="B259" s="1041" t="s">
        <v>1202</v>
      </c>
      <c r="C259" s="1041">
        <v>3870</v>
      </c>
      <c r="D259" s="1041">
        <v>3840</v>
      </c>
      <c r="E259" s="1041">
        <v>3970</v>
      </c>
      <c r="F259" s="1059">
        <v>830</v>
      </c>
      <c r="H259" s="1066"/>
    </row>
    <row r="260" spans="1:8" s="1035" customFormat="1" ht="14.25" customHeight="1" thickBot="1">
      <c r="A260" s="1047" t="s">
        <v>1393</v>
      </c>
      <c r="B260" s="1041" t="s">
        <v>1212</v>
      </c>
      <c r="C260" s="1041">
        <v>3700</v>
      </c>
      <c r="D260" s="1041">
        <v>3660</v>
      </c>
      <c r="E260" s="1041">
        <v>3810</v>
      </c>
      <c r="F260" s="1059">
        <v>790</v>
      </c>
      <c r="H260" s="1066"/>
    </row>
    <row r="261" spans="1:8" s="1035" customFormat="1" ht="14.25" customHeight="1" thickBot="1">
      <c r="A261" s="1047" t="s">
        <v>1393</v>
      </c>
      <c r="B261" s="1041" t="s">
        <v>1222</v>
      </c>
      <c r="C261" s="1041">
        <v>3470</v>
      </c>
      <c r="D261" s="1041">
        <v>3430</v>
      </c>
      <c r="E261" s="1041">
        <v>3640</v>
      </c>
      <c r="F261" s="1059">
        <v>760</v>
      </c>
      <c r="H261" s="1066"/>
    </row>
    <row r="262" spans="1:8" s="1035" customFormat="1" ht="14.25" customHeight="1" thickBot="1">
      <c r="A262" s="1047" t="s">
        <v>1393</v>
      </c>
      <c r="B262" s="1041" t="s">
        <v>1232</v>
      </c>
      <c r="C262" s="1041">
        <v>3510</v>
      </c>
      <c r="D262" s="1041">
        <v>3470</v>
      </c>
      <c r="E262" s="1041">
        <v>3680</v>
      </c>
      <c r="F262" s="1068"/>
      <c r="H262" s="1066"/>
    </row>
    <row r="263" spans="1:8" s="1035" customFormat="1" ht="14.25" customHeight="1" thickBot="1">
      <c r="A263" s="1047" t="s">
        <v>1393</v>
      </c>
      <c r="B263" s="1041" t="s">
        <v>1242</v>
      </c>
      <c r="C263" s="1041">
        <v>3960</v>
      </c>
      <c r="D263" s="1041">
        <v>3930</v>
      </c>
      <c r="E263" s="1041">
        <v>4070</v>
      </c>
      <c r="F263" s="1059">
        <v>830</v>
      </c>
      <c r="H263" s="1066"/>
    </row>
    <row r="264" spans="1:8" s="1035" customFormat="1" ht="14.25" customHeight="1" thickBot="1">
      <c r="A264" s="1047" t="s">
        <v>1393</v>
      </c>
      <c r="B264" s="1041" t="s">
        <v>1251</v>
      </c>
      <c r="C264" s="1041">
        <v>4010</v>
      </c>
      <c r="D264" s="1041">
        <v>3980</v>
      </c>
      <c r="E264" s="1041">
        <v>4150</v>
      </c>
      <c r="F264" s="1059">
        <v>760</v>
      </c>
      <c r="H264" s="1066"/>
    </row>
    <row r="265" spans="1:8" s="1035" customFormat="1" ht="14.25" customHeight="1" thickBot="1">
      <c r="A265" s="1047" t="s">
        <v>1393</v>
      </c>
      <c r="B265" s="1041" t="s">
        <v>1260</v>
      </c>
      <c r="C265" s="1041">
        <v>3910</v>
      </c>
      <c r="D265" s="1041">
        <v>3890</v>
      </c>
      <c r="E265" s="1041">
        <v>4040</v>
      </c>
      <c r="F265" s="1059">
        <v>780</v>
      </c>
      <c r="H265" s="1066"/>
    </row>
    <row r="266" spans="1:8" s="1035" customFormat="1" ht="14.25" customHeight="1" thickBot="1">
      <c r="A266" s="1047" t="s">
        <v>1393</v>
      </c>
      <c r="B266" s="1041" t="s">
        <v>1268</v>
      </c>
      <c r="C266" s="1041">
        <v>3930</v>
      </c>
      <c r="D266" s="1041">
        <v>3900</v>
      </c>
      <c r="E266" s="1041">
        <v>4080</v>
      </c>
      <c r="F266" s="1059">
        <v>770</v>
      </c>
      <c r="H266" s="1066"/>
    </row>
    <row r="267" spans="1:8" s="1035" customFormat="1" ht="14.25" customHeight="1" thickBot="1">
      <c r="A267" s="1047" t="s">
        <v>1393</v>
      </c>
      <c r="B267" s="1041" t="s">
        <v>1275</v>
      </c>
      <c r="C267" s="1041">
        <v>3800</v>
      </c>
      <c r="D267" s="1041">
        <v>3780</v>
      </c>
      <c r="E267" s="1041">
        <v>3930</v>
      </c>
      <c r="F267" s="1068"/>
      <c r="H267" s="1066"/>
    </row>
    <row r="268" spans="1:8" s="1035" customFormat="1" ht="14.25" customHeight="1" thickBot="1">
      <c r="A268" s="1047" t="s">
        <v>1393</v>
      </c>
      <c r="B268" s="1041" t="s">
        <v>1282</v>
      </c>
      <c r="C268" s="1041">
        <v>3460</v>
      </c>
      <c r="D268" s="1041">
        <v>3430</v>
      </c>
      <c r="E268" s="1041">
        <v>3560</v>
      </c>
      <c r="F268" s="1059">
        <v>840</v>
      </c>
      <c r="H268" s="1066"/>
    </row>
    <row r="269" spans="1:8" s="1035" customFormat="1" ht="14.25" customHeight="1" thickBot="1">
      <c r="A269" s="1047" t="s">
        <v>1393</v>
      </c>
      <c r="B269" s="1041" t="s">
        <v>1289</v>
      </c>
      <c r="C269" s="1041">
        <v>3210</v>
      </c>
      <c r="D269" s="1041">
        <v>3190</v>
      </c>
      <c r="E269" s="1041">
        <v>3310</v>
      </c>
      <c r="F269" s="1059">
        <v>730</v>
      </c>
      <c r="H269" s="1066"/>
    </row>
    <row r="270" spans="1:8" s="1035" customFormat="1" ht="14.25" customHeight="1" thickBot="1">
      <c r="A270" s="1047" t="s">
        <v>1393</v>
      </c>
      <c r="B270" s="1041" t="s">
        <v>1296</v>
      </c>
      <c r="C270" s="1041">
        <v>3240</v>
      </c>
      <c r="D270" s="1041">
        <v>3210</v>
      </c>
      <c r="E270" s="1041">
        <v>3390</v>
      </c>
      <c r="F270" s="1059">
        <v>820</v>
      </c>
      <c r="H270" s="1066"/>
    </row>
    <row r="271" spans="1:8" s="1035" customFormat="1" ht="14.25" customHeight="1" thickBot="1">
      <c r="A271" s="1047" t="s">
        <v>1393</v>
      </c>
      <c r="B271" s="1041" t="s">
        <v>1303</v>
      </c>
      <c r="C271" s="1041">
        <v>3300</v>
      </c>
      <c r="D271" s="1041">
        <v>3270</v>
      </c>
      <c r="E271" s="1041">
        <v>3380</v>
      </c>
      <c r="F271" s="1059">
        <v>750</v>
      </c>
      <c r="H271" s="1066"/>
    </row>
    <row r="272" spans="1:8" s="1035" customFormat="1" ht="14.25" customHeight="1" thickBot="1">
      <c r="A272" s="1047" t="s">
        <v>1393</v>
      </c>
      <c r="B272" s="1041" t="s">
        <v>1310</v>
      </c>
      <c r="C272" s="1069"/>
      <c r="D272" s="1069"/>
      <c r="E272" s="1069"/>
      <c r="F272" s="1059">
        <v>740</v>
      </c>
      <c r="H272" s="1066"/>
    </row>
    <row r="273" spans="1:8" s="1035" customFormat="1" ht="14.25" customHeight="1" thickBot="1">
      <c r="A273" s="1047" t="s">
        <v>1393</v>
      </c>
      <c r="B273" s="1041" t="s">
        <v>1314</v>
      </c>
      <c r="C273" s="1041">
        <v>3130</v>
      </c>
      <c r="D273" s="1041">
        <v>3100</v>
      </c>
      <c r="E273" s="1041">
        <v>3230</v>
      </c>
      <c r="F273" s="1059">
        <v>700</v>
      </c>
      <c r="H273" s="1066"/>
    </row>
    <row r="274" spans="1:8" s="1035" customFormat="1" ht="14.25" customHeight="1" thickBot="1">
      <c r="A274" s="1047" t="s">
        <v>1393</v>
      </c>
      <c r="B274" s="1041" t="s">
        <v>1319</v>
      </c>
      <c r="C274" s="1041">
        <v>3460</v>
      </c>
      <c r="D274" s="1041">
        <v>3430</v>
      </c>
      <c r="E274" s="1041">
        <v>3560</v>
      </c>
      <c r="F274" s="1059">
        <v>690</v>
      </c>
      <c r="H274" s="1066"/>
    </row>
    <row r="275" spans="1:8" s="1035" customFormat="1" ht="14.25" customHeight="1" thickBot="1">
      <c r="A275" s="1047" t="s">
        <v>1393</v>
      </c>
      <c r="B275" s="1041" t="s">
        <v>1324</v>
      </c>
      <c r="C275" s="1041">
        <v>4040</v>
      </c>
      <c r="D275" s="1041">
        <v>4020</v>
      </c>
      <c r="E275" s="1041">
        <v>4160</v>
      </c>
      <c r="F275" s="1059">
        <v>820</v>
      </c>
      <c r="H275" s="1066"/>
    </row>
    <row r="276" spans="1:8" s="1035" customFormat="1" ht="14.25" customHeight="1" thickBot="1">
      <c r="A276" s="1047" t="s">
        <v>1393</v>
      </c>
      <c r="B276" s="1041" t="s">
        <v>1329</v>
      </c>
      <c r="C276" s="1041">
        <v>3270</v>
      </c>
      <c r="D276" s="1041">
        <v>3240</v>
      </c>
      <c r="E276" s="1041">
        <v>3350</v>
      </c>
      <c r="F276" s="1059">
        <v>680</v>
      </c>
      <c r="H276" s="1066"/>
    </row>
    <row r="277" spans="1:8" s="1035" customFormat="1" ht="14.25" customHeight="1" thickBot="1">
      <c r="A277" s="1047" t="s">
        <v>1393</v>
      </c>
      <c r="B277" s="1041" t="s">
        <v>1334</v>
      </c>
      <c r="C277" s="1041">
        <v>2930</v>
      </c>
      <c r="D277" s="1041">
        <v>2900</v>
      </c>
      <c r="E277" s="1041">
        <v>3000</v>
      </c>
      <c r="F277" s="1059">
        <v>640</v>
      </c>
      <c r="H277" s="1066"/>
    </row>
    <row r="278" spans="1:8" s="1035" customFormat="1" ht="14.25" customHeight="1" thickBot="1">
      <c r="A278" s="1047" t="s">
        <v>1393</v>
      </c>
      <c r="B278" s="1041" t="s">
        <v>1339</v>
      </c>
      <c r="C278" s="1041">
        <v>4080</v>
      </c>
      <c r="D278" s="1041">
        <v>4030</v>
      </c>
      <c r="E278" s="1041">
        <v>4140</v>
      </c>
      <c r="F278" s="1059">
        <v>850</v>
      </c>
      <c r="H278" s="1066"/>
    </row>
    <row r="279" spans="1:8" s="1035" customFormat="1" ht="14.25" customHeight="1" thickBot="1">
      <c r="A279" s="1047" t="s">
        <v>1393</v>
      </c>
      <c r="B279" s="1041" t="s">
        <v>1343</v>
      </c>
      <c r="C279" s="1041"/>
      <c r="D279" s="1041"/>
      <c r="E279" s="1041"/>
      <c r="F279" s="1059">
        <v>760</v>
      </c>
      <c r="H279" s="1066"/>
    </row>
    <row r="280" spans="1:8" s="1035" customFormat="1" ht="14.25" customHeight="1" thickBot="1">
      <c r="A280" s="1047" t="s">
        <v>1393</v>
      </c>
      <c r="B280" s="1041" t="s">
        <v>1347</v>
      </c>
      <c r="C280" s="1041"/>
      <c r="D280" s="1041"/>
      <c r="E280" s="1041"/>
      <c r="F280" s="1059">
        <v>760</v>
      </c>
      <c r="H280" s="1066"/>
    </row>
    <row r="281" spans="1:8" s="1035" customFormat="1" ht="14.25" customHeight="1" thickBot="1">
      <c r="A281" s="1047" t="s">
        <v>1393</v>
      </c>
      <c r="B281" s="1041" t="s">
        <v>1351</v>
      </c>
      <c r="C281" s="1041"/>
      <c r="D281" s="1041"/>
      <c r="E281" s="1041"/>
      <c r="F281" s="1059">
        <v>780</v>
      </c>
      <c r="H281" s="1066"/>
    </row>
    <row r="282" spans="1:8" s="1035" customFormat="1" ht="14.25" customHeight="1" thickBot="1">
      <c r="A282" s="1047" t="s">
        <v>1393</v>
      </c>
      <c r="B282" s="1041" t="s">
        <v>1355</v>
      </c>
      <c r="C282" s="1041"/>
      <c r="D282" s="1041"/>
      <c r="E282" s="1041"/>
      <c r="F282" s="1059">
        <v>730</v>
      </c>
      <c r="H282" s="1066"/>
    </row>
    <row r="283" spans="1:8" s="1035" customFormat="1" ht="14.25" customHeight="1" thickBot="1">
      <c r="A283" s="1047" t="s">
        <v>1393</v>
      </c>
      <c r="B283" s="1041" t="s">
        <v>1359</v>
      </c>
      <c r="C283" s="1041"/>
      <c r="D283" s="1041"/>
      <c r="E283" s="1041"/>
      <c r="F283" s="1059">
        <v>770</v>
      </c>
      <c r="H283" s="1066"/>
    </row>
    <row r="284" spans="1:8" s="1035" customFormat="1" ht="14.25" customHeight="1" thickBot="1">
      <c r="A284" s="1047" t="s">
        <v>1393</v>
      </c>
      <c r="B284" s="1041" t="s">
        <v>1362</v>
      </c>
      <c r="C284" s="1041"/>
      <c r="D284" s="1041"/>
      <c r="E284" s="1041"/>
      <c r="F284" s="1059">
        <v>640</v>
      </c>
      <c r="H284" s="1066"/>
    </row>
    <row r="285" spans="1:8" s="1035" customFormat="1" ht="14.25" customHeight="1" thickBot="1">
      <c r="A285" s="1047" t="s">
        <v>1393</v>
      </c>
      <c r="B285" s="1041" t="s">
        <v>1365</v>
      </c>
      <c r="C285" s="1041"/>
      <c r="D285" s="1041"/>
      <c r="E285" s="1041"/>
      <c r="F285" s="1059">
        <v>640</v>
      </c>
      <c r="H285" s="1066"/>
    </row>
    <row r="286" spans="1:8" s="1035" customFormat="1" ht="14.25" customHeight="1" thickBot="1">
      <c r="A286" s="1047" t="s">
        <v>1393</v>
      </c>
      <c r="B286" s="1041" t="s">
        <v>1368</v>
      </c>
      <c r="C286" s="1041"/>
      <c r="D286" s="1041"/>
      <c r="E286" s="1041"/>
      <c r="F286" s="1059">
        <v>850</v>
      </c>
      <c r="H286" s="1066"/>
    </row>
    <row r="287" spans="1:8" s="1035" customFormat="1" ht="14.25" customHeight="1" thickBot="1">
      <c r="A287" s="1047" t="s">
        <v>1393</v>
      </c>
      <c r="B287" s="1041" t="s">
        <v>1371</v>
      </c>
      <c r="C287" s="1041"/>
      <c r="D287" s="1041"/>
      <c r="E287" s="1041"/>
      <c r="F287" s="1059">
        <v>760</v>
      </c>
      <c r="H287" s="1066"/>
    </row>
    <row r="288" spans="1:8" s="1035" customFormat="1" ht="14.25" customHeight="1" thickBot="1">
      <c r="A288" s="1047" t="s">
        <v>1393</v>
      </c>
      <c r="B288" s="1041" t="s">
        <v>1374</v>
      </c>
      <c r="C288" s="1041"/>
      <c r="D288" s="1041"/>
      <c r="E288" s="1041"/>
      <c r="F288" s="1059">
        <v>830</v>
      </c>
      <c r="H288" s="1066"/>
    </row>
    <row r="289" spans="1:8" s="1035" customFormat="1" ht="14.25" customHeight="1" thickBot="1">
      <c r="A289" s="1047" t="s">
        <v>1393</v>
      </c>
      <c r="B289" s="1057" t="s">
        <v>1377</v>
      </c>
      <c r="C289" s="1057"/>
      <c r="D289" s="1057"/>
      <c r="E289" s="1057"/>
      <c r="F289" s="1067">
        <v>680</v>
      </c>
      <c r="H289" s="1066"/>
    </row>
    <row r="290" spans="1:8" s="1035" customFormat="1" ht="14.25" customHeight="1" thickBot="1">
      <c r="A290" s="1047" t="s">
        <v>1397</v>
      </c>
      <c r="B290" s="1048" t="s">
        <v>1398</v>
      </c>
      <c r="C290" s="1048">
        <v>2770</v>
      </c>
      <c r="D290" s="1048">
        <v>2740</v>
      </c>
      <c r="E290" s="1048">
        <v>2720</v>
      </c>
      <c r="F290" s="1070"/>
      <c r="H290" s="1066"/>
    </row>
    <row r="291" spans="1:8" s="1035" customFormat="1" ht="14.25" customHeight="1" thickBot="1">
      <c r="A291" s="1047" t="s">
        <v>1397</v>
      </c>
      <c r="B291" s="1041" t="s">
        <v>1057</v>
      </c>
      <c r="C291" s="1041">
        <v>2670</v>
      </c>
      <c r="D291" s="1041">
        <v>2640</v>
      </c>
      <c r="E291" s="1041">
        <v>2620</v>
      </c>
      <c r="F291" s="1068"/>
      <c r="H291" s="1066"/>
    </row>
    <row r="292" spans="1:8" s="1035" customFormat="1" ht="14.25" customHeight="1" thickBot="1">
      <c r="A292" s="1047" t="s">
        <v>1397</v>
      </c>
      <c r="B292" s="1041" t="s">
        <v>1399</v>
      </c>
      <c r="C292" s="1041">
        <v>2180</v>
      </c>
      <c r="D292" s="1041">
        <v>2140</v>
      </c>
      <c r="E292" s="1041">
        <v>2120</v>
      </c>
      <c r="F292" s="1059">
        <v>490</v>
      </c>
      <c r="H292" s="1066"/>
    </row>
    <row r="293" spans="1:8" s="1035" customFormat="1" ht="14.25" customHeight="1" thickBot="1">
      <c r="A293" s="1047" t="s">
        <v>1397</v>
      </c>
      <c r="B293" s="1041" t="s">
        <v>1400</v>
      </c>
      <c r="C293" s="1041"/>
      <c r="D293" s="1041"/>
      <c r="E293" s="1041"/>
      <c r="F293" s="1059">
        <v>470</v>
      </c>
      <c r="H293" s="1066"/>
    </row>
    <row r="294" spans="1:8" s="1035" customFormat="1" ht="14.25" customHeight="1" thickBot="1">
      <c r="A294" s="1047" t="s">
        <v>1397</v>
      </c>
      <c r="B294" s="1041" t="s">
        <v>1401</v>
      </c>
      <c r="C294" s="1041">
        <v>2730</v>
      </c>
      <c r="D294" s="1041">
        <v>2700</v>
      </c>
      <c r="E294" s="1041">
        <v>2680</v>
      </c>
      <c r="F294" s="1059">
        <v>490</v>
      </c>
      <c r="H294" s="1066"/>
    </row>
    <row r="295" spans="1:8" s="1035" customFormat="1" ht="14.25" customHeight="1" thickBot="1">
      <c r="A295" s="1047" t="s">
        <v>1397</v>
      </c>
      <c r="B295" s="1041" t="s">
        <v>1098</v>
      </c>
      <c r="C295" s="1041">
        <v>2380</v>
      </c>
      <c r="D295" s="1041">
        <v>2350</v>
      </c>
      <c r="E295" s="1041">
        <v>2330</v>
      </c>
      <c r="F295" s="1059">
        <v>530</v>
      </c>
      <c r="H295" s="1066"/>
    </row>
    <row r="296" spans="1:8" s="1035" customFormat="1" ht="14.25" customHeight="1" thickBot="1">
      <c r="A296" s="1047" t="s">
        <v>1397</v>
      </c>
      <c r="B296" s="1041" t="s">
        <v>1109</v>
      </c>
      <c r="C296" s="1041">
        <v>2650</v>
      </c>
      <c r="D296" s="1041">
        <v>2620</v>
      </c>
      <c r="E296" s="1041">
        <v>2590</v>
      </c>
      <c r="F296" s="1059">
        <v>590</v>
      </c>
      <c r="H296" s="1066"/>
    </row>
    <row r="297" spans="1:8" s="1035" customFormat="1" ht="14.25" customHeight="1" thickBot="1">
      <c r="A297" s="1047" t="s">
        <v>1397</v>
      </c>
      <c r="B297" s="1041" t="s">
        <v>1120</v>
      </c>
      <c r="C297" s="1041">
        <v>2700</v>
      </c>
      <c r="D297" s="1041">
        <v>2670</v>
      </c>
      <c r="E297" s="1041">
        <v>2650</v>
      </c>
      <c r="F297" s="1059">
        <v>630</v>
      </c>
      <c r="H297" s="1066"/>
    </row>
    <row r="298" spans="1:8" s="1035" customFormat="1" ht="14.25" customHeight="1" thickBot="1">
      <c r="A298" s="1047" t="s">
        <v>1397</v>
      </c>
      <c r="B298" s="1041" t="s">
        <v>1131</v>
      </c>
      <c r="C298" s="1041">
        <v>2650</v>
      </c>
      <c r="D298" s="1041">
        <v>2620</v>
      </c>
      <c r="E298" s="1041">
        <v>2590</v>
      </c>
      <c r="F298" s="1059">
        <v>640</v>
      </c>
      <c r="H298" s="1066"/>
    </row>
    <row r="299" spans="1:8" s="1035" customFormat="1" ht="14.25" customHeight="1" thickBot="1">
      <c r="A299" s="1047" t="s">
        <v>1397</v>
      </c>
      <c r="B299" s="1041" t="s">
        <v>1143</v>
      </c>
      <c r="C299" s="1041">
        <v>2500</v>
      </c>
      <c r="D299" s="1041">
        <v>2480</v>
      </c>
      <c r="E299" s="1041">
        <v>2460</v>
      </c>
      <c r="F299" s="1068"/>
      <c r="H299" s="1066"/>
    </row>
    <row r="300" spans="1:8" s="1035" customFormat="1" ht="14.25" customHeight="1" thickBot="1">
      <c r="A300" s="1047" t="s">
        <v>1397</v>
      </c>
      <c r="B300" s="1041" t="s">
        <v>1153</v>
      </c>
      <c r="C300" s="1041">
        <v>2760</v>
      </c>
      <c r="D300" s="1041">
        <v>2730</v>
      </c>
      <c r="E300" s="1041">
        <v>2700</v>
      </c>
      <c r="F300" s="1059">
        <v>630</v>
      </c>
      <c r="H300" s="1066"/>
    </row>
    <row r="301" spans="1:8" s="1035" customFormat="1" ht="14.25" customHeight="1" thickBot="1">
      <c r="A301" s="1047" t="s">
        <v>1397</v>
      </c>
      <c r="B301" s="1041" t="s">
        <v>1163</v>
      </c>
      <c r="C301" s="1041">
        <v>2510</v>
      </c>
      <c r="D301" s="1041">
        <v>2480</v>
      </c>
      <c r="E301" s="1041">
        <v>2460</v>
      </c>
      <c r="F301" s="1068"/>
      <c r="H301" s="1066"/>
    </row>
    <row r="302" spans="1:8" s="1035" customFormat="1" ht="14.25" customHeight="1" thickBot="1">
      <c r="A302" s="1047" t="s">
        <v>1397</v>
      </c>
      <c r="B302" s="1041" t="s">
        <v>1173</v>
      </c>
      <c r="C302" s="1041">
        <v>2480</v>
      </c>
      <c r="D302" s="1041">
        <v>2450</v>
      </c>
      <c r="E302" s="1041">
        <v>2420</v>
      </c>
      <c r="F302" s="1059">
        <v>600</v>
      </c>
      <c r="H302" s="1066"/>
    </row>
    <row r="303" spans="1:8" s="1035" customFormat="1" ht="14.25" customHeight="1" thickBot="1">
      <c r="A303" s="1047" t="s">
        <v>1397</v>
      </c>
      <c r="B303" s="1041" t="s">
        <v>1183</v>
      </c>
      <c r="C303" s="1041">
        <v>2270</v>
      </c>
      <c r="D303" s="1041">
        <v>2240</v>
      </c>
      <c r="E303" s="1041">
        <v>2210</v>
      </c>
      <c r="F303" s="1059">
        <v>540</v>
      </c>
      <c r="H303" s="1066"/>
    </row>
    <row r="304" spans="1:8" s="1035" customFormat="1" ht="14.25" customHeight="1" thickBot="1">
      <c r="A304" s="1047" t="s">
        <v>1397</v>
      </c>
      <c r="B304" s="1041" t="s">
        <v>1193</v>
      </c>
      <c r="C304" s="1041">
        <v>2310</v>
      </c>
      <c r="D304" s="1041">
        <v>2290</v>
      </c>
      <c r="E304" s="1041">
        <v>2270</v>
      </c>
      <c r="F304" s="1068"/>
      <c r="H304" s="1066"/>
    </row>
    <row r="305" spans="1:8" s="1035" customFormat="1" ht="14.25" customHeight="1" thickBot="1">
      <c r="A305" s="1047" t="s">
        <v>1397</v>
      </c>
      <c r="B305" s="1041" t="s">
        <v>1203</v>
      </c>
      <c r="C305" s="1041">
        <v>2490</v>
      </c>
      <c r="D305" s="1041">
        <v>2470</v>
      </c>
      <c r="E305" s="1041">
        <v>2440</v>
      </c>
      <c r="F305" s="1059">
        <v>560</v>
      </c>
      <c r="H305" s="1066"/>
    </row>
    <row r="306" spans="1:8" s="1035" customFormat="1" ht="14.25" customHeight="1" thickBot="1">
      <c r="A306" s="1047" t="s">
        <v>1397</v>
      </c>
      <c r="B306" s="1041" t="s">
        <v>1213</v>
      </c>
      <c r="C306" s="1041">
        <v>2420</v>
      </c>
      <c r="D306" s="1041">
        <v>2400</v>
      </c>
      <c r="E306" s="1041">
        <v>2380</v>
      </c>
      <c r="F306" s="1068"/>
      <c r="H306" s="1066"/>
    </row>
    <row r="307" spans="1:8" s="1035" customFormat="1" ht="14.25" customHeight="1" thickBot="1">
      <c r="A307" s="1047" t="s">
        <v>1397</v>
      </c>
      <c r="B307" s="1041" t="s">
        <v>1223</v>
      </c>
      <c r="C307" s="1041">
        <v>2770</v>
      </c>
      <c r="D307" s="1041">
        <v>2740</v>
      </c>
      <c r="E307" s="1041">
        <v>2710</v>
      </c>
      <c r="F307" s="1059">
        <v>650</v>
      </c>
      <c r="H307" s="1066"/>
    </row>
    <row r="308" spans="1:8" s="1035" customFormat="1" ht="14.25" customHeight="1" thickBot="1">
      <c r="A308" s="1047" t="s">
        <v>1397</v>
      </c>
      <c r="B308" s="1041" t="s">
        <v>1233</v>
      </c>
      <c r="C308" s="1041">
        <v>2610</v>
      </c>
      <c r="D308" s="1041">
        <v>2580</v>
      </c>
      <c r="E308" s="1041">
        <v>2550</v>
      </c>
      <c r="F308" s="1059">
        <v>580</v>
      </c>
      <c r="H308" s="1066"/>
    </row>
    <row r="309" spans="1:8" s="1035" customFormat="1" ht="14.25" customHeight="1" thickBot="1">
      <c r="A309" s="1047" t="s">
        <v>1397</v>
      </c>
      <c r="B309" s="1041" t="s">
        <v>1243</v>
      </c>
      <c r="C309" s="1041">
        <v>2690</v>
      </c>
      <c r="D309" s="1041">
        <v>2670</v>
      </c>
      <c r="E309" s="1041">
        <v>2650</v>
      </c>
      <c r="F309" s="1068"/>
      <c r="H309" s="1066"/>
    </row>
    <row r="310" spans="1:8" s="1035" customFormat="1" ht="14.25" customHeight="1" thickBot="1">
      <c r="A310" s="1047" t="s">
        <v>1397</v>
      </c>
      <c r="B310" s="1041" t="s">
        <v>1252</v>
      </c>
      <c r="C310" s="1041">
        <v>2360</v>
      </c>
      <c r="D310" s="1041">
        <v>2330</v>
      </c>
      <c r="E310" s="1041">
        <v>2310</v>
      </c>
      <c r="F310" s="1059">
        <v>560</v>
      </c>
      <c r="H310" s="1066"/>
    </row>
    <row r="311" spans="1:8" s="1035" customFormat="1" ht="14.25" customHeight="1" thickBot="1">
      <c r="A311" s="1047" t="s">
        <v>1397</v>
      </c>
      <c r="B311" s="1041" t="s">
        <v>1261</v>
      </c>
      <c r="C311" s="1041">
        <v>1970</v>
      </c>
      <c r="D311" s="1041">
        <v>1950</v>
      </c>
      <c r="E311" s="1041">
        <v>1920</v>
      </c>
      <c r="F311" s="1059">
        <v>470</v>
      </c>
      <c r="H311" s="1066"/>
    </row>
    <row r="312" spans="1:8" s="1035" customFormat="1" ht="14.25" customHeight="1" thickBot="1">
      <c r="A312" s="1047" t="s">
        <v>1397</v>
      </c>
      <c r="B312" s="1041" t="s">
        <v>1269</v>
      </c>
      <c r="C312" s="1041">
        <v>2230</v>
      </c>
      <c r="D312" s="1041">
        <v>2200</v>
      </c>
      <c r="E312" s="1041">
        <v>2170</v>
      </c>
      <c r="F312" s="1059">
        <v>460</v>
      </c>
      <c r="H312" s="1066"/>
    </row>
    <row r="313" spans="1:8" s="1035" customFormat="1" ht="14.25" customHeight="1" thickBot="1">
      <c r="A313" s="1047" t="s">
        <v>1397</v>
      </c>
      <c r="B313" s="1041" t="s">
        <v>1276</v>
      </c>
      <c r="C313" s="1041">
        <v>2770</v>
      </c>
      <c r="D313" s="1041">
        <v>2740</v>
      </c>
      <c r="E313" s="1041">
        <v>2710</v>
      </c>
      <c r="F313" s="1059">
        <v>610</v>
      </c>
      <c r="H313" s="1066"/>
    </row>
    <row r="314" spans="1:8" s="1035" customFormat="1" ht="14.25" customHeight="1" thickBot="1">
      <c r="A314" s="1047" t="s">
        <v>1397</v>
      </c>
      <c r="B314" s="1041" t="s">
        <v>1283</v>
      </c>
      <c r="C314" s="1041"/>
      <c r="D314" s="1041"/>
      <c r="E314" s="1041"/>
      <c r="F314" s="1059">
        <v>490</v>
      </c>
      <c r="H314" s="1066"/>
    </row>
    <row r="315" spans="1:8" s="1035" customFormat="1" ht="14.25" customHeight="1" thickBot="1">
      <c r="A315" s="1047" t="s">
        <v>1397</v>
      </c>
      <c r="B315" s="1041" t="s">
        <v>1290</v>
      </c>
      <c r="C315" s="1041"/>
      <c r="D315" s="1041"/>
      <c r="E315" s="1041"/>
      <c r="F315" s="1059">
        <v>520</v>
      </c>
      <c r="H315" s="1066"/>
    </row>
    <row r="316" spans="1:8" s="1035" customFormat="1" ht="14.25" customHeight="1" thickBot="1">
      <c r="A316" s="1047" t="s">
        <v>1397</v>
      </c>
      <c r="B316" s="1057" t="s">
        <v>1297</v>
      </c>
      <c r="C316" s="1057"/>
      <c r="D316" s="1057"/>
      <c r="E316" s="1057"/>
      <c r="F316" s="1067">
        <v>460</v>
      </c>
      <c r="H316" s="1066"/>
    </row>
    <row r="317" spans="1:8" s="1035" customFormat="1" ht="14.25" customHeight="1" thickBot="1">
      <c r="A317" s="1047" t="s">
        <v>896</v>
      </c>
      <c r="B317" s="1048" t="s">
        <v>1402</v>
      </c>
      <c r="C317" s="1048">
        <v>1200</v>
      </c>
      <c r="D317" s="1048">
        <v>1180</v>
      </c>
      <c r="E317" s="1048">
        <v>1160</v>
      </c>
      <c r="F317" s="1049">
        <v>370</v>
      </c>
      <c r="H317" s="1032"/>
    </row>
    <row r="318" spans="1:8" s="1035" customFormat="1" ht="14.25" customHeight="1" thickBot="1">
      <c r="A318" s="1047" t="s">
        <v>896</v>
      </c>
      <c r="B318" s="1041" t="s">
        <v>1403</v>
      </c>
      <c r="C318" s="1041">
        <v>1090</v>
      </c>
      <c r="D318" s="1041">
        <v>1060</v>
      </c>
      <c r="E318" s="1041">
        <v>1040</v>
      </c>
      <c r="F318" s="1068"/>
      <c r="H318" s="1032"/>
    </row>
    <row r="319" spans="1:8" s="1035" customFormat="1" ht="14.25" customHeight="1" thickBot="1">
      <c r="A319" s="1047" t="s">
        <v>896</v>
      </c>
      <c r="B319" s="1041" t="s">
        <v>1404</v>
      </c>
      <c r="C319" s="1041">
        <v>1520</v>
      </c>
      <c r="D319" s="1041">
        <v>1470</v>
      </c>
      <c r="E319" s="1041">
        <v>1440</v>
      </c>
      <c r="F319" s="1059">
        <v>370</v>
      </c>
      <c r="H319" s="1032"/>
    </row>
    <row r="320" spans="1:8" s="1035" customFormat="1" ht="14.25" customHeight="1" thickBot="1">
      <c r="A320" s="1047" t="s">
        <v>896</v>
      </c>
      <c r="B320" s="1041" t="s">
        <v>1085</v>
      </c>
      <c r="C320" s="1041">
        <v>1360</v>
      </c>
      <c r="D320" s="1041">
        <v>1300</v>
      </c>
      <c r="E320" s="1041">
        <v>1270</v>
      </c>
      <c r="F320" s="1068"/>
      <c r="H320" s="1032"/>
    </row>
    <row r="321" spans="1:8" s="1035" customFormat="1" ht="14.25" customHeight="1" thickBot="1">
      <c r="A321" s="1047" t="s">
        <v>896</v>
      </c>
      <c r="B321" s="1041" t="s">
        <v>1099</v>
      </c>
      <c r="C321" s="1041">
        <v>1750</v>
      </c>
      <c r="D321" s="1041">
        <v>1690</v>
      </c>
      <c r="E321" s="1041">
        <v>1660</v>
      </c>
      <c r="F321" s="1068"/>
      <c r="H321" s="1032"/>
    </row>
    <row r="322" spans="1:8" s="1035" customFormat="1" ht="14.25" customHeight="1" thickBot="1">
      <c r="A322" s="1047" t="s">
        <v>896</v>
      </c>
      <c r="B322" s="1041" t="s">
        <v>1110</v>
      </c>
      <c r="C322" s="1041">
        <v>1650</v>
      </c>
      <c r="D322" s="1041">
        <v>1610</v>
      </c>
      <c r="E322" s="1041">
        <v>1580</v>
      </c>
      <c r="F322" s="1059">
        <v>500</v>
      </c>
      <c r="H322" s="1032"/>
    </row>
    <row r="323" spans="1:8" s="1035" customFormat="1" ht="14.25" customHeight="1" thickBot="1">
      <c r="A323" s="1047" t="s">
        <v>896</v>
      </c>
      <c r="B323" s="1041" t="s">
        <v>1121</v>
      </c>
      <c r="C323" s="1041">
        <v>1780</v>
      </c>
      <c r="D323" s="1041">
        <v>1740</v>
      </c>
      <c r="E323" s="1041">
        <v>1720</v>
      </c>
      <c r="F323" s="1068"/>
      <c r="H323" s="1032"/>
    </row>
    <row r="324" spans="1:8" s="1035" customFormat="1" ht="14.25" customHeight="1" thickBot="1">
      <c r="A324" s="1047" t="s">
        <v>896</v>
      </c>
      <c r="B324" s="1041" t="s">
        <v>1132</v>
      </c>
      <c r="C324" s="1041">
        <v>1650</v>
      </c>
      <c r="D324" s="1041">
        <v>1610</v>
      </c>
      <c r="E324" s="1041">
        <v>1580</v>
      </c>
      <c r="F324" s="1068"/>
      <c r="H324" s="1032"/>
    </row>
    <row r="325" spans="1:8" s="1035" customFormat="1" ht="14.25" customHeight="1" thickBot="1">
      <c r="A325" s="1047" t="s">
        <v>896</v>
      </c>
      <c r="B325" s="1041" t="s">
        <v>1144</v>
      </c>
      <c r="C325" s="1041">
        <v>1330</v>
      </c>
      <c r="D325" s="1041">
        <v>1270</v>
      </c>
      <c r="E325" s="1041">
        <v>1240</v>
      </c>
      <c r="F325" s="1059">
        <v>430</v>
      </c>
      <c r="H325" s="1032"/>
    </row>
    <row r="326" spans="1:8" s="1035" customFormat="1" ht="14.25" customHeight="1" thickBot="1">
      <c r="A326" s="1047" t="s">
        <v>896</v>
      </c>
      <c r="B326" s="1041" t="s">
        <v>1154</v>
      </c>
      <c r="C326" s="1041">
        <v>1470</v>
      </c>
      <c r="D326" s="1041">
        <v>1430</v>
      </c>
      <c r="E326" s="1041">
        <v>1400</v>
      </c>
      <c r="F326" s="1068"/>
      <c r="H326" s="1032"/>
    </row>
    <row r="327" spans="1:8" s="1035" customFormat="1" ht="14.25" customHeight="1" thickBot="1">
      <c r="A327" s="1047" t="s">
        <v>896</v>
      </c>
      <c r="B327" s="1041" t="s">
        <v>1164</v>
      </c>
      <c r="C327" s="1041">
        <v>1420</v>
      </c>
      <c r="D327" s="1041">
        <v>1380</v>
      </c>
      <c r="E327" s="1041">
        <v>1360</v>
      </c>
      <c r="F327" s="1059">
        <v>420</v>
      </c>
      <c r="H327" s="1032"/>
    </row>
    <row r="328" spans="1:8" s="1035" customFormat="1" ht="14.25" customHeight="1" thickBot="1">
      <c r="A328" s="1047" t="s">
        <v>896</v>
      </c>
      <c r="B328" s="1041" t="s">
        <v>1174</v>
      </c>
      <c r="C328" s="1041">
        <v>1400</v>
      </c>
      <c r="D328" s="1041">
        <v>1360</v>
      </c>
      <c r="E328" s="1041">
        <v>1330</v>
      </c>
      <c r="F328" s="1059">
        <v>460</v>
      </c>
      <c r="H328" s="1032"/>
    </row>
    <row r="329" spans="1:8" s="1035" customFormat="1" ht="14.25" customHeight="1" thickBot="1">
      <c r="A329" s="1047" t="s">
        <v>896</v>
      </c>
      <c r="B329" s="1041" t="s">
        <v>1184</v>
      </c>
      <c r="C329" s="1041">
        <v>1640</v>
      </c>
      <c r="D329" s="1041">
        <v>1610</v>
      </c>
      <c r="E329" s="1041">
        <v>1580</v>
      </c>
      <c r="F329" s="1059">
        <v>410</v>
      </c>
      <c r="H329" s="1032"/>
    </row>
    <row r="330" spans="1:8" s="1035" customFormat="1" ht="14.25" customHeight="1" thickBot="1">
      <c r="A330" s="1047" t="s">
        <v>896</v>
      </c>
      <c r="B330" s="1041" t="s">
        <v>1194</v>
      </c>
      <c r="C330" s="1041">
        <v>1260</v>
      </c>
      <c r="D330" s="1041">
        <v>1220</v>
      </c>
      <c r="E330" s="1041">
        <v>1200</v>
      </c>
      <c r="F330" s="1068"/>
      <c r="H330" s="1032"/>
    </row>
    <row r="331" spans="1:8" s="1035" customFormat="1" ht="14.25" customHeight="1" thickBot="1">
      <c r="A331" s="1047" t="s">
        <v>896</v>
      </c>
      <c r="B331" s="1041" t="s">
        <v>1204</v>
      </c>
      <c r="C331" s="1041">
        <v>1620</v>
      </c>
      <c r="D331" s="1041">
        <v>1560</v>
      </c>
      <c r="E331" s="1041">
        <v>1530</v>
      </c>
      <c r="F331" s="1059">
        <v>490</v>
      </c>
      <c r="H331" s="1032"/>
    </row>
    <row r="332" spans="1:8" s="1035" customFormat="1" ht="14.25" customHeight="1" thickBot="1">
      <c r="A332" s="1047" t="s">
        <v>896</v>
      </c>
      <c r="B332" s="1041" t="s">
        <v>1214</v>
      </c>
      <c r="C332" s="1041">
        <v>1520</v>
      </c>
      <c r="D332" s="1041">
        <v>1470</v>
      </c>
      <c r="E332" s="1041">
        <v>1440</v>
      </c>
      <c r="F332" s="1059">
        <v>440</v>
      </c>
      <c r="H332" s="1032"/>
    </row>
    <row r="333" spans="1:8" s="1035" customFormat="1" ht="14.25" customHeight="1" thickBot="1">
      <c r="A333" s="1047" t="s">
        <v>896</v>
      </c>
      <c r="B333" s="1041" t="s">
        <v>1224</v>
      </c>
      <c r="C333" s="1041">
        <v>1370</v>
      </c>
      <c r="D333" s="1041">
        <v>1320</v>
      </c>
      <c r="E333" s="1041">
        <v>1300</v>
      </c>
      <c r="F333" s="1059">
        <v>460</v>
      </c>
      <c r="H333" s="1032"/>
    </row>
    <row r="334" spans="1:8" s="1035" customFormat="1" ht="14.25" customHeight="1" thickBot="1">
      <c r="A334" s="1047" t="s">
        <v>896</v>
      </c>
      <c r="B334" s="1041" t="s">
        <v>1234</v>
      </c>
      <c r="C334" s="1041">
        <v>1410</v>
      </c>
      <c r="D334" s="1041">
        <v>1340</v>
      </c>
      <c r="E334" s="1041">
        <v>1310</v>
      </c>
      <c r="F334" s="1059">
        <v>410</v>
      </c>
      <c r="H334" s="1032"/>
    </row>
    <row r="335" spans="1:8" s="1035" customFormat="1" ht="14.25" customHeight="1" thickBot="1">
      <c r="A335" s="1047" t="s">
        <v>896</v>
      </c>
      <c r="B335" s="1041" t="s">
        <v>1244</v>
      </c>
      <c r="C335" s="1041">
        <v>1260</v>
      </c>
      <c r="D335" s="1041">
        <v>1220</v>
      </c>
      <c r="E335" s="1041">
        <v>1200</v>
      </c>
      <c r="F335" s="1068"/>
      <c r="H335" s="1032"/>
    </row>
    <row r="336" spans="1:8" s="1035" customFormat="1" ht="14.25" customHeight="1" thickBot="1">
      <c r="A336" s="1047" t="s">
        <v>896</v>
      </c>
      <c r="B336" s="1041" t="s">
        <v>1253</v>
      </c>
      <c r="C336" s="1041">
        <v>1160</v>
      </c>
      <c r="D336" s="1041">
        <v>1140</v>
      </c>
      <c r="E336" s="1041">
        <v>1120</v>
      </c>
      <c r="F336" s="1059">
        <v>430</v>
      </c>
      <c r="H336" s="1032"/>
    </row>
    <row r="337" spans="1:8" s="1035" customFormat="1" ht="14.25" customHeight="1" thickBot="1">
      <c r="A337" s="1047" t="s">
        <v>896</v>
      </c>
      <c r="B337" s="1057" t="s">
        <v>1262</v>
      </c>
      <c r="C337" s="1057"/>
      <c r="D337" s="1057"/>
      <c r="E337" s="1057"/>
      <c r="F337" s="1067">
        <v>380</v>
      </c>
      <c r="H337" s="1032"/>
    </row>
    <row r="338" spans="1:8" s="1035" customFormat="1" ht="14.25" customHeight="1" thickBot="1">
      <c r="A338" s="1047" t="s">
        <v>897</v>
      </c>
      <c r="B338" s="1048" t="s">
        <v>1405</v>
      </c>
      <c r="C338" s="1048">
        <v>880</v>
      </c>
      <c r="D338" s="1048">
        <v>850</v>
      </c>
      <c r="E338" s="1048">
        <v>830</v>
      </c>
      <c r="F338" s="1070"/>
      <c r="H338" s="1032"/>
    </row>
    <row r="339" spans="1:8" s="1035" customFormat="1" ht="14.25" customHeight="1" thickBot="1">
      <c r="A339" s="1047" t="s">
        <v>897</v>
      </c>
      <c r="B339" s="1041" t="s">
        <v>1406</v>
      </c>
      <c r="C339" s="1041">
        <v>830</v>
      </c>
      <c r="D339" s="1041">
        <v>800</v>
      </c>
      <c r="E339" s="1041">
        <v>780</v>
      </c>
      <c r="F339" s="1068"/>
      <c r="H339" s="1032"/>
    </row>
    <row r="340" spans="1:8" s="1035" customFormat="1" ht="14.25" customHeight="1" thickBot="1">
      <c r="A340" s="1047" t="s">
        <v>897</v>
      </c>
      <c r="B340" s="1041" t="s">
        <v>1407</v>
      </c>
      <c r="C340" s="1041">
        <v>980</v>
      </c>
      <c r="D340" s="1041">
        <v>950</v>
      </c>
      <c r="E340" s="1041">
        <v>920</v>
      </c>
      <c r="F340" s="1068"/>
      <c r="H340" s="1032"/>
    </row>
    <row r="341" spans="1:8" s="1035" customFormat="1" ht="14.25" customHeight="1" thickBot="1">
      <c r="A341" s="1047" t="s">
        <v>897</v>
      </c>
      <c r="B341" s="1041" t="s">
        <v>1408</v>
      </c>
      <c r="C341" s="1041">
        <v>760</v>
      </c>
      <c r="D341" s="1041">
        <v>720</v>
      </c>
      <c r="E341" s="1041">
        <v>690</v>
      </c>
      <c r="F341" s="1059">
        <v>350</v>
      </c>
      <c r="H341" s="1032"/>
    </row>
    <row r="342" spans="1:8" s="1035" customFormat="1" ht="14.25" customHeight="1" thickBot="1">
      <c r="A342" s="1047" t="s">
        <v>897</v>
      </c>
      <c r="B342" s="1041" t="s">
        <v>1100</v>
      </c>
      <c r="C342" s="1041">
        <v>910</v>
      </c>
      <c r="D342" s="1041">
        <v>870</v>
      </c>
      <c r="E342" s="1041">
        <v>850</v>
      </c>
      <c r="F342" s="1059">
        <v>370</v>
      </c>
      <c r="H342" s="1032"/>
    </row>
    <row r="343" spans="1:8" s="1035" customFormat="1" ht="14.25" customHeight="1" thickBot="1">
      <c r="A343" s="1047" t="s">
        <v>897</v>
      </c>
      <c r="B343" s="1041" t="s">
        <v>1111</v>
      </c>
      <c r="C343" s="1041">
        <v>800</v>
      </c>
      <c r="D343" s="1041">
        <v>760</v>
      </c>
      <c r="E343" s="1041">
        <v>730</v>
      </c>
      <c r="F343" s="1059">
        <v>340</v>
      </c>
      <c r="H343" s="1032"/>
    </row>
    <row r="344" spans="1:8" s="1035" customFormat="1" ht="14.25" customHeight="1" thickBot="1">
      <c r="A344" s="1047" t="s">
        <v>897</v>
      </c>
      <c r="B344" s="1057" t="s">
        <v>1122</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13" workbookViewId="0">
      <selection activeCell="A320" sqref="A320:XFD320"/>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1.2305999999999999</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42" workbookViewId="0">
      <selection activeCell="F110" sqref="F110:F157"/>
    </sheetView>
  </sheetViews>
  <sheetFormatPr defaultRowHeight="13.5"/>
  <cols>
    <col min="1" max="1" width="12.625" style="1750" customWidth="1"/>
    <col min="2" max="2" width="10.25" style="1751" customWidth="1"/>
  </cols>
  <sheetData>
    <row r="1" spans="1:6">
      <c r="A1" s="3716" t="s">
        <v>1870</v>
      </c>
      <c r="B1" s="3716"/>
    </row>
    <row r="2" spans="1:6" ht="14.25" thickBot="1">
      <c r="A2" s="1721"/>
      <c r="B2" s="1721"/>
    </row>
    <row r="3" spans="1:6" ht="14.25" thickBot="1">
      <c r="A3" s="1721"/>
      <c r="B3" s="1721"/>
      <c r="C3" s="1722" t="s">
        <v>1871</v>
      </c>
      <c r="D3" s="1722" t="s">
        <v>1872</v>
      </c>
      <c r="E3" s="1722" t="s">
        <v>1873</v>
      </c>
      <c r="F3" s="1722" t="s">
        <v>1874</v>
      </c>
    </row>
    <row r="4" spans="1:6" ht="14.25" thickBot="1">
      <c r="A4" s="1723" t="s">
        <v>1875</v>
      </c>
      <c r="B4" s="1724" t="s">
        <v>1876</v>
      </c>
      <c r="C4" s="1722"/>
      <c r="D4" s="1722"/>
      <c r="E4" s="1722"/>
      <c r="F4" s="1722"/>
    </row>
    <row r="5" spans="1:6" ht="14.25" thickBot="1">
      <c r="A5" s="1725" t="s">
        <v>1877</v>
      </c>
      <c r="B5" s="1726" t="s">
        <v>1878</v>
      </c>
      <c r="C5" s="1727">
        <v>8.8999999999999996E-2</v>
      </c>
      <c r="D5" s="1727">
        <v>7.3999999999999996E-2</v>
      </c>
      <c r="E5" s="1727">
        <v>7.4999999999999997E-2</v>
      </c>
      <c r="F5" s="1728">
        <v>0.1</v>
      </c>
    </row>
    <row r="6" spans="1:6" ht="14.25" thickBot="1">
      <c r="A6" s="1725" t="s">
        <v>1074</v>
      </c>
      <c r="B6" s="1729" t="s">
        <v>1879</v>
      </c>
      <c r="C6" s="1730">
        <v>0.1</v>
      </c>
      <c r="D6" s="1730">
        <v>9.0999999999999998E-2</v>
      </c>
      <c r="E6" s="1730">
        <v>9.0999999999999998E-2</v>
      </c>
      <c r="F6" s="1731">
        <v>0.1</v>
      </c>
    </row>
    <row r="7" spans="1:6" ht="14.25" thickBot="1">
      <c r="A7" s="1725" t="s">
        <v>1074</v>
      </c>
      <c r="B7" s="1732" t="s">
        <v>1062</v>
      </c>
      <c r="C7" s="1730">
        <v>8.5999999999999993E-2</v>
      </c>
      <c r="D7" s="1730">
        <v>9.6000000000000002E-2</v>
      </c>
      <c r="E7" s="1730">
        <v>7.5999999999999998E-2</v>
      </c>
      <c r="F7" s="1731">
        <v>0.1</v>
      </c>
    </row>
    <row r="8" spans="1:6" ht="14.25" thickBot="1">
      <c r="A8" s="1725" t="s">
        <v>1074</v>
      </c>
      <c r="B8" s="1729" t="s">
        <v>1075</v>
      </c>
      <c r="C8" s="1730">
        <v>9.9000000000000005E-2</v>
      </c>
      <c r="D8" s="1730">
        <v>9.8000000000000004E-2</v>
      </c>
      <c r="E8" s="1730">
        <v>9.8000000000000004E-2</v>
      </c>
      <c r="F8" s="1731">
        <v>0.1</v>
      </c>
    </row>
    <row r="9" spans="1:6" ht="14.25" thickBot="1">
      <c r="A9" s="1733" t="s">
        <v>1074</v>
      </c>
      <c r="B9" s="1734" t="s">
        <v>1089</v>
      </c>
      <c r="C9" s="1735">
        <v>0.05</v>
      </c>
      <c r="D9" s="1736"/>
      <c r="E9" s="1736"/>
      <c r="F9" s="1737"/>
    </row>
    <row r="10" spans="1:6" ht="14.25" thickBot="1">
      <c r="A10" s="1725" t="s">
        <v>1133</v>
      </c>
      <c r="B10" s="1726" t="s">
        <v>1880</v>
      </c>
      <c r="C10" s="1727">
        <v>8.8999999999999996E-2</v>
      </c>
      <c r="D10" s="1727">
        <v>7.2999999999999995E-2</v>
      </c>
      <c r="E10" s="1727">
        <v>8.2000000000000003E-2</v>
      </c>
      <c r="F10" s="1728">
        <v>0.1</v>
      </c>
    </row>
    <row r="11" spans="1:6" ht="14.25" thickBot="1">
      <c r="A11" s="1725" t="s">
        <v>1133</v>
      </c>
      <c r="B11" s="1732" t="s">
        <v>1049</v>
      </c>
      <c r="C11" s="1730">
        <v>8.8999999999999996E-2</v>
      </c>
      <c r="D11" s="1730">
        <v>7.2999999999999995E-2</v>
      </c>
      <c r="E11" s="1730">
        <v>8.2000000000000003E-2</v>
      </c>
      <c r="F11" s="1731">
        <v>0.1</v>
      </c>
    </row>
    <row r="12" spans="1:6" ht="14.25" thickBot="1">
      <c r="A12" s="1725" t="s">
        <v>1133</v>
      </c>
      <c r="B12" s="1732" t="s">
        <v>1063</v>
      </c>
      <c r="C12" s="1730">
        <v>6.0999999999999999E-2</v>
      </c>
      <c r="D12" s="1730">
        <v>7.0999999999999994E-2</v>
      </c>
      <c r="E12" s="1730">
        <v>9.6000000000000002E-2</v>
      </c>
      <c r="F12" s="1731">
        <v>0.1</v>
      </c>
    </row>
    <row r="13" spans="1:6" ht="14.25" thickBot="1">
      <c r="A13" s="1725" t="s">
        <v>1133</v>
      </c>
      <c r="B13" s="1732" t="s">
        <v>1076</v>
      </c>
      <c r="C13" s="1730">
        <v>6.9000000000000006E-2</v>
      </c>
      <c r="D13" s="1730">
        <v>6.5000000000000002E-2</v>
      </c>
      <c r="E13" s="1730">
        <v>6.6000000000000003E-2</v>
      </c>
      <c r="F13" s="1731">
        <v>0.1</v>
      </c>
    </row>
    <row r="14" spans="1:6" ht="14.25" thickBot="1">
      <c r="A14" s="1725" t="s">
        <v>1133</v>
      </c>
      <c r="B14" s="1732" t="s">
        <v>1090</v>
      </c>
      <c r="C14" s="1730">
        <v>0.1</v>
      </c>
      <c r="D14" s="1730">
        <v>6.5000000000000002E-2</v>
      </c>
      <c r="E14" s="1730">
        <v>7.0000000000000007E-2</v>
      </c>
      <c r="F14" s="1731">
        <v>0.1</v>
      </c>
    </row>
    <row r="15" spans="1:6" ht="14.25" thickBot="1">
      <c r="A15" s="1725" t="s">
        <v>1133</v>
      </c>
      <c r="B15" s="1732" t="s">
        <v>1101</v>
      </c>
      <c r="C15" s="1730">
        <v>9.8000000000000004E-2</v>
      </c>
      <c r="D15" s="1730">
        <v>8.8999999999999996E-2</v>
      </c>
      <c r="E15" s="1730">
        <v>8.8999999999999996E-2</v>
      </c>
      <c r="F15" s="1731">
        <v>0.1</v>
      </c>
    </row>
    <row r="16" spans="1:6" ht="14.25" thickBot="1">
      <c r="A16" s="1725" t="s">
        <v>1133</v>
      </c>
      <c r="B16" s="1732" t="s">
        <v>1112</v>
      </c>
      <c r="C16" s="1730">
        <v>7.0000000000000007E-2</v>
      </c>
      <c r="D16" s="1730">
        <v>9.2999999999999999E-2</v>
      </c>
      <c r="E16" s="1730">
        <v>9.6000000000000002E-2</v>
      </c>
      <c r="F16" s="1731">
        <v>0.1</v>
      </c>
    </row>
    <row r="17" spans="1:6" ht="14.25" thickBot="1">
      <c r="A17" s="1725" t="s">
        <v>1133</v>
      </c>
      <c r="B17" s="1732" t="s">
        <v>1123</v>
      </c>
      <c r="C17" s="1730">
        <v>9.5000000000000001E-2</v>
      </c>
      <c r="D17" s="1730">
        <v>0.1</v>
      </c>
      <c r="E17" s="1730">
        <v>0.1</v>
      </c>
      <c r="F17" s="1738"/>
    </row>
    <row r="18" spans="1:6" ht="14.25" thickBot="1">
      <c r="A18" s="1725" t="s">
        <v>1133</v>
      </c>
      <c r="B18" s="1732" t="s">
        <v>1135</v>
      </c>
      <c r="C18" s="1730">
        <v>7.3999999999999996E-2</v>
      </c>
      <c r="D18" s="1730">
        <v>9.9000000000000005E-2</v>
      </c>
      <c r="E18" s="1730">
        <v>0.1</v>
      </c>
      <c r="F18" s="1738"/>
    </row>
    <row r="19" spans="1:6" ht="14.25" thickBot="1">
      <c r="A19" s="1725" t="s">
        <v>1133</v>
      </c>
      <c r="B19" s="1732" t="s">
        <v>1145</v>
      </c>
      <c r="C19" s="1730">
        <v>9.9000000000000005E-2</v>
      </c>
      <c r="D19" s="1730">
        <v>7.5999999999999998E-2</v>
      </c>
      <c r="E19" s="1730">
        <v>8.6999999999999994E-2</v>
      </c>
      <c r="F19" s="1738"/>
    </row>
    <row r="20" spans="1:6" ht="14.25" thickBot="1">
      <c r="A20" s="1725" t="s">
        <v>1133</v>
      </c>
      <c r="B20" s="1732" t="s">
        <v>1155</v>
      </c>
      <c r="C20" s="1730">
        <v>9.8000000000000004E-2</v>
      </c>
      <c r="D20" s="1730">
        <v>8.5000000000000006E-2</v>
      </c>
      <c r="E20" s="1730">
        <v>8.2000000000000003E-2</v>
      </c>
      <c r="F20" s="1738"/>
    </row>
    <row r="21" spans="1:6" ht="14.25" thickBot="1">
      <c r="A21" s="1725" t="s">
        <v>1133</v>
      </c>
      <c r="B21" s="1732" t="s">
        <v>1165</v>
      </c>
      <c r="C21" s="1730">
        <v>6.6000000000000003E-2</v>
      </c>
      <c r="D21" s="1730">
        <v>6.4000000000000001E-2</v>
      </c>
      <c r="E21" s="1730">
        <v>6.5000000000000002E-2</v>
      </c>
      <c r="F21" s="1738"/>
    </row>
    <row r="22" spans="1:6" ht="14.25" thickBot="1">
      <c r="A22" s="1725" t="s">
        <v>1133</v>
      </c>
      <c r="B22" s="1732" t="s">
        <v>1881</v>
      </c>
      <c r="C22" s="1730">
        <v>0.08</v>
      </c>
      <c r="D22" s="1730">
        <v>9.8000000000000004E-2</v>
      </c>
      <c r="E22" s="1730">
        <v>9.8000000000000004E-2</v>
      </c>
      <c r="F22" s="1738"/>
    </row>
    <row r="23" spans="1:6" ht="14.25" thickBot="1">
      <c r="A23" s="1725" t="s">
        <v>1133</v>
      </c>
      <c r="B23" s="1732" t="s">
        <v>1185</v>
      </c>
      <c r="C23" s="1730">
        <v>9.9000000000000005E-2</v>
      </c>
      <c r="D23" s="1730">
        <v>9.8000000000000004E-2</v>
      </c>
      <c r="E23" s="1730">
        <v>9.0999999999999998E-2</v>
      </c>
      <c r="F23" s="1738"/>
    </row>
    <row r="24" spans="1:6" ht="14.25" thickBot="1">
      <c r="A24" s="1725" t="s">
        <v>1133</v>
      </c>
      <c r="B24" s="1732" t="s">
        <v>1195</v>
      </c>
      <c r="C24" s="1730">
        <v>8.8999999999999996E-2</v>
      </c>
      <c r="D24" s="1730">
        <v>9.7000000000000003E-2</v>
      </c>
      <c r="E24" s="1730">
        <v>7.0000000000000007E-2</v>
      </c>
      <c r="F24" s="1738"/>
    </row>
    <row r="25" spans="1:6" ht="14.25" thickBot="1">
      <c r="A25" s="1725" t="s">
        <v>1133</v>
      </c>
      <c r="B25" s="1732" t="s">
        <v>1205</v>
      </c>
      <c r="C25" s="1730">
        <v>8.8999999999999996E-2</v>
      </c>
      <c r="D25" s="1730">
        <v>0.1</v>
      </c>
      <c r="E25" s="1730">
        <v>8.1000000000000003E-2</v>
      </c>
      <c r="F25" s="1738"/>
    </row>
    <row r="26" spans="1:6" ht="14.25" thickBot="1">
      <c r="A26" s="1725" t="s">
        <v>1133</v>
      </c>
      <c r="B26" s="1732" t="s">
        <v>1215</v>
      </c>
      <c r="C26" s="1739"/>
      <c r="D26" s="1730">
        <v>9.6000000000000002E-2</v>
      </c>
      <c r="E26" s="1730">
        <v>9.2999999999999999E-2</v>
      </c>
      <c r="F26" s="1738"/>
    </row>
    <row r="27" spans="1:6" ht="14.25" thickBot="1">
      <c r="A27" s="1725" t="s">
        <v>1133</v>
      </c>
      <c r="B27" s="1732" t="s">
        <v>1225</v>
      </c>
      <c r="C27" s="1739"/>
      <c r="D27" s="1730">
        <v>7.5999999999999998E-2</v>
      </c>
      <c r="E27" s="1730">
        <v>9.1999999999999998E-2</v>
      </c>
      <c r="F27" s="1738"/>
    </row>
    <row r="28" spans="1:6" ht="14.25" thickBot="1">
      <c r="A28" s="1733" t="s">
        <v>1133</v>
      </c>
      <c r="B28" s="1734" t="s">
        <v>1235</v>
      </c>
      <c r="C28" s="1736"/>
      <c r="D28" s="1735">
        <v>7.5999999999999998E-2</v>
      </c>
      <c r="E28" s="1735">
        <v>9.1999999999999998E-2</v>
      </c>
      <c r="F28" s="1737"/>
    </row>
    <row r="29" spans="1:6" ht="14.25" thickBot="1">
      <c r="A29" s="1725" t="s">
        <v>1304</v>
      </c>
      <c r="B29" s="1726" t="s">
        <v>1882</v>
      </c>
      <c r="C29" s="1727">
        <v>6.4000000000000001E-2</v>
      </c>
      <c r="D29" s="1727">
        <v>6.5000000000000002E-2</v>
      </c>
      <c r="E29" s="1727">
        <v>6.9000000000000006E-2</v>
      </c>
      <c r="F29" s="1728">
        <v>0.1</v>
      </c>
    </row>
    <row r="30" spans="1:6" ht="14.25" thickBot="1">
      <c r="A30" s="1725" t="s">
        <v>1304</v>
      </c>
      <c r="B30" s="1732" t="s">
        <v>1050</v>
      </c>
      <c r="C30" s="1730">
        <v>6.4000000000000001E-2</v>
      </c>
      <c r="D30" s="1730">
        <v>9.9000000000000005E-2</v>
      </c>
      <c r="E30" s="1730">
        <v>0.1</v>
      </c>
      <c r="F30" s="1731">
        <v>0.1</v>
      </c>
    </row>
    <row r="31" spans="1:6" ht="14.25" thickBot="1">
      <c r="A31" s="1725" t="s">
        <v>1304</v>
      </c>
      <c r="B31" s="1732" t="s">
        <v>1064</v>
      </c>
      <c r="C31" s="1730">
        <v>0.1</v>
      </c>
      <c r="D31" s="1730">
        <v>9.5000000000000001E-2</v>
      </c>
      <c r="E31" s="1730">
        <v>8.8999999999999996E-2</v>
      </c>
      <c r="F31" s="1731">
        <v>0.1</v>
      </c>
    </row>
    <row r="32" spans="1:6" ht="14.25" thickBot="1">
      <c r="A32" s="1725" t="s">
        <v>1304</v>
      </c>
      <c r="B32" s="1732" t="s">
        <v>1077</v>
      </c>
      <c r="C32" s="1730">
        <v>0.05</v>
      </c>
      <c r="D32" s="1730">
        <v>0.05</v>
      </c>
      <c r="E32" s="1730">
        <v>8.7999999999999995E-2</v>
      </c>
      <c r="F32" s="1731">
        <v>0.1</v>
      </c>
    </row>
    <row r="33" spans="1:6" ht="14.25" thickBot="1">
      <c r="A33" s="1725" t="s">
        <v>1304</v>
      </c>
      <c r="B33" s="1732" t="s">
        <v>1091</v>
      </c>
      <c r="C33" s="1730">
        <v>7.4999999999999997E-2</v>
      </c>
      <c r="D33" s="1730">
        <v>9.4E-2</v>
      </c>
      <c r="E33" s="1730">
        <v>9.7000000000000003E-2</v>
      </c>
      <c r="F33" s="1731">
        <v>0.1</v>
      </c>
    </row>
    <row r="34" spans="1:6" ht="14.25" thickBot="1">
      <c r="A34" s="1725" t="s">
        <v>1304</v>
      </c>
      <c r="B34" s="1732" t="s">
        <v>1102</v>
      </c>
      <c r="C34" s="1730">
        <v>9.8000000000000004E-2</v>
      </c>
      <c r="D34" s="1730">
        <v>8.5999999999999993E-2</v>
      </c>
      <c r="E34" s="1730">
        <v>9.7000000000000003E-2</v>
      </c>
      <c r="F34" s="1731">
        <v>0.1</v>
      </c>
    </row>
    <row r="35" spans="1:6" ht="14.25" thickBot="1">
      <c r="A35" s="1725" t="s">
        <v>1304</v>
      </c>
      <c r="B35" s="1732" t="s">
        <v>1113</v>
      </c>
      <c r="C35" s="1730">
        <v>5.8999999999999997E-2</v>
      </c>
      <c r="D35" s="1730">
        <v>6.5000000000000002E-2</v>
      </c>
      <c r="E35" s="1730">
        <v>7.0000000000000007E-2</v>
      </c>
      <c r="F35" s="1731">
        <v>0.1</v>
      </c>
    </row>
    <row r="36" spans="1:6" ht="14.25" thickBot="1">
      <c r="A36" s="1725" t="s">
        <v>1304</v>
      </c>
      <c r="B36" s="1732" t="s">
        <v>1124</v>
      </c>
      <c r="C36" s="1730">
        <v>6.3E-2</v>
      </c>
      <c r="D36" s="1730">
        <v>0.1</v>
      </c>
      <c r="E36" s="1730">
        <v>0.1</v>
      </c>
      <c r="F36" s="1731">
        <v>0.1</v>
      </c>
    </row>
    <row r="37" spans="1:6" ht="14.25" thickBot="1">
      <c r="A37" s="1725" t="s">
        <v>1304</v>
      </c>
      <c r="B37" s="1732" t="s">
        <v>1136</v>
      </c>
      <c r="C37" s="1730">
        <v>7.3999999999999996E-2</v>
      </c>
      <c r="D37" s="1730">
        <v>0.1</v>
      </c>
      <c r="E37" s="1730">
        <v>0.1</v>
      </c>
      <c r="F37" s="1731">
        <v>0.1</v>
      </c>
    </row>
    <row r="38" spans="1:6" ht="14.25" thickBot="1">
      <c r="A38" s="1725" t="s">
        <v>1304</v>
      </c>
      <c r="B38" s="1732" t="s">
        <v>1146</v>
      </c>
      <c r="C38" s="1730">
        <v>0.1</v>
      </c>
      <c r="D38" s="1730">
        <v>9.6000000000000002E-2</v>
      </c>
      <c r="E38" s="1730">
        <v>9.6000000000000002E-2</v>
      </c>
      <c r="F38" s="1738"/>
    </row>
    <row r="39" spans="1:6" ht="14.25" thickBot="1">
      <c r="A39" s="1725" t="s">
        <v>1304</v>
      </c>
      <c r="B39" s="1732" t="s">
        <v>1156</v>
      </c>
      <c r="C39" s="1730">
        <v>0.1</v>
      </c>
      <c r="D39" s="1730">
        <v>9.6000000000000002E-2</v>
      </c>
      <c r="E39" s="1730">
        <v>9.6000000000000002E-2</v>
      </c>
      <c r="F39" s="1738"/>
    </row>
    <row r="40" spans="1:6" ht="14.25" thickBot="1">
      <c r="A40" s="1725" t="s">
        <v>1304</v>
      </c>
      <c r="B40" s="1732" t="s">
        <v>1166</v>
      </c>
      <c r="C40" s="1730">
        <v>9.6000000000000002E-2</v>
      </c>
      <c r="D40" s="1730">
        <v>0.1</v>
      </c>
      <c r="E40" s="1730">
        <v>9.9000000000000005E-2</v>
      </c>
      <c r="F40" s="1738"/>
    </row>
    <row r="41" spans="1:6" ht="14.25" thickBot="1">
      <c r="A41" s="1725" t="s">
        <v>1304</v>
      </c>
      <c r="B41" s="1732" t="s">
        <v>1176</v>
      </c>
      <c r="C41" s="1730">
        <v>9.6000000000000002E-2</v>
      </c>
      <c r="D41" s="1730">
        <v>9.8000000000000004E-2</v>
      </c>
      <c r="E41" s="1730">
        <v>9.8000000000000004E-2</v>
      </c>
      <c r="F41" s="1738"/>
    </row>
    <row r="42" spans="1:6" ht="14.25" thickBot="1">
      <c r="A42" s="1725" t="s">
        <v>1304</v>
      </c>
      <c r="B42" s="1732" t="s">
        <v>1186</v>
      </c>
      <c r="C42" s="1730">
        <v>0.1</v>
      </c>
      <c r="D42" s="1730">
        <v>8.7999999999999995E-2</v>
      </c>
      <c r="E42" s="1730">
        <v>0.1</v>
      </c>
      <c r="F42" s="1738"/>
    </row>
    <row r="43" spans="1:6" ht="14.25" thickBot="1">
      <c r="A43" s="1725" t="s">
        <v>1304</v>
      </c>
      <c r="B43" s="1732" t="s">
        <v>1196</v>
      </c>
      <c r="C43" s="1730">
        <v>9.8000000000000004E-2</v>
      </c>
      <c r="D43" s="1730">
        <v>9.7000000000000003E-2</v>
      </c>
      <c r="E43" s="1730">
        <v>9.6000000000000002E-2</v>
      </c>
      <c r="F43" s="1738"/>
    </row>
    <row r="44" spans="1:6" ht="14.25" thickBot="1">
      <c r="A44" s="1725" t="s">
        <v>1304</v>
      </c>
      <c r="B44" s="1732" t="s">
        <v>1206</v>
      </c>
      <c r="C44" s="1730">
        <v>8.5999999999999993E-2</v>
      </c>
      <c r="D44" s="1730">
        <v>7.9000000000000001E-2</v>
      </c>
      <c r="E44" s="1730">
        <v>7.0999999999999994E-2</v>
      </c>
      <c r="F44" s="1738"/>
    </row>
    <row r="45" spans="1:6" ht="14.25" thickBot="1">
      <c r="A45" s="1725" t="s">
        <v>1304</v>
      </c>
      <c r="B45" s="1732" t="s">
        <v>1216</v>
      </c>
      <c r="C45" s="1730">
        <v>9.8000000000000004E-2</v>
      </c>
      <c r="D45" s="1730">
        <v>9.6000000000000002E-2</v>
      </c>
      <c r="E45" s="1730">
        <v>9.6000000000000002E-2</v>
      </c>
      <c r="F45" s="1738"/>
    </row>
    <row r="46" spans="1:6" ht="14.25" thickBot="1">
      <c r="A46" s="1725" t="s">
        <v>1304</v>
      </c>
      <c r="B46" s="1732" t="s">
        <v>1226</v>
      </c>
      <c r="C46" s="1730">
        <v>8.5999999999999993E-2</v>
      </c>
      <c r="D46" s="1730">
        <v>9.8000000000000004E-2</v>
      </c>
      <c r="E46" s="1730">
        <v>8.7999999999999995E-2</v>
      </c>
      <c r="F46" s="1738"/>
    </row>
    <row r="47" spans="1:6" ht="14.25" thickBot="1">
      <c r="A47" s="1725" t="s">
        <v>1304</v>
      </c>
      <c r="B47" s="1732" t="s">
        <v>1236</v>
      </c>
      <c r="C47" s="1730">
        <v>9.6000000000000002E-2</v>
      </c>
      <c r="D47" s="1739"/>
      <c r="E47" s="1730">
        <v>6.9000000000000006E-2</v>
      </c>
      <c r="F47" s="1738"/>
    </row>
    <row r="48" spans="1:6" ht="14.25" thickBot="1">
      <c r="A48" s="1733" t="s">
        <v>1304</v>
      </c>
      <c r="B48" s="1734" t="s">
        <v>1245</v>
      </c>
      <c r="C48" s="1735">
        <v>9.8000000000000004E-2</v>
      </c>
      <c r="D48" s="1736"/>
      <c r="E48" s="1735">
        <v>9.5000000000000001E-2</v>
      </c>
      <c r="F48" s="1737"/>
    </row>
    <row r="49" spans="1:6" ht="14.25" thickBot="1">
      <c r="A49" s="1725" t="s">
        <v>904</v>
      </c>
      <c r="B49" s="1726" t="s">
        <v>1883</v>
      </c>
      <c r="C49" s="1727">
        <v>9.7000000000000003E-2</v>
      </c>
      <c r="D49" s="1727">
        <v>9.5000000000000001E-2</v>
      </c>
      <c r="E49" s="1727">
        <v>9.7000000000000003E-2</v>
      </c>
      <c r="F49" s="1728">
        <v>0.1</v>
      </c>
    </row>
    <row r="50" spans="1:6" ht="14.25" thickBot="1">
      <c r="A50" s="1725" t="s">
        <v>904</v>
      </c>
      <c r="B50" s="1729" t="s">
        <v>1051</v>
      </c>
      <c r="C50" s="1730">
        <v>7.4999999999999997E-2</v>
      </c>
      <c r="D50" s="1730">
        <v>9.5000000000000001E-2</v>
      </c>
      <c r="E50" s="1730">
        <v>0.1</v>
      </c>
      <c r="F50" s="1731">
        <v>0.1</v>
      </c>
    </row>
    <row r="51" spans="1:6" ht="14.25" thickBot="1">
      <c r="A51" s="1725" t="s">
        <v>904</v>
      </c>
      <c r="B51" s="1729" t="s">
        <v>1065</v>
      </c>
      <c r="C51" s="1730">
        <v>9.8000000000000004E-2</v>
      </c>
      <c r="D51" s="1730">
        <v>8.8999999999999996E-2</v>
      </c>
      <c r="E51" s="1730">
        <v>0.1</v>
      </c>
      <c r="F51" s="1731">
        <v>0.1</v>
      </c>
    </row>
    <row r="52" spans="1:6" ht="14.25" thickBot="1">
      <c r="A52" s="1725" t="s">
        <v>904</v>
      </c>
      <c r="B52" s="1729" t="s">
        <v>1078</v>
      </c>
      <c r="C52" s="1730">
        <v>9.8000000000000004E-2</v>
      </c>
      <c r="D52" s="1730">
        <v>9.7000000000000003E-2</v>
      </c>
      <c r="E52" s="1730">
        <v>8.1000000000000003E-2</v>
      </c>
      <c r="F52" s="1731">
        <v>0.1</v>
      </c>
    </row>
    <row r="53" spans="1:6" ht="14.25" thickBot="1">
      <c r="A53" s="1725" t="s">
        <v>904</v>
      </c>
      <c r="B53" s="1729" t="s">
        <v>1092</v>
      </c>
      <c r="C53" s="1730">
        <v>9.7000000000000003E-2</v>
      </c>
      <c r="D53" s="1730">
        <v>7.5999999999999998E-2</v>
      </c>
      <c r="E53" s="1730">
        <v>7.0999999999999994E-2</v>
      </c>
      <c r="F53" s="1731">
        <v>0.1</v>
      </c>
    </row>
    <row r="54" spans="1:6" ht="14.25" thickBot="1">
      <c r="A54" s="1725" t="s">
        <v>904</v>
      </c>
      <c r="B54" s="1729" t="s">
        <v>1103</v>
      </c>
      <c r="C54" s="1730">
        <v>7.5999999999999998E-2</v>
      </c>
      <c r="D54" s="1730">
        <v>0.1</v>
      </c>
      <c r="E54" s="1730">
        <v>9.9000000000000005E-2</v>
      </c>
      <c r="F54" s="1731">
        <v>0.1</v>
      </c>
    </row>
    <row r="55" spans="1:6" ht="14.25" thickBot="1">
      <c r="A55" s="1725" t="s">
        <v>904</v>
      </c>
      <c r="B55" s="1729" t="s">
        <v>1114</v>
      </c>
      <c r="C55" s="1730">
        <v>0.1</v>
      </c>
      <c r="D55" s="1730">
        <v>0.1</v>
      </c>
      <c r="E55" s="1730">
        <v>9.6000000000000002E-2</v>
      </c>
      <c r="F55" s="1731">
        <v>0.1</v>
      </c>
    </row>
    <row r="56" spans="1:6" ht="14.25" thickBot="1">
      <c r="A56" s="1725" t="s">
        <v>904</v>
      </c>
      <c r="B56" s="1729" t="s">
        <v>1125</v>
      </c>
      <c r="C56" s="1730">
        <v>0.1</v>
      </c>
      <c r="D56" s="1730">
        <v>9.6000000000000002E-2</v>
      </c>
      <c r="E56" s="1730">
        <v>5.1999999999999998E-2</v>
      </c>
      <c r="F56" s="1731">
        <v>0.1</v>
      </c>
    </row>
    <row r="57" spans="1:6" ht="14.25" thickBot="1">
      <c r="A57" s="1725" t="s">
        <v>904</v>
      </c>
      <c r="B57" s="1729" t="s">
        <v>1137</v>
      </c>
      <c r="C57" s="1730">
        <v>9.7000000000000003E-2</v>
      </c>
      <c r="D57" s="1730">
        <v>9.6000000000000002E-2</v>
      </c>
      <c r="E57" s="1730">
        <v>9.6000000000000002E-2</v>
      </c>
      <c r="F57" s="1731">
        <v>0.1</v>
      </c>
    </row>
    <row r="58" spans="1:6" ht="14.25" thickBot="1">
      <c r="A58" s="1725" t="s">
        <v>904</v>
      </c>
      <c r="B58" s="1729" t="s">
        <v>1147</v>
      </c>
      <c r="C58" s="1730">
        <v>9.6000000000000002E-2</v>
      </c>
      <c r="D58" s="1730">
        <v>9.9000000000000005E-2</v>
      </c>
      <c r="E58" s="1730">
        <v>9.6000000000000002E-2</v>
      </c>
      <c r="F58" s="1731">
        <v>0.1</v>
      </c>
    </row>
    <row r="59" spans="1:6" ht="14.25" thickBot="1">
      <c r="A59" s="1725" t="s">
        <v>904</v>
      </c>
      <c r="B59" s="1729" t="s">
        <v>1157</v>
      </c>
      <c r="C59" s="1730">
        <v>7.1999999999999995E-2</v>
      </c>
      <c r="D59" s="1730">
        <v>9.6000000000000002E-2</v>
      </c>
      <c r="E59" s="1730">
        <v>7.0999999999999994E-2</v>
      </c>
      <c r="F59" s="1731">
        <v>0.1</v>
      </c>
    </row>
    <row r="60" spans="1:6" ht="14.25" thickBot="1">
      <c r="A60" s="1725" t="s">
        <v>904</v>
      </c>
      <c r="B60" s="1729" t="s">
        <v>1167</v>
      </c>
      <c r="C60" s="1730">
        <v>9.6000000000000002E-2</v>
      </c>
      <c r="D60" s="1730">
        <v>8.8999999999999996E-2</v>
      </c>
      <c r="E60" s="1730">
        <v>9.6000000000000002E-2</v>
      </c>
      <c r="F60" s="1731">
        <v>0.1</v>
      </c>
    </row>
    <row r="61" spans="1:6" ht="14.25" thickBot="1">
      <c r="A61" s="1725" t="s">
        <v>904</v>
      </c>
      <c r="B61" s="1729" t="s">
        <v>1177</v>
      </c>
      <c r="C61" s="1730">
        <v>8.8999999999999996E-2</v>
      </c>
      <c r="D61" s="1730">
        <v>9.8000000000000004E-2</v>
      </c>
      <c r="E61" s="1730">
        <v>8.7999999999999995E-2</v>
      </c>
      <c r="F61" s="1738"/>
    </row>
    <row r="62" spans="1:6" ht="14.25" thickBot="1">
      <c r="A62" s="1725" t="s">
        <v>904</v>
      </c>
      <c r="B62" s="1729" t="s">
        <v>1187</v>
      </c>
      <c r="C62" s="1730">
        <v>9.8000000000000004E-2</v>
      </c>
      <c r="D62" s="1730">
        <v>9.2999999999999999E-2</v>
      </c>
      <c r="E62" s="1730">
        <v>9.7000000000000003E-2</v>
      </c>
      <c r="F62" s="1738"/>
    </row>
    <row r="63" spans="1:6" ht="14.25" thickBot="1">
      <c r="A63" s="1725" t="s">
        <v>904</v>
      </c>
      <c r="B63" s="1729" t="s">
        <v>1197</v>
      </c>
      <c r="C63" s="1730">
        <v>9.6000000000000002E-2</v>
      </c>
      <c r="D63" s="1730">
        <v>9.8000000000000004E-2</v>
      </c>
      <c r="E63" s="1730">
        <v>0.09</v>
      </c>
      <c r="F63" s="1738"/>
    </row>
    <row r="64" spans="1:6" ht="14.25" thickBot="1">
      <c r="A64" s="1725" t="s">
        <v>904</v>
      </c>
      <c r="B64" s="1729" t="s">
        <v>1207</v>
      </c>
      <c r="C64" s="1730">
        <v>9.9000000000000005E-2</v>
      </c>
      <c r="D64" s="1730">
        <v>9.7000000000000003E-2</v>
      </c>
      <c r="E64" s="1730">
        <v>9.9000000000000005E-2</v>
      </c>
      <c r="F64" s="1738"/>
    </row>
    <row r="65" spans="1:6" ht="14.25" thickBot="1">
      <c r="A65" s="1725" t="s">
        <v>904</v>
      </c>
      <c r="B65" s="1729" t="s">
        <v>1217</v>
      </c>
      <c r="C65" s="1730">
        <v>9.8000000000000004E-2</v>
      </c>
      <c r="D65" s="1730">
        <v>9.6000000000000002E-2</v>
      </c>
      <c r="E65" s="1730">
        <v>9.6000000000000002E-2</v>
      </c>
      <c r="F65" s="1738"/>
    </row>
    <row r="66" spans="1:6" ht="14.25" thickBot="1">
      <c r="A66" s="1725" t="s">
        <v>904</v>
      </c>
      <c r="B66" s="1729" t="s">
        <v>1227</v>
      </c>
      <c r="C66" s="1730">
        <v>9.6000000000000002E-2</v>
      </c>
      <c r="D66" s="1730">
        <v>9.1999999999999998E-2</v>
      </c>
      <c r="E66" s="1730">
        <v>9.6000000000000002E-2</v>
      </c>
      <c r="F66" s="1738"/>
    </row>
    <row r="67" spans="1:6" ht="14.25" thickBot="1">
      <c r="A67" s="1725" t="s">
        <v>904</v>
      </c>
      <c r="B67" s="1729" t="s">
        <v>1237</v>
      </c>
      <c r="C67" s="1730">
        <v>9.4E-2</v>
      </c>
      <c r="D67" s="1730">
        <v>0.1</v>
      </c>
      <c r="E67" s="1730">
        <v>8.7999999999999995E-2</v>
      </c>
      <c r="F67" s="1738"/>
    </row>
    <row r="68" spans="1:6" ht="14.25" thickBot="1">
      <c r="A68" s="1725" t="s">
        <v>904</v>
      </c>
      <c r="B68" s="1729" t="s">
        <v>1246</v>
      </c>
      <c r="C68" s="1730">
        <v>0.1</v>
      </c>
      <c r="D68" s="1730">
        <v>8.7999999999999995E-2</v>
      </c>
      <c r="E68" s="1730">
        <v>9.7000000000000003E-2</v>
      </c>
      <c r="F68" s="1738"/>
    </row>
    <row r="69" spans="1:6" ht="14.25" thickBot="1">
      <c r="A69" s="1725" t="s">
        <v>904</v>
      </c>
      <c r="B69" s="1729" t="s">
        <v>1255</v>
      </c>
      <c r="C69" s="1730">
        <v>6.4000000000000001E-2</v>
      </c>
      <c r="D69" s="1730">
        <v>0.1</v>
      </c>
      <c r="E69" s="1730">
        <v>0.1</v>
      </c>
      <c r="F69" s="1738"/>
    </row>
    <row r="70" spans="1:6" ht="14.25" thickBot="1">
      <c r="A70" s="1725" t="s">
        <v>904</v>
      </c>
      <c r="B70" s="1729" t="s">
        <v>1263</v>
      </c>
      <c r="C70" s="1730">
        <v>9.0999999999999998E-2</v>
      </c>
      <c r="D70" s="1739"/>
      <c r="E70" s="1739"/>
      <c r="F70" s="1738"/>
    </row>
    <row r="71" spans="1:6" ht="14.25" thickBot="1">
      <c r="A71" s="1725" t="s">
        <v>904</v>
      </c>
      <c r="B71" s="1729" t="s">
        <v>1270</v>
      </c>
      <c r="C71" s="1730">
        <v>0.1</v>
      </c>
      <c r="D71" s="1739"/>
      <c r="E71" s="1739"/>
      <c r="F71" s="1738"/>
    </row>
    <row r="72" spans="1:6" ht="14.25" thickBot="1">
      <c r="A72" s="1725" t="s">
        <v>904</v>
      </c>
      <c r="B72" s="1729" t="s">
        <v>1884</v>
      </c>
      <c r="C72" s="1739"/>
      <c r="D72" s="1739"/>
      <c r="E72" s="1739"/>
      <c r="F72" s="1731">
        <v>0.05</v>
      </c>
    </row>
    <row r="73" spans="1:6" ht="14.25" thickBot="1">
      <c r="A73" s="1725" t="s">
        <v>904</v>
      </c>
      <c r="B73" s="1729" t="s">
        <v>1885</v>
      </c>
      <c r="C73" s="1739"/>
      <c r="D73" s="1739"/>
      <c r="E73" s="1739"/>
      <c r="F73" s="1731">
        <v>0.05</v>
      </c>
    </row>
    <row r="74" spans="1:6" ht="14.25" thickBot="1">
      <c r="A74" s="1725" t="s">
        <v>904</v>
      </c>
      <c r="B74" s="1729" t="s">
        <v>1886</v>
      </c>
      <c r="C74" s="1739"/>
      <c r="D74" s="1739"/>
      <c r="E74" s="1739"/>
      <c r="F74" s="1731">
        <v>0.05</v>
      </c>
    </row>
    <row r="75" spans="1:6" ht="14.25" thickBot="1">
      <c r="A75" s="1733" t="s">
        <v>904</v>
      </c>
      <c r="B75" s="1740" t="s">
        <v>1887</v>
      </c>
      <c r="C75" s="1736"/>
      <c r="D75" s="1736"/>
      <c r="E75" s="1736"/>
      <c r="F75" s="1741">
        <v>0.05</v>
      </c>
    </row>
    <row r="76" spans="1:6" ht="14.25" thickBot="1">
      <c r="A76" s="1725" t="s">
        <v>1385</v>
      </c>
      <c r="B76" s="1726" t="s">
        <v>1888</v>
      </c>
      <c r="C76" s="1727">
        <v>0.1</v>
      </c>
      <c r="D76" s="1727">
        <v>0.1</v>
      </c>
      <c r="E76" s="1727">
        <v>0.1</v>
      </c>
      <c r="F76" s="1728">
        <v>0.1</v>
      </c>
    </row>
    <row r="77" spans="1:6" ht="14.25" thickBot="1">
      <c r="A77" s="1725" t="s">
        <v>1385</v>
      </c>
      <c r="B77" s="1729" t="s">
        <v>1052</v>
      </c>
      <c r="C77" s="1730">
        <v>8.7999999999999995E-2</v>
      </c>
      <c r="D77" s="1730">
        <v>8.6999999999999994E-2</v>
      </c>
      <c r="E77" s="1730">
        <v>7.9000000000000001E-2</v>
      </c>
      <c r="F77" s="1731">
        <v>0.1</v>
      </c>
    </row>
    <row r="78" spans="1:6" ht="14.25" thickBot="1">
      <c r="A78" s="1725" t="s">
        <v>1385</v>
      </c>
      <c r="B78" s="1729" t="s">
        <v>1066</v>
      </c>
      <c r="C78" s="1730">
        <v>8.6999999999999994E-2</v>
      </c>
      <c r="D78" s="1730">
        <v>8.4000000000000005E-2</v>
      </c>
      <c r="E78" s="1730">
        <v>9.6000000000000002E-2</v>
      </c>
      <c r="F78" s="1731">
        <v>0.1</v>
      </c>
    </row>
    <row r="79" spans="1:6" ht="14.25" thickBot="1">
      <c r="A79" s="1725" t="s">
        <v>1385</v>
      </c>
      <c r="B79" s="1729" t="s">
        <v>1079</v>
      </c>
      <c r="C79" s="1730">
        <v>9.8000000000000004E-2</v>
      </c>
      <c r="D79" s="1730">
        <v>9.8000000000000004E-2</v>
      </c>
      <c r="E79" s="1730">
        <v>9.0999999999999998E-2</v>
      </c>
      <c r="F79" s="1731">
        <v>0.1</v>
      </c>
    </row>
    <row r="80" spans="1:6" ht="14.25" thickBot="1">
      <c r="A80" s="1725" t="s">
        <v>1385</v>
      </c>
      <c r="B80" s="1729" t="s">
        <v>1093</v>
      </c>
      <c r="C80" s="1730">
        <v>9.6000000000000002E-2</v>
      </c>
      <c r="D80" s="1730">
        <v>9.6000000000000002E-2</v>
      </c>
      <c r="E80" s="1730">
        <v>0.1</v>
      </c>
      <c r="F80" s="1731">
        <v>0.1</v>
      </c>
    </row>
    <row r="81" spans="1:6" ht="14.25" thickBot="1">
      <c r="A81" s="1725" t="s">
        <v>1385</v>
      </c>
      <c r="B81" s="1729" t="s">
        <v>1104</v>
      </c>
      <c r="C81" s="1730">
        <v>9.9000000000000005E-2</v>
      </c>
      <c r="D81" s="1730">
        <v>9.9000000000000005E-2</v>
      </c>
      <c r="E81" s="1730">
        <v>9.8000000000000004E-2</v>
      </c>
      <c r="F81" s="1731">
        <v>0.1</v>
      </c>
    </row>
    <row r="82" spans="1:6" ht="14.25" thickBot="1">
      <c r="A82" s="1725" t="s">
        <v>1385</v>
      </c>
      <c r="B82" s="1729" t="s">
        <v>1115</v>
      </c>
      <c r="C82" s="1730">
        <v>9.9000000000000005E-2</v>
      </c>
      <c r="D82" s="1730">
        <v>9.9000000000000005E-2</v>
      </c>
      <c r="E82" s="1730">
        <v>9.7000000000000003E-2</v>
      </c>
      <c r="F82" s="1731">
        <v>0.1</v>
      </c>
    </row>
    <row r="83" spans="1:6" ht="14.25" thickBot="1">
      <c r="A83" s="1725" t="s">
        <v>1385</v>
      </c>
      <c r="B83" s="1729" t="s">
        <v>1126</v>
      </c>
      <c r="C83" s="1730">
        <v>9.8000000000000004E-2</v>
      </c>
      <c r="D83" s="1730">
        <v>9.8000000000000004E-2</v>
      </c>
      <c r="E83" s="1730">
        <v>9.8000000000000004E-2</v>
      </c>
      <c r="F83" s="1731">
        <v>0.1</v>
      </c>
    </row>
    <row r="84" spans="1:6" ht="14.25" thickBot="1">
      <c r="A84" s="1725" t="s">
        <v>1385</v>
      </c>
      <c r="B84" s="1729" t="s">
        <v>1138</v>
      </c>
      <c r="C84" s="1730">
        <v>9.9000000000000005E-2</v>
      </c>
      <c r="D84" s="1730">
        <v>9.9000000000000005E-2</v>
      </c>
      <c r="E84" s="1730">
        <v>9.9000000000000005E-2</v>
      </c>
      <c r="F84" s="1731">
        <v>0.1</v>
      </c>
    </row>
    <row r="85" spans="1:6" ht="14.25" thickBot="1">
      <c r="A85" s="1725" t="s">
        <v>1385</v>
      </c>
      <c r="B85" s="1729" t="s">
        <v>1148</v>
      </c>
      <c r="C85" s="1730">
        <v>9.9000000000000005E-2</v>
      </c>
      <c r="D85" s="1730">
        <v>9.9000000000000005E-2</v>
      </c>
      <c r="E85" s="1730">
        <v>9.9000000000000005E-2</v>
      </c>
      <c r="F85" s="1731">
        <v>0.1</v>
      </c>
    </row>
    <row r="86" spans="1:6" ht="14.25" thickBot="1">
      <c r="A86" s="1725" t="s">
        <v>1385</v>
      </c>
      <c r="B86" s="1729" t="s">
        <v>1158</v>
      </c>
      <c r="C86" s="1730">
        <v>0.1</v>
      </c>
      <c r="D86" s="1730">
        <v>0.1</v>
      </c>
      <c r="E86" s="1730">
        <v>7.6999999999999999E-2</v>
      </c>
      <c r="F86" s="1731">
        <v>0.1</v>
      </c>
    </row>
    <row r="87" spans="1:6" ht="14.25" thickBot="1">
      <c r="A87" s="1725" t="s">
        <v>1385</v>
      </c>
      <c r="B87" s="1729" t="s">
        <v>1168</v>
      </c>
      <c r="C87" s="1730">
        <v>0.1</v>
      </c>
      <c r="D87" s="1730">
        <v>0.1</v>
      </c>
      <c r="E87" s="1730">
        <v>9.8000000000000004E-2</v>
      </c>
      <c r="F87" s="1738"/>
    </row>
    <row r="88" spans="1:6" ht="14.25" thickBot="1">
      <c r="A88" s="1725" t="s">
        <v>1385</v>
      </c>
      <c r="B88" s="1729" t="s">
        <v>1178</v>
      </c>
      <c r="C88" s="1730">
        <v>9.1999999999999998E-2</v>
      </c>
      <c r="D88" s="1730">
        <v>8.5000000000000006E-2</v>
      </c>
      <c r="E88" s="1730">
        <v>9.6000000000000002E-2</v>
      </c>
      <c r="F88" s="1738"/>
    </row>
    <row r="89" spans="1:6" ht="14.25" thickBot="1">
      <c r="A89" s="1725" t="s">
        <v>1385</v>
      </c>
      <c r="B89" s="1729" t="s">
        <v>1188</v>
      </c>
      <c r="C89" s="1730">
        <v>0.1</v>
      </c>
      <c r="D89" s="1730">
        <v>0.1</v>
      </c>
      <c r="E89" s="1730">
        <v>9.7000000000000003E-2</v>
      </c>
      <c r="F89" s="1738"/>
    </row>
    <row r="90" spans="1:6" ht="14.25" thickBot="1">
      <c r="A90" s="1725" t="s">
        <v>1385</v>
      </c>
      <c r="B90" s="1729" t="s">
        <v>1198</v>
      </c>
      <c r="C90" s="1730">
        <v>9.8000000000000004E-2</v>
      </c>
      <c r="D90" s="1730">
        <v>9.8000000000000004E-2</v>
      </c>
      <c r="E90" s="1730">
        <v>8.7999999999999995E-2</v>
      </c>
      <c r="F90" s="1738"/>
    </row>
    <row r="91" spans="1:6" ht="14.25" thickBot="1">
      <c r="A91" s="1725" t="s">
        <v>1385</v>
      </c>
      <c r="B91" s="1729" t="s">
        <v>1208</v>
      </c>
      <c r="C91" s="1730">
        <v>9.9000000000000005E-2</v>
      </c>
      <c r="D91" s="1730">
        <v>9.9000000000000005E-2</v>
      </c>
      <c r="E91" s="1730">
        <v>9.0999999999999998E-2</v>
      </c>
      <c r="F91" s="1738"/>
    </row>
    <row r="92" spans="1:6" ht="14.25" thickBot="1">
      <c r="A92" s="1725" t="s">
        <v>1385</v>
      </c>
      <c r="B92" s="1729" t="s">
        <v>1218</v>
      </c>
      <c r="C92" s="1730">
        <v>9.6000000000000002E-2</v>
      </c>
      <c r="D92" s="1730">
        <v>9.6000000000000002E-2</v>
      </c>
      <c r="E92" s="1730">
        <v>7.2999999999999995E-2</v>
      </c>
      <c r="F92" s="1738"/>
    </row>
    <row r="93" spans="1:6" ht="14.25" thickBot="1">
      <c r="A93" s="1725" t="s">
        <v>1385</v>
      </c>
      <c r="B93" s="1729" t="s">
        <v>1228</v>
      </c>
      <c r="C93" s="1730">
        <v>9.6000000000000002E-2</v>
      </c>
      <c r="D93" s="1730">
        <v>9.6000000000000002E-2</v>
      </c>
      <c r="E93" s="1730">
        <v>9.9000000000000005E-2</v>
      </c>
      <c r="F93" s="1738"/>
    </row>
    <row r="94" spans="1:6" ht="14.25" thickBot="1">
      <c r="A94" s="1725" t="s">
        <v>1385</v>
      </c>
      <c r="B94" s="1729" t="s">
        <v>1238</v>
      </c>
      <c r="C94" s="1730">
        <v>7.5999999999999998E-2</v>
      </c>
      <c r="D94" s="1730">
        <v>7.3999999999999996E-2</v>
      </c>
      <c r="E94" s="1730">
        <v>9.7000000000000003E-2</v>
      </c>
      <c r="F94" s="1738"/>
    </row>
    <row r="95" spans="1:6" ht="14.25" thickBot="1">
      <c r="A95" s="1725" t="s">
        <v>1385</v>
      </c>
      <c r="B95" s="1729" t="s">
        <v>1247</v>
      </c>
      <c r="C95" s="1730">
        <v>9.9000000000000005E-2</v>
      </c>
      <c r="D95" s="1730">
        <v>9.4E-2</v>
      </c>
      <c r="E95" s="1730">
        <v>9.6000000000000002E-2</v>
      </c>
      <c r="F95" s="1738"/>
    </row>
    <row r="96" spans="1:6" ht="14.25" thickBot="1">
      <c r="A96" s="1725" t="s">
        <v>1385</v>
      </c>
      <c r="B96" s="1729" t="s">
        <v>1256</v>
      </c>
      <c r="C96" s="1730">
        <v>9.9000000000000005E-2</v>
      </c>
      <c r="D96" s="1730">
        <v>9.9000000000000005E-2</v>
      </c>
      <c r="E96" s="1730">
        <v>9.9000000000000005E-2</v>
      </c>
      <c r="F96" s="1738"/>
    </row>
    <row r="97" spans="1:6" ht="14.25" thickBot="1">
      <c r="A97" s="1725" t="s">
        <v>1385</v>
      </c>
      <c r="B97" s="1729" t="s">
        <v>1264</v>
      </c>
      <c r="C97" s="1730">
        <v>9.8000000000000004E-2</v>
      </c>
      <c r="D97" s="1730">
        <v>9.8000000000000004E-2</v>
      </c>
      <c r="E97" s="1730">
        <v>9.7000000000000003E-2</v>
      </c>
      <c r="F97" s="1738"/>
    </row>
    <row r="98" spans="1:6" ht="14.25" thickBot="1">
      <c r="A98" s="1725" t="s">
        <v>1385</v>
      </c>
      <c r="B98" s="1729" t="s">
        <v>1271</v>
      </c>
      <c r="C98" s="1730">
        <v>0.1</v>
      </c>
      <c r="D98" s="1730">
        <v>0.1</v>
      </c>
      <c r="E98" s="1730">
        <v>9.7000000000000003E-2</v>
      </c>
      <c r="F98" s="1738"/>
    </row>
    <row r="99" spans="1:6" ht="14.25" thickBot="1">
      <c r="A99" s="1725" t="s">
        <v>1385</v>
      </c>
      <c r="B99" s="1729" t="s">
        <v>1278</v>
      </c>
      <c r="C99" s="1730">
        <v>0.1</v>
      </c>
      <c r="D99" s="1730">
        <v>0.1</v>
      </c>
      <c r="E99" s="1739"/>
      <c r="F99" s="1738"/>
    </row>
    <row r="100" spans="1:6" ht="14.25" thickBot="1">
      <c r="A100" s="1725" t="s">
        <v>1385</v>
      </c>
      <c r="B100" s="1729" t="s">
        <v>1285</v>
      </c>
      <c r="C100" s="1730">
        <v>0.09</v>
      </c>
      <c r="D100" s="1730">
        <v>8.8999999999999996E-2</v>
      </c>
      <c r="E100" s="1739"/>
      <c r="F100" s="1738"/>
    </row>
    <row r="101" spans="1:6" ht="14.25" thickBot="1">
      <c r="A101" s="1725" t="s">
        <v>1385</v>
      </c>
      <c r="B101" s="1729" t="s">
        <v>1292</v>
      </c>
      <c r="C101" s="1730">
        <v>9.8000000000000004E-2</v>
      </c>
      <c r="D101" s="1730">
        <v>9.7000000000000003E-2</v>
      </c>
      <c r="E101" s="1739"/>
      <c r="F101" s="1738"/>
    </row>
    <row r="102" spans="1:6" ht="14.25" thickBot="1">
      <c r="A102" s="1725" t="s">
        <v>1385</v>
      </c>
      <c r="B102" s="1729" t="s">
        <v>1889</v>
      </c>
      <c r="C102" s="1739"/>
      <c r="D102" s="1739"/>
      <c r="E102" s="1739"/>
      <c r="F102" s="1731">
        <v>0.05</v>
      </c>
    </row>
    <row r="103" spans="1:6" ht="24.75" thickBot="1">
      <c r="A103" s="1725" t="s">
        <v>1385</v>
      </c>
      <c r="B103" s="1729" t="s">
        <v>1890</v>
      </c>
      <c r="C103" s="1739"/>
      <c r="D103" s="1739"/>
      <c r="E103" s="1739"/>
      <c r="F103" s="1731">
        <v>0.05</v>
      </c>
    </row>
    <row r="104" spans="1:6" ht="14.25" thickBot="1">
      <c r="A104" s="1725" t="s">
        <v>1385</v>
      </c>
      <c r="B104" s="1729" t="s">
        <v>1891</v>
      </c>
      <c r="C104" s="1739"/>
      <c r="D104" s="1739"/>
      <c r="E104" s="1739"/>
      <c r="F104" s="1731">
        <v>0.05</v>
      </c>
    </row>
    <row r="105" spans="1:6" ht="14.25" thickBot="1">
      <c r="A105" s="1725" t="s">
        <v>1385</v>
      </c>
      <c r="B105" s="1729" t="s">
        <v>1892</v>
      </c>
      <c r="C105" s="1739"/>
      <c r="D105" s="1739"/>
      <c r="E105" s="1739"/>
      <c r="F105" s="1731">
        <v>0.05</v>
      </c>
    </row>
    <row r="106" spans="1:6" ht="14.25" thickBot="1">
      <c r="A106" s="1725" t="s">
        <v>1385</v>
      </c>
      <c r="B106" s="1729" t="s">
        <v>1893</v>
      </c>
      <c r="C106" s="1739"/>
      <c r="D106" s="1739"/>
      <c r="E106" s="1739"/>
      <c r="F106" s="1731">
        <v>0.05</v>
      </c>
    </row>
    <row r="107" spans="1:6" ht="24.75" thickBot="1">
      <c r="A107" s="1725" t="s">
        <v>1385</v>
      </c>
      <c r="B107" s="1729" t="s">
        <v>1894</v>
      </c>
      <c r="C107" s="1739"/>
      <c r="D107" s="1739"/>
      <c r="E107" s="1739"/>
      <c r="F107" s="1731">
        <v>0.05</v>
      </c>
    </row>
    <row r="108" spans="1:6" ht="24.75" thickBot="1">
      <c r="A108" s="1725" t="s">
        <v>1385</v>
      </c>
      <c r="B108" s="1729" t="s">
        <v>1895</v>
      </c>
      <c r="C108" s="1739"/>
      <c r="D108" s="1739"/>
      <c r="E108" s="1739"/>
      <c r="F108" s="1731">
        <v>0.05</v>
      </c>
    </row>
    <row r="109" spans="1:6" ht="24.75" thickBot="1">
      <c r="A109" s="1733" t="s">
        <v>1385</v>
      </c>
      <c r="B109" s="1740" t="s">
        <v>1896</v>
      </c>
      <c r="C109" s="1736"/>
      <c r="D109" s="1736"/>
      <c r="E109" s="1736"/>
      <c r="F109" s="1741">
        <v>0.05</v>
      </c>
    </row>
    <row r="110" spans="1:6" ht="14.25" thickBot="1">
      <c r="A110" s="1725" t="s">
        <v>1387</v>
      </c>
      <c r="B110" s="1726" t="s">
        <v>1897</v>
      </c>
      <c r="C110" s="1727">
        <v>0.129</v>
      </c>
      <c r="D110" s="1727">
        <v>0.129</v>
      </c>
      <c r="E110" s="1727">
        <v>0.126</v>
      </c>
      <c r="F110" s="1728">
        <v>0.13</v>
      </c>
    </row>
    <row r="111" spans="1:6" ht="14.25" thickBot="1">
      <c r="A111" s="1725" t="s">
        <v>1387</v>
      </c>
      <c r="B111" s="1729" t="s">
        <v>1053</v>
      </c>
      <c r="C111" s="1730">
        <v>0.11</v>
      </c>
      <c r="D111" s="1730">
        <v>0.11</v>
      </c>
      <c r="E111" s="1730">
        <v>9.9000000000000005E-2</v>
      </c>
      <c r="F111" s="1731">
        <v>0.128</v>
      </c>
    </row>
    <row r="112" spans="1:6" ht="14.25" thickBot="1">
      <c r="A112" s="1725" t="s">
        <v>1387</v>
      </c>
      <c r="B112" s="1729" t="s">
        <v>1067</v>
      </c>
      <c r="C112" s="1730">
        <v>0.125</v>
      </c>
      <c r="D112" s="1730">
        <v>0.125</v>
      </c>
      <c r="E112" s="1730">
        <v>0.12</v>
      </c>
      <c r="F112" s="1731">
        <v>0.125</v>
      </c>
    </row>
    <row r="113" spans="1:6" ht="14.25" thickBot="1">
      <c r="A113" s="1725" t="s">
        <v>1387</v>
      </c>
      <c r="B113" s="1729" t="s">
        <v>1080</v>
      </c>
      <c r="C113" s="1730">
        <v>0.13</v>
      </c>
      <c r="D113" s="1730">
        <v>0.13</v>
      </c>
      <c r="E113" s="1730">
        <v>0.13</v>
      </c>
      <c r="F113" s="1731">
        <v>0.13</v>
      </c>
    </row>
    <row r="114" spans="1:6" ht="14.25" thickBot="1">
      <c r="A114" s="1725" t="s">
        <v>1387</v>
      </c>
      <c r="B114" s="1729" t="s">
        <v>1094</v>
      </c>
      <c r="C114" s="1730">
        <v>0.123</v>
      </c>
      <c r="D114" s="1730">
        <v>0.123</v>
      </c>
      <c r="E114" s="1730">
        <v>0.12</v>
      </c>
      <c r="F114" s="1731">
        <v>0.13</v>
      </c>
    </row>
    <row r="115" spans="1:6" ht="14.25" thickBot="1">
      <c r="A115" s="1725" t="s">
        <v>1387</v>
      </c>
      <c r="B115" s="1729" t="s">
        <v>1105</v>
      </c>
      <c r="C115" s="1730">
        <v>0.125</v>
      </c>
      <c r="D115" s="1730">
        <v>0.125</v>
      </c>
      <c r="E115" s="1730">
        <v>0.11700000000000001</v>
      </c>
      <c r="F115" s="1731">
        <v>0.13</v>
      </c>
    </row>
    <row r="116" spans="1:6" ht="14.25" thickBot="1">
      <c r="A116" s="1725" t="s">
        <v>1387</v>
      </c>
      <c r="B116" s="1729" t="s">
        <v>1116</v>
      </c>
      <c r="C116" s="1730">
        <v>0.11700000000000001</v>
      </c>
      <c r="D116" s="1730">
        <v>0.11700000000000001</v>
      </c>
      <c r="E116" s="1730">
        <v>8.7999999999999995E-2</v>
      </c>
      <c r="F116" s="1731">
        <v>0.13</v>
      </c>
    </row>
    <row r="117" spans="1:6" ht="14.25" thickBot="1">
      <c r="A117" s="1725" t="s">
        <v>1387</v>
      </c>
      <c r="B117" s="1729" t="s">
        <v>1127</v>
      </c>
      <c r="C117" s="1730">
        <v>0.13</v>
      </c>
      <c r="D117" s="1730">
        <v>0.13</v>
      </c>
      <c r="E117" s="1730">
        <v>0.129</v>
      </c>
      <c r="F117" s="1731">
        <v>0.13</v>
      </c>
    </row>
    <row r="118" spans="1:6" ht="14.25" thickBot="1">
      <c r="A118" s="1725" t="s">
        <v>1387</v>
      </c>
      <c r="B118" s="1729" t="s">
        <v>1139</v>
      </c>
      <c r="C118" s="1730">
        <v>0.123</v>
      </c>
      <c r="D118" s="1730">
        <v>0.123</v>
      </c>
      <c r="E118" s="1730">
        <v>0.11600000000000001</v>
      </c>
      <c r="F118" s="1731">
        <v>0.13</v>
      </c>
    </row>
    <row r="119" spans="1:6" ht="14.25" thickBot="1">
      <c r="A119" s="1725" t="s">
        <v>1387</v>
      </c>
      <c r="B119" s="1729" t="s">
        <v>1149</v>
      </c>
      <c r="C119" s="1730">
        <v>0.127</v>
      </c>
      <c r="D119" s="1730">
        <v>0.127</v>
      </c>
      <c r="E119" s="1730">
        <v>0.124</v>
      </c>
      <c r="F119" s="1731">
        <v>0.13</v>
      </c>
    </row>
    <row r="120" spans="1:6" ht="14.25" thickBot="1">
      <c r="A120" s="1725" t="s">
        <v>1387</v>
      </c>
      <c r="B120" s="1729" t="s">
        <v>1159</v>
      </c>
      <c r="C120" s="1730">
        <v>0.125</v>
      </c>
      <c r="D120" s="1730">
        <v>0.125</v>
      </c>
      <c r="E120" s="1730">
        <v>0.122</v>
      </c>
      <c r="F120" s="1731">
        <v>0.13</v>
      </c>
    </row>
    <row r="121" spans="1:6" ht="14.25" thickBot="1">
      <c r="A121" s="1725" t="s">
        <v>1387</v>
      </c>
      <c r="B121" s="1729" t="s">
        <v>1169</v>
      </c>
      <c r="C121" s="1730">
        <v>0.13</v>
      </c>
      <c r="D121" s="1730">
        <v>0.13</v>
      </c>
      <c r="E121" s="1730">
        <v>0.13</v>
      </c>
      <c r="F121" s="1731">
        <v>0.13</v>
      </c>
    </row>
    <row r="122" spans="1:6" ht="14.25" thickBot="1">
      <c r="A122" s="1725" t="s">
        <v>1387</v>
      </c>
      <c r="B122" s="1729" t="s">
        <v>1179</v>
      </c>
      <c r="C122" s="1730">
        <v>0.13</v>
      </c>
      <c r="D122" s="1730">
        <v>0.13</v>
      </c>
      <c r="E122" s="1730">
        <v>0.125</v>
      </c>
      <c r="F122" s="1731">
        <v>0.13</v>
      </c>
    </row>
    <row r="123" spans="1:6" ht="14.25" thickBot="1">
      <c r="A123" s="1725" t="s">
        <v>1387</v>
      </c>
      <c r="B123" s="1729" t="s">
        <v>1189</v>
      </c>
      <c r="C123" s="1730">
        <v>0.129</v>
      </c>
      <c r="D123" s="1730">
        <v>0.129</v>
      </c>
      <c r="E123" s="1730">
        <v>0.123</v>
      </c>
      <c r="F123" s="1731">
        <v>0.13</v>
      </c>
    </row>
    <row r="124" spans="1:6" ht="14.25" thickBot="1">
      <c r="A124" s="1725" t="s">
        <v>1387</v>
      </c>
      <c r="B124" s="1729" t="s">
        <v>1199</v>
      </c>
      <c r="C124" s="1730">
        <v>0.10199999999999999</v>
      </c>
      <c r="D124" s="1730">
        <v>0.10100000000000001</v>
      </c>
      <c r="E124" s="1730">
        <v>0.08</v>
      </c>
      <c r="F124" s="1738"/>
    </row>
    <row r="125" spans="1:6" ht="14.25" thickBot="1">
      <c r="A125" s="1725" t="s">
        <v>1387</v>
      </c>
      <c r="B125" s="1729" t="s">
        <v>1209</v>
      </c>
      <c r="C125" s="1730">
        <v>0.13</v>
      </c>
      <c r="D125" s="1730">
        <v>0.13</v>
      </c>
      <c r="E125" s="1730">
        <v>0.129</v>
      </c>
      <c r="F125" s="1738"/>
    </row>
    <row r="126" spans="1:6" ht="14.25" thickBot="1">
      <c r="A126" s="1725" t="s">
        <v>1387</v>
      </c>
      <c r="B126" s="1729" t="s">
        <v>1219</v>
      </c>
      <c r="C126" s="1730">
        <v>0.13</v>
      </c>
      <c r="D126" s="1730">
        <v>0.13</v>
      </c>
      <c r="E126" s="1730">
        <v>0.126</v>
      </c>
      <c r="F126" s="1738"/>
    </row>
    <row r="127" spans="1:6" ht="14.25" thickBot="1">
      <c r="A127" s="1725" t="s">
        <v>1387</v>
      </c>
      <c r="B127" s="1729" t="s">
        <v>1229</v>
      </c>
      <c r="C127" s="1730">
        <v>0.125</v>
      </c>
      <c r="D127" s="1730">
        <v>0.125</v>
      </c>
      <c r="E127" s="1730">
        <v>0.121</v>
      </c>
      <c r="F127" s="1738"/>
    </row>
    <row r="128" spans="1:6" ht="14.25" thickBot="1">
      <c r="A128" s="1725" t="s">
        <v>1387</v>
      </c>
      <c r="B128" s="1729" t="s">
        <v>1239</v>
      </c>
      <c r="C128" s="1730">
        <v>0.12</v>
      </c>
      <c r="D128" s="1730">
        <v>0.12</v>
      </c>
      <c r="E128" s="1730">
        <v>0.105</v>
      </c>
      <c r="F128" s="1738"/>
    </row>
    <row r="129" spans="1:6" ht="14.25" thickBot="1">
      <c r="A129" s="1725" t="s">
        <v>1387</v>
      </c>
      <c r="B129" s="1729" t="s">
        <v>1248</v>
      </c>
      <c r="C129" s="1730">
        <v>0.13</v>
      </c>
      <c r="D129" s="1730">
        <v>0.13</v>
      </c>
      <c r="E129" s="1730">
        <v>0.126</v>
      </c>
      <c r="F129" s="1738"/>
    </row>
    <row r="130" spans="1:6" ht="14.25" thickBot="1">
      <c r="A130" s="1725" t="s">
        <v>1387</v>
      </c>
      <c r="B130" s="1729" t="s">
        <v>1257</v>
      </c>
      <c r="C130" s="1730">
        <v>0.125</v>
      </c>
      <c r="D130" s="1730">
        <v>0.125</v>
      </c>
      <c r="E130" s="1730">
        <v>0.122</v>
      </c>
      <c r="F130" s="1738"/>
    </row>
    <row r="131" spans="1:6" ht="14.25" thickBot="1">
      <c r="A131" s="1725" t="s">
        <v>1387</v>
      </c>
      <c r="B131" s="1729" t="s">
        <v>1265</v>
      </c>
      <c r="C131" s="1730">
        <v>0.127</v>
      </c>
      <c r="D131" s="1730">
        <v>0.126</v>
      </c>
      <c r="E131" s="1730">
        <v>0.123</v>
      </c>
      <c r="F131" s="1738"/>
    </row>
    <row r="132" spans="1:6" ht="14.25" thickBot="1">
      <c r="A132" s="1725" t="s">
        <v>1387</v>
      </c>
      <c r="B132" s="1729" t="s">
        <v>1272</v>
      </c>
      <c r="C132" s="1730">
        <v>9.0999999999999998E-2</v>
      </c>
      <c r="D132" s="1730">
        <v>0.121</v>
      </c>
      <c r="E132" s="1730">
        <v>9.9000000000000005E-2</v>
      </c>
      <c r="F132" s="1738"/>
    </row>
    <row r="133" spans="1:6" ht="14.25" thickBot="1">
      <c r="A133" s="1725" t="s">
        <v>1387</v>
      </c>
      <c r="B133" s="1729" t="s">
        <v>1279</v>
      </c>
      <c r="C133" s="1730">
        <v>0.13</v>
      </c>
      <c r="D133" s="1730">
        <v>0.13</v>
      </c>
      <c r="E133" s="1730">
        <v>0.129</v>
      </c>
      <c r="F133" s="1738"/>
    </row>
    <row r="134" spans="1:6" ht="14.25" thickBot="1">
      <c r="A134" s="1725" t="s">
        <v>1387</v>
      </c>
      <c r="B134" s="1729" t="s">
        <v>1898</v>
      </c>
      <c r="C134" s="1730">
        <v>6.8000000000000005E-2</v>
      </c>
      <c r="D134" s="1730">
        <v>6.5000000000000002E-2</v>
      </c>
      <c r="E134" s="1730">
        <v>6.5000000000000002E-2</v>
      </c>
      <c r="F134" s="1731">
        <v>0.13</v>
      </c>
    </row>
    <row r="135" spans="1:6" ht="14.25" thickBot="1">
      <c r="A135" s="1725" t="s">
        <v>1387</v>
      </c>
      <c r="B135" s="1729" t="s">
        <v>1293</v>
      </c>
      <c r="C135" s="1730">
        <v>0.123</v>
      </c>
      <c r="D135" s="1730">
        <v>0.123</v>
      </c>
      <c r="E135" s="1730">
        <v>0.11</v>
      </c>
      <c r="F135" s="1738"/>
    </row>
    <row r="136" spans="1:6" ht="14.25" thickBot="1">
      <c r="A136" s="1725" t="s">
        <v>1387</v>
      </c>
      <c r="B136" s="1729" t="s">
        <v>1300</v>
      </c>
      <c r="C136" s="1730">
        <v>0.13</v>
      </c>
      <c r="D136" s="1730">
        <v>0.13</v>
      </c>
      <c r="E136" s="1730">
        <v>0.125</v>
      </c>
      <c r="F136" s="1738"/>
    </row>
    <row r="137" spans="1:6" ht="14.25" thickBot="1">
      <c r="A137" s="1725" t="s">
        <v>1387</v>
      </c>
      <c r="B137" s="1729" t="s">
        <v>1307</v>
      </c>
      <c r="C137" s="1730">
        <v>0.121</v>
      </c>
      <c r="D137" s="1730">
        <v>0.122</v>
      </c>
      <c r="E137" s="1730">
        <v>0.115</v>
      </c>
      <c r="F137" s="1738"/>
    </row>
    <row r="138" spans="1:6" ht="14.25" thickBot="1">
      <c r="A138" s="1725" t="s">
        <v>1387</v>
      </c>
      <c r="B138" s="1729" t="s">
        <v>1899</v>
      </c>
      <c r="C138" s="1730">
        <v>0.105</v>
      </c>
      <c r="D138" s="1730">
        <v>0.125</v>
      </c>
      <c r="E138" s="1730">
        <v>0.112</v>
      </c>
      <c r="F138" s="1738"/>
    </row>
    <row r="139" spans="1:6" ht="14.25" thickBot="1">
      <c r="A139" s="1725" t="s">
        <v>1387</v>
      </c>
      <c r="B139" s="1729" t="s">
        <v>1900</v>
      </c>
      <c r="C139" s="1730">
        <v>0.127</v>
      </c>
      <c r="D139" s="1730">
        <v>0.127</v>
      </c>
      <c r="E139" s="1730">
        <v>0.122</v>
      </c>
      <c r="F139" s="1731">
        <v>0.13</v>
      </c>
    </row>
    <row r="140" spans="1:6" ht="14.25" thickBot="1">
      <c r="A140" s="1725" t="s">
        <v>1387</v>
      </c>
      <c r="B140" s="1729" t="s">
        <v>1901</v>
      </c>
      <c r="C140" s="1730">
        <v>0.125</v>
      </c>
      <c r="D140" s="1730">
        <v>0.125</v>
      </c>
      <c r="E140" s="1730">
        <v>0.11899999999999999</v>
      </c>
      <c r="F140" s="1731">
        <v>0.13</v>
      </c>
    </row>
    <row r="141" spans="1:6" ht="14.25" thickBot="1">
      <c r="A141" s="1725" t="s">
        <v>1387</v>
      </c>
      <c r="B141" s="1729" t="s">
        <v>1326</v>
      </c>
      <c r="C141" s="1730">
        <v>0.125</v>
      </c>
      <c r="D141" s="1730">
        <v>0.125</v>
      </c>
      <c r="E141" s="1730">
        <v>0.11700000000000001</v>
      </c>
      <c r="F141" s="1738"/>
    </row>
    <row r="142" spans="1:6" ht="14.25" thickBot="1">
      <c r="A142" s="1725" t="s">
        <v>1387</v>
      </c>
      <c r="B142" s="1729" t="s">
        <v>1331</v>
      </c>
      <c r="C142" s="1730">
        <v>0.125</v>
      </c>
      <c r="D142" s="1730">
        <v>0.125</v>
      </c>
      <c r="E142" s="1730">
        <v>0.115</v>
      </c>
      <c r="F142" s="1738"/>
    </row>
    <row r="143" spans="1:6" ht="14.25" thickBot="1">
      <c r="A143" s="1725" t="s">
        <v>1387</v>
      </c>
      <c r="B143" s="1729" t="s">
        <v>1336</v>
      </c>
      <c r="C143" s="1730">
        <v>0.121</v>
      </c>
      <c r="D143" s="1730">
        <v>0.121</v>
      </c>
      <c r="E143" s="1730">
        <v>0.108</v>
      </c>
      <c r="F143" s="1738"/>
    </row>
    <row r="144" spans="1:6" ht="14.25" thickBot="1">
      <c r="A144" s="1725" t="s">
        <v>1387</v>
      </c>
      <c r="B144" s="1742" t="s">
        <v>1902</v>
      </c>
      <c r="C144" s="1743">
        <v>0.126</v>
      </c>
      <c r="D144" s="1743">
        <v>0.126</v>
      </c>
      <c r="E144" s="1743">
        <v>0.121</v>
      </c>
      <c r="F144" s="1738"/>
    </row>
    <row r="145" spans="1:6" ht="14.25" thickBot="1">
      <c r="A145" s="1733" t="s">
        <v>1387</v>
      </c>
      <c r="B145" s="1744" t="s">
        <v>1903</v>
      </c>
      <c r="C145" s="1745"/>
      <c r="D145" s="1745"/>
      <c r="E145" s="1745"/>
      <c r="F145" s="1746">
        <v>0.05</v>
      </c>
    </row>
    <row r="146" spans="1:6" ht="24.75" thickBot="1">
      <c r="A146" s="1747" t="s">
        <v>1387</v>
      </c>
      <c r="B146" s="1732" t="s">
        <v>1904</v>
      </c>
      <c r="C146" s="1739"/>
      <c r="D146" s="1739"/>
      <c r="E146" s="1739"/>
      <c r="F146" s="1748">
        <v>0.05</v>
      </c>
    </row>
    <row r="147" spans="1:6" ht="24.75" thickBot="1">
      <c r="A147" s="1725" t="s">
        <v>1387</v>
      </c>
      <c r="B147" s="1729" t="s">
        <v>1905</v>
      </c>
      <c r="C147" s="1739"/>
      <c r="D147" s="1739"/>
      <c r="E147" s="1739"/>
      <c r="F147" s="1731">
        <v>0.05</v>
      </c>
    </row>
    <row r="148" spans="1:6" ht="24.75" thickBot="1">
      <c r="A148" s="1725" t="s">
        <v>1387</v>
      </c>
      <c r="B148" s="1729" t="s">
        <v>1906</v>
      </c>
      <c r="C148" s="1739"/>
      <c r="D148" s="1739"/>
      <c r="E148" s="1739"/>
      <c r="F148" s="1731">
        <v>0.05</v>
      </c>
    </row>
    <row r="149" spans="1:6" ht="24.75" thickBot="1">
      <c r="A149" s="1725" t="s">
        <v>1387</v>
      </c>
      <c r="B149" s="1729" t="s">
        <v>1907</v>
      </c>
      <c r="C149" s="1739"/>
      <c r="D149" s="1739"/>
      <c r="E149" s="1739"/>
      <c r="F149" s="1731">
        <v>0.05</v>
      </c>
    </row>
    <row r="150" spans="1:6" ht="24.75" thickBot="1">
      <c r="A150" s="1725" t="s">
        <v>1387</v>
      </c>
      <c r="B150" s="1729" t="s">
        <v>1908</v>
      </c>
      <c r="C150" s="1739"/>
      <c r="D150" s="1739"/>
      <c r="E150" s="1739"/>
      <c r="F150" s="1731">
        <v>0.05</v>
      </c>
    </row>
    <row r="151" spans="1:6" ht="24.75" thickBot="1">
      <c r="A151" s="1725" t="s">
        <v>1387</v>
      </c>
      <c r="B151" s="1729" t="s">
        <v>1909</v>
      </c>
      <c r="C151" s="1739"/>
      <c r="D151" s="1739"/>
      <c r="E151" s="1739"/>
      <c r="F151" s="1731">
        <v>0.05</v>
      </c>
    </row>
    <row r="152" spans="1:6" ht="24.75" thickBot="1">
      <c r="A152" s="1725" t="s">
        <v>1387</v>
      </c>
      <c r="B152" s="1729" t="s">
        <v>1369</v>
      </c>
      <c r="C152" s="1739"/>
      <c r="D152" s="1739"/>
      <c r="E152" s="1739"/>
      <c r="F152" s="1731">
        <v>0.05</v>
      </c>
    </row>
    <row r="153" spans="1:6" ht="14.25" thickBot="1">
      <c r="A153" s="1725" t="s">
        <v>1387</v>
      </c>
      <c r="B153" s="1729" t="s">
        <v>1910</v>
      </c>
      <c r="C153" s="1739"/>
      <c r="D153" s="1739"/>
      <c r="E153" s="1739"/>
      <c r="F153" s="1731">
        <v>0.05</v>
      </c>
    </row>
    <row r="154" spans="1:6" ht="14.25" thickBot="1">
      <c r="A154" s="1725" t="s">
        <v>1387</v>
      </c>
      <c r="B154" s="1729" t="s">
        <v>1911</v>
      </c>
      <c r="C154" s="1739"/>
      <c r="D154" s="1739"/>
      <c r="E154" s="1739"/>
      <c r="F154" s="1731">
        <v>0.05</v>
      </c>
    </row>
    <row r="155" spans="1:6" ht="24.75" thickBot="1">
      <c r="A155" s="1725" t="s">
        <v>1387</v>
      </c>
      <c r="B155" s="1729" t="s">
        <v>1912</v>
      </c>
      <c r="C155" s="1739"/>
      <c r="D155" s="1739"/>
      <c r="E155" s="1739"/>
      <c r="F155" s="1731">
        <v>0.05</v>
      </c>
    </row>
    <row r="156" spans="1:6" ht="24.75" thickBot="1">
      <c r="A156" s="1725" t="s">
        <v>1387</v>
      </c>
      <c r="B156" s="1729" t="s">
        <v>1913</v>
      </c>
      <c r="C156" s="1739"/>
      <c r="D156" s="1739"/>
      <c r="E156" s="1739"/>
      <c r="F156" s="1731">
        <v>0.05</v>
      </c>
    </row>
    <row r="157" spans="1:6" ht="14.25" thickBot="1">
      <c r="A157" s="1733" t="s">
        <v>1387</v>
      </c>
      <c r="B157" s="1740" t="s">
        <v>1914</v>
      </c>
      <c r="C157" s="1736"/>
      <c r="D157" s="1736"/>
      <c r="E157" s="1736"/>
      <c r="F157" s="1741">
        <v>0.05</v>
      </c>
    </row>
    <row r="158" spans="1:6" ht="14.25" thickBot="1">
      <c r="A158" s="1725" t="s">
        <v>1389</v>
      </c>
      <c r="B158" s="1726" t="s">
        <v>1915</v>
      </c>
      <c r="C158" s="1727">
        <v>0.13</v>
      </c>
      <c r="D158" s="1727">
        <v>0.13</v>
      </c>
      <c r="E158" s="1727">
        <v>0.13</v>
      </c>
      <c r="F158" s="1728">
        <v>0.13</v>
      </c>
    </row>
    <row r="159" spans="1:6" ht="14.25" thickBot="1">
      <c r="A159" s="1725" t="s">
        <v>1389</v>
      </c>
      <c r="B159" s="1729" t="s">
        <v>1054</v>
      </c>
      <c r="C159" s="1730">
        <v>0.13</v>
      </c>
      <c r="D159" s="1730">
        <v>0.13</v>
      </c>
      <c r="E159" s="1730">
        <v>0.13</v>
      </c>
      <c r="F159" s="1731">
        <v>0.13</v>
      </c>
    </row>
    <row r="160" spans="1:6" ht="14.25" thickBot="1">
      <c r="A160" s="1725" t="s">
        <v>1389</v>
      </c>
      <c r="B160" s="1729" t="s">
        <v>1068</v>
      </c>
      <c r="C160" s="1730">
        <v>0.13</v>
      </c>
      <c r="D160" s="1730">
        <v>0.13</v>
      </c>
      <c r="E160" s="1730">
        <v>0.129</v>
      </c>
      <c r="F160" s="1731">
        <v>0.13</v>
      </c>
    </row>
    <row r="161" spans="1:6" ht="14.25" thickBot="1">
      <c r="A161" s="1725" t="s">
        <v>1389</v>
      </c>
      <c r="B161" s="1729" t="s">
        <v>1081</v>
      </c>
      <c r="C161" s="1730">
        <v>0.128</v>
      </c>
      <c r="D161" s="1730">
        <v>0.128</v>
      </c>
      <c r="E161" s="1730">
        <v>0.125</v>
      </c>
      <c r="F161" s="1731">
        <v>0.13</v>
      </c>
    </row>
    <row r="162" spans="1:6" ht="14.25" thickBot="1">
      <c r="A162" s="1725" t="s">
        <v>1389</v>
      </c>
      <c r="B162" s="1729" t="s">
        <v>1095</v>
      </c>
      <c r="C162" s="1730">
        <v>0.122</v>
      </c>
      <c r="D162" s="1730">
        <v>0.122</v>
      </c>
      <c r="E162" s="1730">
        <v>0.126</v>
      </c>
      <c r="F162" s="1731">
        <v>0.122</v>
      </c>
    </row>
    <row r="163" spans="1:6" ht="14.25" thickBot="1">
      <c r="A163" s="1725" t="s">
        <v>1389</v>
      </c>
      <c r="B163" s="1729" t="s">
        <v>1106</v>
      </c>
      <c r="C163" s="1730">
        <v>0.13</v>
      </c>
      <c r="D163" s="1730">
        <v>0.13</v>
      </c>
      <c r="E163" s="1730">
        <v>0.125</v>
      </c>
      <c r="F163" s="1731">
        <v>0.13</v>
      </c>
    </row>
    <row r="164" spans="1:6" ht="14.25" thickBot="1">
      <c r="A164" s="1725" t="s">
        <v>1389</v>
      </c>
      <c r="B164" s="1729" t="s">
        <v>1117</v>
      </c>
      <c r="C164" s="1730">
        <v>0.13</v>
      </c>
      <c r="D164" s="1730">
        <v>0.13</v>
      </c>
      <c r="E164" s="1730">
        <v>0.13</v>
      </c>
      <c r="F164" s="1731">
        <v>0.13</v>
      </c>
    </row>
    <row r="165" spans="1:6" ht="14.25" thickBot="1">
      <c r="A165" s="1725" t="s">
        <v>1389</v>
      </c>
      <c r="B165" s="1729" t="s">
        <v>1128</v>
      </c>
      <c r="C165" s="1730">
        <v>0.13</v>
      </c>
      <c r="D165" s="1730">
        <v>0.13</v>
      </c>
      <c r="E165" s="1730">
        <v>0.124</v>
      </c>
      <c r="F165" s="1731">
        <v>0.13</v>
      </c>
    </row>
    <row r="166" spans="1:6" ht="14.25" thickBot="1">
      <c r="A166" s="1725" t="s">
        <v>1389</v>
      </c>
      <c r="B166" s="1729" t="s">
        <v>1140</v>
      </c>
      <c r="C166" s="1730">
        <v>0.13</v>
      </c>
      <c r="D166" s="1730">
        <v>0.13</v>
      </c>
      <c r="E166" s="1730">
        <v>0.13</v>
      </c>
      <c r="F166" s="1731">
        <v>0.13</v>
      </c>
    </row>
    <row r="167" spans="1:6" ht="14.25" thickBot="1">
      <c r="A167" s="1725" t="s">
        <v>1389</v>
      </c>
      <c r="B167" s="1729" t="s">
        <v>1150</v>
      </c>
      <c r="C167" s="1730">
        <v>0.125</v>
      </c>
      <c r="D167" s="1730">
        <v>0.125</v>
      </c>
      <c r="E167" s="1730">
        <v>0.121</v>
      </c>
      <c r="F167" s="1738"/>
    </row>
    <row r="168" spans="1:6" ht="14.25" thickBot="1">
      <c r="A168" s="1725" t="s">
        <v>1389</v>
      </c>
      <c r="B168" s="1729" t="s">
        <v>1160</v>
      </c>
      <c r="C168" s="1730">
        <v>0.13</v>
      </c>
      <c r="D168" s="1730">
        <v>0.13</v>
      </c>
      <c r="E168" s="1730">
        <v>0.126</v>
      </c>
      <c r="F168" s="1738"/>
    </row>
    <row r="169" spans="1:6" ht="14.25" thickBot="1">
      <c r="A169" s="1725" t="s">
        <v>1389</v>
      </c>
      <c r="B169" s="1729" t="s">
        <v>1170</v>
      </c>
      <c r="C169" s="1730">
        <v>0.128</v>
      </c>
      <c r="D169" s="1730">
        <v>0.129</v>
      </c>
      <c r="E169" s="1730">
        <v>0.13</v>
      </c>
      <c r="F169" s="1738"/>
    </row>
    <row r="170" spans="1:6" ht="14.25" thickBot="1">
      <c r="A170" s="1725" t="s">
        <v>1389</v>
      </c>
      <c r="B170" s="1729" t="s">
        <v>1180</v>
      </c>
      <c r="C170" s="1730">
        <v>0.14099999999999999</v>
      </c>
      <c r="D170" s="1730">
        <v>0.13</v>
      </c>
      <c r="E170" s="1730">
        <v>0.125</v>
      </c>
      <c r="F170" s="1738"/>
    </row>
    <row r="171" spans="1:6" ht="14.25" thickBot="1">
      <c r="A171" s="1725" t="s">
        <v>1389</v>
      </c>
      <c r="B171" s="1729" t="s">
        <v>1916</v>
      </c>
      <c r="C171" s="1730">
        <v>0.127</v>
      </c>
      <c r="D171" s="1730">
        <v>0.126</v>
      </c>
      <c r="E171" s="1730">
        <v>0.126</v>
      </c>
      <c r="F171" s="1731">
        <v>0.11799999999999999</v>
      </c>
    </row>
    <row r="172" spans="1:6" ht="14.25" thickBot="1">
      <c r="A172" s="1725" t="s">
        <v>1389</v>
      </c>
      <c r="B172" s="1729" t="s">
        <v>1917</v>
      </c>
      <c r="C172" s="1730">
        <v>0.13</v>
      </c>
      <c r="D172" s="1730">
        <v>0.13</v>
      </c>
      <c r="E172" s="1730">
        <v>0.13</v>
      </c>
      <c r="F172" s="1738"/>
    </row>
    <row r="173" spans="1:6" ht="14.25" thickBot="1">
      <c r="A173" s="1725" t="s">
        <v>1389</v>
      </c>
      <c r="B173" s="1729" t="s">
        <v>1210</v>
      </c>
      <c r="C173" s="1730">
        <v>0.13</v>
      </c>
      <c r="D173" s="1730">
        <v>0.13</v>
      </c>
      <c r="E173" s="1730">
        <v>0.13</v>
      </c>
      <c r="F173" s="1738"/>
    </row>
    <row r="174" spans="1:6" ht="14.25" thickBot="1">
      <c r="A174" s="1725" t="s">
        <v>1389</v>
      </c>
      <c r="B174" s="1729" t="s">
        <v>1918</v>
      </c>
      <c r="C174" s="1730">
        <v>0.13</v>
      </c>
      <c r="D174" s="1730">
        <v>0.13</v>
      </c>
      <c r="E174" s="1730">
        <v>0.13</v>
      </c>
      <c r="F174" s="1731">
        <v>0.13</v>
      </c>
    </row>
    <row r="175" spans="1:6" ht="14.25" thickBot="1">
      <c r="A175" s="1725" t="s">
        <v>1389</v>
      </c>
      <c r="B175" s="1729" t="s">
        <v>1919</v>
      </c>
      <c r="C175" s="1730">
        <v>0.13</v>
      </c>
      <c r="D175" s="1730">
        <v>0.13</v>
      </c>
      <c r="E175" s="1730">
        <v>0.13</v>
      </c>
      <c r="F175" s="1731">
        <v>0.13</v>
      </c>
    </row>
    <row r="176" spans="1:6" ht="14.25" thickBot="1">
      <c r="A176" s="1725" t="s">
        <v>1389</v>
      </c>
      <c r="B176" s="1729" t="s">
        <v>1240</v>
      </c>
      <c r="C176" s="1730">
        <v>0.13</v>
      </c>
      <c r="D176" s="1730">
        <v>0.13</v>
      </c>
      <c r="E176" s="1730">
        <v>0.13</v>
      </c>
      <c r="F176" s="1731">
        <v>0.13</v>
      </c>
    </row>
    <row r="177" spans="1:6" ht="14.25" thickBot="1">
      <c r="A177" s="1725" t="s">
        <v>1389</v>
      </c>
      <c r="B177" s="1729" t="s">
        <v>1920</v>
      </c>
      <c r="C177" s="1730">
        <v>0.13</v>
      </c>
      <c r="D177" s="1730">
        <v>0.13</v>
      </c>
      <c r="E177" s="1730">
        <v>0.13</v>
      </c>
      <c r="F177" s="1731">
        <v>0.13</v>
      </c>
    </row>
    <row r="178" spans="1:6" ht="14.25" thickBot="1">
      <c r="A178" s="1725" t="s">
        <v>1389</v>
      </c>
      <c r="B178" s="1729" t="s">
        <v>1258</v>
      </c>
      <c r="C178" s="1730">
        <v>0.13</v>
      </c>
      <c r="D178" s="1730">
        <v>0.13</v>
      </c>
      <c r="E178" s="1730">
        <v>0.13</v>
      </c>
      <c r="F178" s="1731">
        <v>0.127</v>
      </c>
    </row>
    <row r="179" spans="1:6" ht="14.25" thickBot="1">
      <c r="A179" s="1725" t="s">
        <v>1389</v>
      </c>
      <c r="B179" s="1729" t="s">
        <v>1266</v>
      </c>
      <c r="C179" s="1730">
        <v>0.13</v>
      </c>
      <c r="D179" s="1730">
        <v>0.13</v>
      </c>
      <c r="E179" s="1730">
        <v>0.13</v>
      </c>
      <c r="F179" s="1738"/>
    </row>
    <row r="180" spans="1:6" ht="14.25" thickBot="1">
      <c r="A180" s="1725" t="s">
        <v>1389</v>
      </c>
      <c r="B180" s="1729" t="s">
        <v>1921</v>
      </c>
      <c r="C180" s="1730">
        <v>0.13</v>
      </c>
      <c r="D180" s="1730">
        <v>0.13</v>
      </c>
      <c r="E180" s="1730">
        <v>0.125</v>
      </c>
      <c r="F180" s="1731">
        <v>0.13</v>
      </c>
    </row>
    <row r="181" spans="1:6" ht="14.25" thickBot="1">
      <c r="A181" s="1725" t="s">
        <v>1389</v>
      </c>
      <c r="B181" s="1729" t="s">
        <v>1280</v>
      </c>
      <c r="C181" s="1730">
        <v>0.122</v>
      </c>
      <c r="D181" s="1730">
        <v>0.123</v>
      </c>
      <c r="E181" s="1730">
        <v>0.126</v>
      </c>
      <c r="F181" s="1731">
        <v>0.121</v>
      </c>
    </row>
    <row r="182" spans="1:6" ht="14.25" thickBot="1">
      <c r="A182" s="1725" t="s">
        <v>1389</v>
      </c>
      <c r="B182" s="1729" t="s">
        <v>1287</v>
      </c>
      <c r="C182" s="1730">
        <v>0.125</v>
      </c>
      <c r="D182" s="1730">
        <v>0.125</v>
      </c>
      <c r="E182" s="1730">
        <v>0.11700000000000001</v>
      </c>
      <c r="F182" s="1731">
        <v>0.13</v>
      </c>
    </row>
    <row r="183" spans="1:6" ht="14.25" thickBot="1">
      <c r="A183" s="1725" t="s">
        <v>1389</v>
      </c>
      <c r="B183" s="1729" t="s">
        <v>1294</v>
      </c>
      <c r="C183" s="1730">
        <v>0.127</v>
      </c>
      <c r="D183" s="1730">
        <v>0.127</v>
      </c>
      <c r="E183" s="1730">
        <v>0.128</v>
      </c>
      <c r="F183" s="1738"/>
    </row>
    <row r="184" spans="1:6" ht="14.25" thickBot="1">
      <c r="A184" s="1725" t="s">
        <v>1389</v>
      </c>
      <c r="B184" s="1729" t="s">
        <v>1301</v>
      </c>
      <c r="C184" s="1730">
        <v>0.125</v>
      </c>
      <c r="D184" s="1730">
        <v>0.125</v>
      </c>
      <c r="E184" s="1730">
        <v>0.127</v>
      </c>
      <c r="F184" s="1738"/>
    </row>
    <row r="185" spans="1:6" ht="14.25" thickBot="1">
      <c r="A185" s="1725" t="s">
        <v>1389</v>
      </c>
      <c r="B185" s="1729" t="s">
        <v>1922</v>
      </c>
      <c r="C185" s="1730">
        <v>0.127</v>
      </c>
      <c r="D185" s="1730">
        <v>0.127</v>
      </c>
      <c r="E185" s="1730">
        <v>0.128</v>
      </c>
      <c r="F185" s="1731">
        <v>0.13</v>
      </c>
    </row>
    <row r="186" spans="1:6" ht="24.75" thickBot="1">
      <c r="A186" s="1725" t="s">
        <v>1389</v>
      </c>
      <c r="B186" s="1729" t="s">
        <v>1923</v>
      </c>
      <c r="C186" s="1739"/>
      <c r="D186" s="1739"/>
      <c r="E186" s="1739"/>
      <c r="F186" s="1731">
        <v>0.05</v>
      </c>
    </row>
    <row r="187" spans="1:6" ht="14.25" thickBot="1">
      <c r="A187" s="1725" t="s">
        <v>1389</v>
      </c>
      <c r="B187" s="1729" t="s">
        <v>1924</v>
      </c>
      <c r="C187" s="1739"/>
      <c r="D187" s="1739"/>
      <c r="E187" s="1739"/>
      <c r="F187" s="1731">
        <v>0.05</v>
      </c>
    </row>
    <row r="188" spans="1:6" ht="14.25" thickBot="1">
      <c r="A188" s="1725" t="s">
        <v>1389</v>
      </c>
      <c r="B188" s="1729" t="s">
        <v>1925</v>
      </c>
      <c r="C188" s="1739"/>
      <c r="D188" s="1739"/>
      <c r="E188" s="1739"/>
      <c r="F188" s="1731">
        <v>0.05</v>
      </c>
    </row>
    <row r="189" spans="1:6" ht="24.75" thickBot="1">
      <c r="A189" s="1725" t="s">
        <v>1389</v>
      </c>
      <c r="B189" s="1729" t="s">
        <v>1926</v>
      </c>
      <c r="C189" s="1739"/>
      <c r="D189" s="1739"/>
      <c r="E189" s="1739"/>
      <c r="F189" s="1731">
        <v>0.05</v>
      </c>
    </row>
    <row r="190" spans="1:6" ht="24.75" thickBot="1">
      <c r="A190" s="1725" t="s">
        <v>1389</v>
      </c>
      <c r="B190" s="1729" t="s">
        <v>1927</v>
      </c>
      <c r="C190" s="1739"/>
      <c r="D190" s="1739"/>
      <c r="E190" s="1739"/>
      <c r="F190" s="1731">
        <v>0.05</v>
      </c>
    </row>
    <row r="191" spans="1:6" ht="24.75" thickBot="1">
      <c r="A191" s="1725" t="s">
        <v>1389</v>
      </c>
      <c r="B191" s="1729" t="s">
        <v>1928</v>
      </c>
      <c r="C191" s="1739"/>
      <c r="D191" s="1739"/>
      <c r="E191" s="1739"/>
      <c r="F191" s="1731">
        <v>0.05</v>
      </c>
    </row>
    <row r="192" spans="1:6" ht="24.75" thickBot="1">
      <c r="A192" s="1725" t="s">
        <v>1389</v>
      </c>
      <c r="B192" s="1729" t="s">
        <v>1929</v>
      </c>
      <c r="C192" s="1739"/>
      <c r="D192" s="1739"/>
      <c r="E192" s="1739"/>
      <c r="F192" s="1731">
        <v>0.05</v>
      </c>
    </row>
    <row r="193" spans="1:6" ht="24.75" thickBot="1">
      <c r="A193" s="1725" t="s">
        <v>1389</v>
      </c>
      <c r="B193" s="1729" t="s">
        <v>1930</v>
      </c>
      <c r="C193" s="1739"/>
      <c r="D193" s="1739"/>
      <c r="E193" s="1739"/>
      <c r="F193" s="1731">
        <v>0.05</v>
      </c>
    </row>
    <row r="194" spans="1:6" ht="24.75" thickBot="1">
      <c r="A194" s="1725" t="s">
        <v>1389</v>
      </c>
      <c r="B194" s="1729" t="s">
        <v>1931</v>
      </c>
      <c r="C194" s="1739"/>
      <c r="D194" s="1739"/>
      <c r="E194" s="1739"/>
      <c r="F194" s="1731">
        <v>0.05</v>
      </c>
    </row>
    <row r="195" spans="1:6" ht="14.25" thickBot="1">
      <c r="A195" s="1725" t="s">
        <v>1389</v>
      </c>
      <c r="B195" s="1729" t="s">
        <v>1932</v>
      </c>
      <c r="C195" s="1739"/>
      <c r="D195" s="1739"/>
      <c r="E195" s="1739"/>
      <c r="F195" s="1731">
        <v>0.05</v>
      </c>
    </row>
    <row r="196" spans="1:6" ht="24.75" thickBot="1">
      <c r="A196" s="1725" t="s">
        <v>1389</v>
      </c>
      <c r="B196" s="1729" t="s">
        <v>1933</v>
      </c>
      <c r="C196" s="1739"/>
      <c r="D196" s="1739"/>
      <c r="E196" s="1739"/>
      <c r="F196" s="1731">
        <v>0.05</v>
      </c>
    </row>
    <row r="197" spans="1:6" ht="24.75" thickBot="1">
      <c r="A197" s="1725" t="s">
        <v>1389</v>
      </c>
      <c r="B197" s="1729" t="s">
        <v>1934</v>
      </c>
      <c r="C197" s="1739"/>
      <c r="D197" s="1739"/>
      <c r="E197" s="1739"/>
      <c r="F197" s="1731">
        <v>0.05</v>
      </c>
    </row>
    <row r="198" spans="1:6" ht="24.75" thickBot="1">
      <c r="A198" s="1725" t="s">
        <v>1389</v>
      </c>
      <c r="B198" s="1729" t="s">
        <v>1935</v>
      </c>
      <c r="C198" s="1739"/>
      <c r="D198" s="1739"/>
      <c r="E198" s="1739"/>
      <c r="F198" s="1731">
        <v>0.05</v>
      </c>
    </row>
    <row r="199" spans="1:6" ht="24.75" thickBot="1">
      <c r="A199" s="1725" t="s">
        <v>1389</v>
      </c>
      <c r="B199" s="1729" t="s">
        <v>1936</v>
      </c>
      <c r="C199" s="1739"/>
      <c r="D199" s="1739"/>
      <c r="E199" s="1739"/>
      <c r="F199" s="1731">
        <v>0.05</v>
      </c>
    </row>
    <row r="200" spans="1:6" ht="24.75" thickBot="1">
      <c r="A200" s="1725" t="s">
        <v>1389</v>
      </c>
      <c r="B200" s="1729" t="s">
        <v>1937</v>
      </c>
      <c r="C200" s="1739"/>
      <c r="D200" s="1739"/>
      <c r="E200" s="1739"/>
      <c r="F200" s="1731">
        <v>0.05</v>
      </c>
    </row>
    <row r="201" spans="1:6" ht="24.75" thickBot="1">
      <c r="A201" s="1725" t="s">
        <v>1389</v>
      </c>
      <c r="B201" s="1729" t="s">
        <v>1938</v>
      </c>
      <c r="C201" s="1739"/>
      <c r="D201" s="1739"/>
      <c r="E201" s="1739"/>
      <c r="F201" s="1731">
        <v>0.05</v>
      </c>
    </row>
    <row r="202" spans="1:6" ht="24.75" thickBot="1">
      <c r="A202" s="1725" t="s">
        <v>1389</v>
      </c>
      <c r="B202" s="1729" t="s">
        <v>1939</v>
      </c>
      <c r="C202" s="1739"/>
      <c r="D202" s="1739"/>
      <c r="E202" s="1739"/>
      <c r="F202" s="1731">
        <v>0.05</v>
      </c>
    </row>
    <row r="203" spans="1:6" ht="24.75" thickBot="1">
      <c r="A203" s="1725" t="s">
        <v>1389</v>
      </c>
      <c r="B203" s="1729" t="s">
        <v>1940</v>
      </c>
      <c r="C203" s="1739"/>
      <c r="D203" s="1739"/>
      <c r="E203" s="1739"/>
      <c r="F203" s="1731">
        <v>0.05</v>
      </c>
    </row>
    <row r="204" spans="1:6" ht="14.25" thickBot="1">
      <c r="A204" s="1725" t="s">
        <v>1389</v>
      </c>
      <c r="B204" s="1729" t="s">
        <v>1941</v>
      </c>
      <c r="C204" s="1739"/>
      <c r="D204" s="1739"/>
      <c r="E204" s="1739"/>
      <c r="F204" s="1731">
        <v>0.05</v>
      </c>
    </row>
    <row r="205" spans="1:6" ht="14.25" thickBot="1">
      <c r="A205" s="1733" t="s">
        <v>1389</v>
      </c>
      <c r="B205" s="1740" t="s">
        <v>1942</v>
      </c>
      <c r="C205" s="1736"/>
      <c r="D205" s="1736"/>
      <c r="E205" s="1736"/>
      <c r="F205" s="1741">
        <v>0.05</v>
      </c>
    </row>
    <row r="206" spans="1:6" ht="14.25" thickBot="1">
      <c r="A206" s="1725" t="s">
        <v>1391</v>
      </c>
      <c r="B206" s="1726" t="s">
        <v>1943</v>
      </c>
      <c r="C206" s="1727">
        <v>0.15</v>
      </c>
      <c r="D206" s="1727">
        <v>0.15</v>
      </c>
      <c r="E206" s="1727">
        <v>0.15</v>
      </c>
      <c r="F206" s="1728">
        <v>0.15</v>
      </c>
    </row>
    <row r="207" spans="1:6" ht="14.25" thickBot="1">
      <c r="A207" s="1725" t="s">
        <v>1391</v>
      </c>
      <c r="B207" s="1729" t="s">
        <v>1055</v>
      </c>
      <c r="C207" s="1730">
        <v>0.15</v>
      </c>
      <c r="D207" s="1730">
        <v>0.15</v>
      </c>
      <c r="E207" s="1730">
        <v>0.15</v>
      </c>
      <c r="F207" s="1731">
        <v>0.14399999999999999</v>
      </c>
    </row>
    <row r="208" spans="1:6" ht="14.25" thickBot="1">
      <c r="A208" s="1725" t="s">
        <v>1391</v>
      </c>
      <c r="B208" s="1729" t="s">
        <v>1069</v>
      </c>
      <c r="C208" s="1730">
        <v>0.15</v>
      </c>
      <c r="D208" s="1730">
        <v>0.15</v>
      </c>
      <c r="E208" s="1730">
        <v>0.15</v>
      </c>
      <c r="F208" s="1731">
        <v>0.15</v>
      </c>
    </row>
    <row r="209" spans="1:6" ht="14.25" thickBot="1">
      <c r="A209" s="1725" t="s">
        <v>1391</v>
      </c>
      <c r="B209" s="1729" t="s">
        <v>1082</v>
      </c>
      <c r="C209" s="1730">
        <v>0.13700000000000001</v>
      </c>
      <c r="D209" s="1730">
        <v>0.13700000000000001</v>
      </c>
      <c r="E209" s="1730">
        <v>0.14000000000000001</v>
      </c>
      <c r="F209" s="1731">
        <v>0.11700000000000001</v>
      </c>
    </row>
    <row r="210" spans="1:6" ht="14.25" thickBot="1">
      <c r="A210" s="1725" t="s">
        <v>1391</v>
      </c>
      <c r="B210" s="1729" t="s">
        <v>1944</v>
      </c>
      <c r="C210" s="1730">
        <v>0.15</v>
      </c>
      <c r="D210" s="1730">
        <v>0.15</v>
      </c>
      <c r="E210" s="1730">
        <v>0.15</v>
      </c>
      <c r="F210" s="1731">
        <v>0.13800000000000001</v>
      </c>
    </row>
    <row r="211" spans="1:6" ht="14.25" thickBot="1">
      <c r="A211" s="1725" t="s">
        <v>1391</v>
      </c>
      <c r="B211" s="1729" t="s">
        <v>1945</v>
      </c>
      <c r="C211" s="1730">
        <v>0.13700000000000001</v>
      </c>
      <c r="D211" s="1730">
        <v>0.13500000000000001</v>
      </c>
      <c r="E211" s="1730">
        <v>0.13600000000000001</v>
      </c>
      <c r="F211" s="1731">
        <v>0.1</v>
      </c>
    </row>
    <row r="212" spans="1:6" ht="14.25" thickBot="1">
      <c r="A212" s="1725" t="s">
        <v>1391</v>
      </c>
      <c r="B212" s="1729" t="s">
        <v>1946</v>
      </c>
      <c r="C212" s="1730">
        <v>0.15</v>
      </c>
      <c r="D212" s="1730">
        <v>0.15</v>
      </c>
      <c r="E212" s="1730">
        <v>0.14799999999999999</v>
      </c>
      <c r="F212" s="1731">
        <v>0.13600000000000001</v>
      </c>
    </row>
    <row r="213" spans="1:6" ht="14.25" thickBot="1">
      <c r="A213" s="1725" t="s">
        <v>1391</v>
      </c>
      <c r="B213" s="1729" t="s">
        <v>1129</v>
      </c>
      <c r="C213" s="1730">
        <v>0.15</v>
      </c>
      <c r="D213" s="1730">
        <v>0.15</v>
      </c>
      <c r="E213" s="1730">
        <v>0.15</v>
      </c>
      <c r="F213" s="1731">
        <v>0.13800000000000001</v>
      </c>
    </row>
    <row r="214" spans="1:6" ht="14.25" thickBot="1">
      <c r="A214" s="1725" t="s">
        <v>1391</v>
      </c>
      <c r="B214" s="1729" t="s">
        <v>1141</v>
      </c>
      <c r="C214" s="1730">
        <v>9.0999999999999998E-2</v>
      </c>
      <c r="D214" s="1730">
        <v>0.09</v>
      </c>
      <c r="E214" s="1730">
        <v>9.1999999999999998E-2</v>
      </c>
      <c r="F214" s="1738"/>
    </row>
    <row r="215" spans="1:6" ht="14.25" thickBot="1">
      <c r="A215" s="1725" t="s">
        <v>1391</v>
      </c>
      <c r="B215" s="1729" t="s">
        <v>1947</v>
      </c>
      <c r="C215" s="1730">
        <v>0.15</v>
      </c>
      <c r="D215" s="1730">
        <v>0.15</v>
      </c>
      <c r="E215" s="1730">
        <v>0.15</v>
      </c>
      <c r="F215" s="1731">
        <v>0.15</v>
      </c>
    </row>
    <row r="216" spans="1:6" ht="14.25" thickBot="1">
      <c r="A216" s="1725" t="s">
        <v>1391</v>
      </c>
      <c r="B216" s="1729" t="s">
        <v>1161</v>
      </c>
      <c r="C216" s="1730">
        <v>0.14699999999999999</v>
      </c>
      <c r="D216" s="1730">
        <v>0.14699999999999999</v>
      </c>
      <c r="E216" s="1730">
        <v>0.15</v>
      </c>
      <c r="F216" s="1731">
        <v>0.14000000000000001</v>
      </c>
    </row>
    <row r="217" spans="1:6" ht="14.25" thickBot="1">
      <c r="A217" s="1725" t="s">
        <v>1391</v>
      </c>
      <c r="B217" s="1729" t="s">
        <v>1171</v>
      </c>
      <c r="C217" s="1730">
        <v>0.15</v>
      </c>
      <c r="D217" s="1730">
        <v>0.15</v>
      </c>
      <c r="E217" s="1730">
        <v>0.15</v>
      </c>
      <c r="F217" s="1731">
        <v>0.15</v>
      </c>
    </row>
    <row r="218" spans="1:6" ht="14.25" thickBot="1">
      <c r="A218" s="1725" t="s">
        <v>1391</v>
      </c>
      <c r="B218" s="1729" t="s">
        <v>1948</v>
      </c>
      <c r="C218" s="1730">
        <v>0.15</v>
      </c>
      <c r="D218" s="1730">
        <v>0.15</v>
      </c>
      <c r="E218" s="1730">
        <v>0.15</v>
      </c>
      <c r="F218" s="1731">
        <v>0.15</v>
      </c>
    </row>
    <row r="219" spans="1:6" ht="14.25" thickBot="1">
      <c r="A219" s="1725" t="s">
        <v>1391</v>
      </c>
      <c r="B219" s="1729" t="s">
        <v>1191</v>
      </c>
      <c r="C219" s="1730">
        <v>0.15</v>
      </c>
      <c r="D219" s="1730">
        <v>0.15</v>
      </c>
      <c r="E219" s="1730">
        <v>0.15</v>
      </c>
      <c r="F219" s="1731">
        <v>0.14799999999999999</v>
      </c>
    </row>
    <row r="220" spans="1:6" ht="14.25" thickBot="1">
      <c r="A220" s="1725" t="s">
        <v>1391</v>
      </c>
      <c r="B220" s="1729" t="s">
        <v>1949</v>
      </c>
      <c r="C220" s="1730">
        <v>0.15</v>
      </c>
      <c r="D220" s="1730">
        <v>0.15</v>
      </c>
      <c r="E220" s="1730">
        <v>0.15</v>
      </c>
      <c r="F220" s="1731">
        <v>0.15</v>
      </c>
    </row>
    <row r="221" spans="1:6" ht="14.25" thickBot="1">
      <c r="A221" s="1725" t="s">
        <v>1391</v>
      </c>
      <c r="B221" s="1729" t="s">
        <v>1211</v>
      </c>
      <c r="C221" s="1730"/>
      <c r="D221" s="1739"/>
      <c r="E221" s="1739"/>
      <c r="F221" s="1731">
        <v>0.14799999999999999</v>
      </c>
    </row>
    <row r="222" spans="1:6" ht="14.25" thickBot="1">
      <c r="A222" s="1725" t="s">
        <v>1391</v>
      </c>
      <c r="B222" s="1729" t="s">
        <v>1221</v>
      </c>
      <c r="C222" s="1730"/>
      <c r="D222" s="1739"/>
      <c r="E222" s="1739"/>
      <c r="F222" s="1731">
        <v>0.1</v>
      </c>
    </row>
    <row r="223" spans="1:6" ht="14.25" thickBot="1">
      <c r="A223" s="1725" t="s">
        <v>1391</v>
      </c>
      <c r="B223" s="1729" t="s">
        <v>1231</v>
      </c>
      <c r="C223" s="1730"/>
      <c r="D223" s="1739"/>
      <c r="E223" s="1739"/>
      <c r="F223" s="1731">
        <v>0.15</v>
      </c>
    </row>
    <row r="224" spans="1:6" ht="14.25" thickBot="1">
      <c r="A224" s="1725" t="s">
        <v>1391</v>
      </c>
      <c r="B224" s="1729" t="s">
        <v>1241</v>
      </c>
      <c r="C224" s="1730"/>
      <c r="D224" s="1739"/>
      <c r="E224" s="1739"/>
      <c r="F224" s="1731">
        <v>0.15</v>
      </c>
    </row>
    <row r="225" spans="1:6" ht="14.25" thickBot="1">
      <c r="A225" s="1725" t="s">
        <v>1391</v>
      </c>
      <c r="B225" s="1729" t="s">
        <v>1950</v>
      </c>
      <c r="C225" s="1730">
        <v>0.15</v>
      </c>
      <c r="D225" s="1730">
        <v>0.15</v>
      </c>
      <c r="E225" s="1730">
        <v>0.15</v>
      </c>
      <c r="F225" s="1731">
        <v>0.15</v>
      </c>
    </row>
    <row r="226" spans="1:6" ht="14.25" thickBot="1">
      <c r="A226" s="1725" t="s">
        <v>1391</v>
      </c>
      <c r="B226" s="1729" t="s">
        <v>1259</v>
      </c>
      <c r="C226" s="1730">
        <v>0.15</v>
      </c>
      <c r="D226" s="1730">
        <v>0.15</v>
      </c>
      <c r="E226" s="1730">
        <v>0.15</v>
      </c>
      <c r="F226" s="1731">
        <v>0.14799999999999999</v>
      </c>
    </row>
    <row r="227" spans="1:6" ht="14.25" thickBot="1">
      <c r="A227" s="1725" t="s">
        <v>1391</v>
      </c>
      <c r="B227" s="1729" t="s">
        <v>1951</v>
      </c>
      <c r="C227" s="1730">
        <v>0.15</v>
      </c>
      <c r="D227" s="1730">
        <v>0.15</v>
      </c>
      <c r="E227" s="1730">
        <v>0.15</v>
      </c>
      <c r="F227" s="1731">
        <v>0.15</v>
      </c>
    </row>
    <row r="228" spans="1:6" ht="14.25" thickBot="1">
      <c r="A228" s="1725" t="s">
        <v>1391</v>
      </c>
      <c r="B228" s="1729" t="s">
        <v>1274</v>
      </c>
      <c r="C228" s="1730">
        <v>0.15</v>
      </c>
      <c r="D228" s="1730">
        <v>0.15</v>
      </c>
      <c r="E228" s="1730">
        <v>0.15</v>
      </c>
      <c r="F228" s="1731">
        <v>0.15</v>
      </c>
    </row>
    <row r="229" spans="1:6" ht="14.25" thickBot="1">
      <c r="A229" s="1725" t="s">
        <v>1391</v>
      </c>
      <c r="B229" s="1729" t="s">
        <v>1281</v>
      </c>
      <c r="C229" s="1730">
        <v>0.15</v>
      </c>
      <c r="D229" s="1730">
        <v>0.15</v>
      </c>
      <c r="E229" s="1730">
        <v>0.15</v>
      </c>
      <c r="F229" s="1738"/>
    </row>
    <row r="230" spans="1:6" ht="14.25" thickBot="1">
      <c r="A230" s="1725" t="s">
        <v>1391</v>
      </c>
      <c r="B230" s="1729" t="s">
        <v>1288</v>
      </c>
      <c r="C230" s="1730">
        <v>0.14499999999999999</v>
      </c>
      <c r="D230" s="1730">
        <v>0.14499999999999999</v>
      </c>
      <c r="E230" s="1730">
        <v>0.14399999999999999</v>
      </c>
      <c r="F230" s="1738"/>
    </row>
    <row r="231" spans="1:6" ht="14.25" thickBot="1">
      <c r="A231" s="1725" t="s">
        <v>1391</v>
      </c>
      <c r="B231" s="1729" t="s">
        <v>1952</v>
      </c>
      <c r="C231" s="1730">
        <v>0.128</v>
      </c>
      <c r="D231" s="1730">
        <v>0.125</v>
      </c>
      <c r="E231" s="1730">
        <v>0.13200000000000001</v>
      </c>
      <c r="F231" s="1738"/>
    </row>
    <row r="232" spans="1:6" ht="14.25" thickBot="1">
      <c r="A232" s="1725" t="s">
        <v>1391</v>
      </c>
      <c r="B232" s="1729" t="s">
        <v>1953</v>
      </c>
      <c r="C232" s="1730">
        <v>0.14499999999999999</v>
      </c>
      <c r="D232" s="1730">
        <v>0.14399999999999999</v>
      </c>
      <c r="E232" s="1730">
        <v>0.14599999999999999</v>
      </c>
      <c r="F232" s="1731">
        <v>0.13800000000000001</v>
      </c>
    </row>
    <row r="233" spans="1:6" ht="14.25" thickBot="1">
      <c r="A233" s="1725" t="s">
        <v>1391</v>
      </c>
      <c r="B233" s="1729" t="s">
        <v>1954</v>
      </c>
      <c r="C233" s="1730">
        <v>0.14499999999999999</v>
      </c>
      <c r="D233" s="1730">
        <v>0.14299999999999999</v>
      </c>
      <c r="E233" s="1730">
        <v>0.14199999999999999</v>
      </c>
      <c r="F233" s="1738"/>
    </row>
    <row r="234" spans="1:6" ht="14.25" thickBot="1">
      <c r="A234" s="1725" t="s">
        <v>1391</v>
      </c>
      <c r="B234" s="1729" t="s">
        <v>1955</v>
      </c>
      <c r="C234" s="1730">
        <v>0.14000000000000001</v>
      </c>
      <c r="D234" s="1730">
        <v>0.14000000000000001</v>
      </c>
      <c r="E234" s="1730">
        <v>0.14399999999999999</v>
      </c>
      <c r="F234" s="1738"/>
    </row>
    <row r="235" spans="1:6" ht="14.25" thickBot="1">
      <c r="A235" s="1725" t="s">
        <v>1391</v>
      </c>
      <c r="B235" s="1729" t="s">
        <v>1956</v>
      </c>
      <c r="C235" s="1730">
        <v>0.14099999999999999</v>
      </c>
      <c r="D235" s="1730">
        <v>0.14199999999999999</v>
      </c>
      <c r="E235" s="1730">
        <v>0.14499999999999999</v>
      </c>
      <c r="F235" s="1731">
        <v>0.15</v>
      </c>
    </row>
    <row r="236" spans="1:6" ht="14.25" thickBot="1">
      <c r="A236" s="1725" t="s">
        <v>1391</v>
      </c>
      <c r="B236" s="1729" t="s">
        <v>1323</v>
      </c>
      <c r="C236" s="1739"/>
      <c r="D236" s="1739"/>
      <c r="E236" s="1739"/>
      <c r="F236" s="1731">
        <v>0.14299999999999999</v>
      </c>
    </row>
    <row r="237" spans="1:6" ht="24.75" thickBot="1">
      <c r="A237" s="1725" t="s">
        <v>1391</v>
      </c>
      <c r="B237" s="1729" t="s">
        <v>1957</v>
      </c>
      <c r="C237" s="1739"/>
      <c r="D237" s="1739"/>
      <c r="E237" s="1739"/>
      <c r="F237" s="1731">
        <v>0.05</v>
      </c>
    </row>
    <row r="238" spans="1:6" ht="24.75" thickBot="1">
      <c r="A238" s="1725" t="s">
        <v>1391</v>
      </c>
      <c r="B238" s="1729" t="s">
        <v>1958</v>
      </c>
      <c r="C238" s="1739"/>
      <c r="D238" s="1739"/>
      <c r="E238" s="1739"/>
      <c r="F238" s="1731">
        <v>0.05</v>
      </c>
    </row>
    <row r="239" spans="1:6" ht="24.75" thickBot="1">
      <c r="A239" s="1725" t="s">
        <v>1391</v>
      </c>
      <c r="B239" s="1729" t="s">
        <v>1959</v>
      </c>
      <c r="C239" s="1739"/>
      <c r="D239" s="1739"/>
      <c r="E239" s="1739"/>
      <c r="F239" s="1731">
        <v>0.05</v>
      </c>
    </row>
    <row r="240" spans="1:6" ht="24.75" thickBot="1">
      <c r="A240" s="1725" t="s">
        <v>1391</v>
      </c>
      <c r="B240" s="1729" t="s">
        <v>1960</v>
      </c>
      <c r="C240" s="1739"/>
      <c r="D240" s="1739"/>
      <c r="E240" s="1739"/>
      <c r="F240" s="1731">
        <v>0.05</v>
      </c>
    </row>
    <row r="241" spans="1:6" ht="24.75" thickBot="1">
      <c r="A241" s="1725" t="s">
        <v>1391</v>
      </c>
      <c r="B241" s="1729" t="s">
        <v>1961</v>
      </c>
      <c r="C241" s="1739"/>
      <c r="D241" s="1739"/>
      <c r="E241" s="1739"/>
      <c r="F241" s="1731">
        <v>0.05</v>
      </c>
    </row>
    <row r="242" spans="1:6" ht="24.75" thickBot="1">
      <c r="A242" s="1725" t="s">
        <v>1391</v>
      </c>
      <c r="B242" s="1729" t="s">
        <v>1962</v>
      </c>
      <c r="C242" s="1739"/>
      <c r="D242" s="1739"/>
      <c r="E242" s="1739"/>
      <c r="F242" s="1731">
        <v>0.05</v>
      </c>
    </row>
    <row r="243" spans="1:6" ht="24.75" thickBot="1">
      <c r="A243" s="1725" t="s">
        <v>1391</v>
      </c>
      <c r="B243" s="1729" t="s">
        <v>1963</v>
      </c>
      <c r="C243" s="1739"/>
      <c r="D243" s="1739"/>
      <c r="E243" s="1739"/>
      <c r="F243" s="1731">
        <v>0.05</v>
      </c>
    </row>
    <row r="244" spans="1:6" ht="24.75" thickBot="1">
      <c r="A244" s="1733" t="s">
        <v>1391</v>
      </c>
      <c r="B244" s="1740" t="s">
        <v>1964</v>
      </c>
      <c r="C244" s="1736"/>
      <c r="D244" s="1736"/>
      <c r="E244" s="1736"/>
      <c r="F244" s="1741">
        <v>0.05</v>
      </c>
    </row>
    <row r="245" spans="1:6" ht="14.25" thickBot="1">
      <c r="A245" s="1725" t="s">
        <v>1393</v>
      </c>
      <c r="B245" s="1726" t="s">
        <v>1965</v>
      </c>
      <c r="C245" s="1727">
        <v>0.15</v>
      </c>
      <c r="D245" s="1727">
        <v>0.15</v>
      </c>
      <c r="E245" s="1727">
        <v>0.15</v>
      </c>
      <c r="F245" s="1728">
        <v>0.14299999999999999</v>
      </c>
    </row>
    <row r="246" spans="1:6" ht="14.25" thickBot="1">
      <c r="A246" s="1725" t="s">
        <v>1393</v>
      </c>
      <c r="B246" s="1729" t="s">
        <v>1056</v>
      </c>
      <c r="C246" s="1730">
        <v>0.15</v>
      </c>
      <c r="D246" s="1730">
        <v>0.15</v>
      </c>
      <c r="E246" s="1730">
        <v>0.15</v>
      </c>
      <c r="F246" s="1731">
        <v>0.114</v>
      </c>
    </row>
    <row r="247" spans="1:6" ht="14.25" thickBot="1">
      <c r="A247" s="1725" t="s">
        <v>1393</v>
      </c>
      <c r="B247" s="1729" t="s">
        <v>1966</v>
      </c>
      <c r="C247" s="1730">
        <v>0.15</v>
      </c>
      <c r="D247" s="1730">
        <v>0.15</v>
      </c>
      <c r="E247" s="1730">
        <v>0.15</v>
      </c>
      <c r="F247" s="1731">
        <v>0.15</v>
      </c>
    </row>
    <row r="248" spans="1:6" ht="14.25" thickBot="1">
      <c r="A248" s="1725" t="s">
        <v>1393</v>
      </c>
      <c r="B248" s="1729" t="s">
        <v>1967</v>
      </c>
      <c r="C248" s="1730">
        <v>0.15</v>
      </c>
      <c r="D248" s="1730">
        <v>0.15</v>
      </c>
      <c r="E248" s="1730">
        <v>0.15</v>
      </c>
      <c r="F248" s="1731">
        <v>0.14000000000000001</v>
      </c>
    </row>
    <row r="249" spans="1:6" ht="14.25" thickBot="1">
      <c r="A249" s="1725" t="s">
        <v>1393</v>
      </c>
      <c r="B249" s="1729" t="s">
        <v>1968</v>
      </c>
      <c r="C249" s="1730">
        <v>0.15</v>
      </c>
      <c r="D249" s="1730">
        <v>0.14899999999999999</v>
      </c>
      <c r="E249" s="1730">
        <v>0.15</v>
      </c>
      <c r="F249" s="1731">
        <v>0.1</v>
      </c>
    </row>
    <row r="250" spans="1:6" ht="14.25" thickBot="1">
      <c r="A250" s="1725" t="s">
        <v>1393</v>
      </c>
      <c r="B250" s="1729" t="s">
        <v>1969</v>
      </c>
      <c r="C250" s="1730">
        <v>0.15</v>
      </c>
      <c r="D250" s="1730">
        <v>0.15</v>
      </c>
      <c r="E250" s="1730">
        <v>0.15</v>
      </c>
      <c r="F250" s="1731">
        <v>0.14399999999999999</v>
      </c>
    </row>
    <row r="251" spans="1:6" ht="14.25" thickBot="1">
      <c r="A251" s="1725" t="s">
        <v>1393</v>
      </c>
      <c r="B251" s="1729" t="s">
        <v>1119</v>
      </c>
      <c r="C251" s="1730">
        <v>0.15</v>
      </c>
      <c r="D251" s="1730">
        <v>0.15</v>
      </c>
      <c r="E251" s="1730">
        <v>0.15</v>
      </c>
      <c r="F251" s="1731">
        <v>0.14299999999999999</v>
      </c>
    </row>
    <row r="252" spans="1:6" ht="14.25" thickBot="1">
      <c r="A252" s="1725" t="s">
        <v>1393</v>
      </c>
      <c r="B252" s="1729" t="s">
        <v>1130</v>
      </c>
      <c r="C252" s="1730">
        <v>0.15</v>
      </c>
      <c r="D252" s="1730">
        <v>0.15</v>
      </c>
      <c r="E252" s="1730">
        <v>0.15</v>
      </c>
      <c r="F252" s="1731">
        <v>0.1</v>
      </c>
    </row>
    <row r="253" spans="1:6" ht="14.25" thickBot="1">
      <c r="A253" s="1725" t="s">
        <v>1393</v>
      </c>
      <c r="B253" s="1729" t="s">
        <v>1142</v>
      </c>
      <c r="C253" s="1730">
        <v>0.15</v>
      </c>
      <c r="D253" s="1730">
        <v>0.15</v>
      </c>
      <c r="E253" s="1730">
        <v>0.15</v>
      </c>
      <c r="F253" s="1731">
        <v>0.1</v>
      </c>
    </row>
    <row r="254" spans="1:6" ht="14.25" thickBot="1">
      <c r="A254" s="1725" t="s">
        <v>1393</v>
      </c>
      <c r="B254" s="1729" t="s">
        <v>1152</v>
      </c>
      <c r="C254" s="1739"/>
      <c r="D254" s="1739"/>
      <c r="E254" s="1739"/>
      <c r="F254" s="1731">
        <v>0.15</v>
      </c>
    </row>
    <row r="255" spans="1:6" ht="14.25" thickBot="1">
      <c r="A255" s="1725" t="s">
        <v>1393</v>
      </c>
      <c r="B255" s="1729" t="s">
        <v>1162</v>
      </c>
      <c r="C255" s="1739"/>
      <c r="D255" s="1739"/>
      <c r="E255" s="1739"/>
      <c r="F255" s="1731">
        <v>0.14299999999999999</v>
      </c>
    </row>
    <row r="256" spans="1:6" ht="14.25" thickBot="1">
      <c r="A256" s="1725" t="s">
        <v>1393</v>
      </c>
      <c r="B256" s="1729" t="s">
        <v>1970</v>
      </c>
      <c r="C256" s="1730">
        <v>0.14599999999999999</v>
      </c>
      <c r="D256" s="1730">
        <v>0.14699999999999999</v>
      </c>
      <c r="E256" s="1730">
        <v>0.15</v>
      </c>
      <c r="F256" s="1731">
        <v>0.13200000000000001</v>
      </c>
    </row>
    <row r="257" spans="1:6" ht="14.25" thickBot="1">
      <c r="A257" s="1725" t="s">
        <v>1393</v>
      </c>
      <c r="B257" s="1729" t="s">
        <v>1182</v>
      </c>
      <c r="C257" s="1730">
        <v>0.15</v>
      </c>
      <c r="D257" s="1730">
        <v>0.15</v>
      </c>
      <c r="E257" s="1730">
        <v>0.15</v>
      </c>
      <c r="F257" s="1731">
        <v>0.13900000000000001</v>
      </c>
    </row>
    <row r="258" spans="1:6" ht="14.25" thickBot="1">
      <c r="A258" s="1725" t="s">
        <v>1393</v>
      </c>
      <c r="B258" s="1729" t="s">
        <v>1192</v>
      </c>
      <c r="C258" s="1730">
        <v>0.15</v>
      </c>
      <c r="D258" s="1730">
        <v>0.15</v>
      </c>
      <c r="E258" s="1730">
        <v>0.15</v>
      </c>
      <c r="F258" s="1731">
        <v>0.13</v>
      </c>
    </row>
    <row r="259" spans="1:6" ht="14.25" thickBot="1">
      <c r="A259" s="1725" t="s">
        <v>1393</v>
      </c>
      <c r="B259" s="1729" t="s">
        <v>1971</v>
      </c>
      <c r="C259" s="1730">
        <v>0.14799999999999999</v>
      </c>
      <c r="D259" s="1730">
        <v>0.14899999999999999</v>
      </c>
      <c r="E259" s="1730">
        <v>0.15</v>
      </c>
      <c r="F259" s="1731">
        <v>0.13700000000000001</v>
      </c>
    </row>
    <row r="260" spans="1:6" ht="14.25" thickBot="1">
      <c r="A260" s="1725" t="s">
        <v>1393</v>
      </c>
      <c r="B260" s="1729" t="s">
        <v>1212</v>
      </c>
      <c r="C260" s="1730">
        <v>0.15</v>
      </c>
      <c r="D260" s="1730">
        <v>0.15</v>
      </c>
      <c r="E260" s="1730">
        <v>0.15</v>
      </c>
      <c r="F260" s="1731">
        <v>0.14199999999999999</v>
      </c>
    </row>
    <row r="261" spans="1:6" ht="14.25" thickBot="1">
      <c r="A261" s="1725" t="s">
        <v>1393</v>
      </c>
      <c r="B261" s="1729" t="s">
        <v>1222</v>
      </c>
      <c r="C261" s="1730">
        <v>0.15</v>
      </c>
      <c r="D261" s="1730">
        <v>0.15</v>
      </c>
      <c r="E261" s="1730">
        <v>0.14899999999999999</v>
      </c>
      <c r="F261" s="1731">
        <v>0.14799999999999999</v>
      </c>
    </row>
    <row r="262" spans="1:6" ht="14.25" thickBot="1">
      <c r="A262" s="1725" t="s">
        <v>1393</v>
      </c>
      <c r="B262" s="1729" t="s">
        <v>1232</v>
      </c>
      <c r="C262" s="1730">
        <v>0.15</v>
      </c>
      <c r="D262" s="1730">
        <v>0.15</v>
      </c>
      <c r="E262" s="1730">
        <v>0.15</v>
      </c>
      <c r="F262" s="1738"/>
    </row>
    <row r="263" spans="1:6" ht="14.25" thickBot="1">
      <c r="A263" s="1725" t="s">
        <v>1393</v>
      </c>
      <c r="B263" s="1729" t="s">
        <v>1972</v>
      </c>
      <c r="C263" s="1730">
        <v>0.14899999999999999</v>
      </c>
      <c r="D263" s="1730">
        <v>0.14899999999999999</v>
      </c>
      <c r="E263" s="1730">
        <v>0.15</v>
      </c>
      <c r="F263" s="1731">
        <v>0.13</v>
      </c>
    </row>
    <row r="264" spans="1:6" ht="14.25" thickBot="1">
      <c r="A264" s="1725" t="s">
        <v>1393</v>
      </c>
      <c r="B264" s="1729" t="s">
        <v>1251</v>
      </c>
      <c r="C264" s="1730">
        <v>0.14799999999999999</v>
      </c>
      <c r="D264" s="1730">
        <v>0.14699999999999999</v>
      </c>
      <c r="E264" s="1730">
        <v>0.15</v>
      </c>
      <c r="F264" s="1731">
        <v>7.8E-2</v>
      </c>
    </row>
    <row r="265" spans="1:6" ht="14.25" thickBot="1">
      <c r="A265" s="1725" t="s">
        <v>1393</v>
      </c>
      <c r="B265" s="1729" t="s">
        <v>1260</v>
      </c>
      <c r="C265" s="1730">
        <v>0.15</v>
      </c>
      <c r="D265" s="1730">
        <v>0.15</v>
      </c>
      <c r="E265" s="1730">
        <v>0.15</v>
      </c>
      <c r="F265" s="1731">
        <v>7.3999999999999996E-2</v>
      </c>
    </row>
    <row r="266" spans="1:6" ht="14.25" thickBot="1">
      <c r="A266" s="1725" t="s">
        <v>1393</v>
      </c>
      <c r="B266" s="1729" t="s">
        <v>1268</v>
      </c>
      <c r="C266" s="1730">
        <v>0.14699999999999999</v>
      </c>
      <c r="D266" s="1730">
        <v>0.14699999999999999</v>
      </c>
      <c r="E266" s="1730">
        <v>0.15</v>
      </c>
      <c r="F266" s="1731">
        <v>0.14299999999999999</v>
      </c>
    </row>
    <row r="267" spans="1:6" ht="14.25" thickBot="1">
      <c r="A267" s="1725" t="s">
        <v>1393</v>
      </c>
      <c r="B267" s="1729" t="s">
        <v>1275</v>
      </c>
      <c r="C267" s="1730">
        <v>0.14199999999999999</v>
      </c>
      <c r="D267" s="1730">
        <v>0.14299999999999999</v>
      </c>
      <c r="E267" s="1730">
        <v>0.15</v>
      </c>
      <c r="F267" s="1738"/>
    </row>
    <row r="268" spans="1:6" ht="14.25" thickBot="1">
      <c r="A268" s="1725" t="s">
        <v>1393</v>
      </c>
      <c r="B268" s="1729" t="s">
        <v>1973</v>
      </c>
      <c r="C268" s="1730">
        <v>0.15</v>
      </c>
      <c r="D268" s="1730">
        <v>0.15</v>
      </c>
      <c r="E268" s="1730">
        <v>0.15</v>
      </c>
      <c r="F268" s="1731">
        <v>0.13</v>
      </c>
    </row>
    <row r="269" spans="1:6" ht="14.25" thickBot="1">
      <c r="A269" s="1725" t="s">
        <v>1393</v>
      </c>
      <c r="B269" s="1729" t="s">
        <v>1289</v>
      </c>
      <c r="C269" s="1730">
        <v>0.15</v>
      </c>
      <c r="D269" s="1730">
        <v>0.15</v>
      </c>
      <c r="E269" s="1730">
        <v>0.15</v>
      </c>
      <c r="F269" s="1731">
        <v>0.14299999999999999</v>
      </c>
    </row>
    <row r="270" spans="1:6" ht="14.25" thickBot="1">
      <c r="A270" s="1725" t="s">
        <v>1393</v>
      </c>
      <c r="B270" s="1729" t="s">
        <v>1296</v>
      </c>
      <c r="C270" s="1730">
        <v>0.14499999999999999</v>
      </c>
      <c r="D270" s="1730">
        <v>0.14499999999999999</v>
      </c>
      <c r="E270" s="1730">
        <v>0.15</v>
      </c>
      <c r="F270" s="1731">
        <v>0.14699999999999999</v>
      </c>
    </row>
    <row r="271" spans="1:6" ht="14.25" thickBot="1">
      <c r="A271" s="1725" t="s">
        <v>1393</v>
      </c>
      <c r="B271" s="1729" t="s">
        <v>1303</v>
      </c>
      <c r="C271" s="1730">
        <v>0.15</v>
      </c>
      <c r="D271" s="1730">
        <v>0.15</v>
      </c>
      <c r="E271" s="1730">
        <v>0.15</v>
      </c>
      <c r="F271" s="1731">
        <v>0.13800000000000001</v>
      </c>
    </row>
    <row r="272" spans="1:6" ht="14.25" thickBot="1">
      <c r="A272" s="1725" t="s">
        <v>1393</v>
      </c>
      <c r="B272" s="1729" t="s">
        <v>1310</v>
      </c>
      <c r="C272" s="1739"/>
      <c r="D272" s="1739"/>
      <c r="E272" s="1739"/>
      <c r="F272" s="1731">
        <v>0.14000000000000001</v>
      </c>
    </row>
    <row r="273" spans="1:6" ht="14.25" thickBot="1">
      <c r="A273" s="1725" t="s">
        <v>1393</v>
      </c>
      <c r="B273" s="1729" t="s">
        <v>1974</v>
      </c>
      <c r="C273" s="1730">
        <v>0.14199999999999999</v>
      </c>
      <c r="D273" s="1730">
        <v>0.14299999999999999</v>
      </c>
      <c r="E273" s="1730">
        <v>0.15</v>
      </c>
      <c r="F273" s="1731">
        <v>0.1</v>
      </c>
    </row>
    <row r="274" spans="1:6" ht="14.25" thickBot="1">
      <c r="A274" s="1725" t="s">
        <v>1393</v>
      </c>
      <c r="B274" s="1729" t="s">
        <v>1975</v>
      </c>
      <c r="C274" s="1730">
        <v>0.14799999999999999</v>
      </c>
      <c r="D274" s="1730">
        <v>0.14799999999999999</v>
      </c>
      <c r="E274" s="1730">
        <v>0.15</v>
      </c>
      <c r="F274" s="1731">
        <v>6.7000000000000004E-2</v>
      </c>
    </row>
    <row r="275" spans="1:6" ht="14.25" thickBot="1">
      <c r="A275" s="1725" t="s">
        <v>1393</v>
      </c>
      <c r="B275" s="1729" t="s">
        <v>1976</v>
      </c>
      <c r="C275" s="1730">
        <v>0.15</v>
      </c>
      <c r="D275" s="1730">
        <v>0.15</v>
      </c>
      <c r="E275" s="1730">
        <v>0.15</v>
      </c>
      <c r="F275" s="1731">
        <v>0.15</v>
      </c>
    </row>
    <row r="276" spans="1:6" ht="14.25" thickBot="1">
      <c r="A276" s="1725" t="s">
        <v>1393</v>
      </c>
      <c r="B276" s="1729" t="s">
        <v>1977</v>
      </c>
      <c r="C276" s="1730">
        <v>0.14499999999999999</v>
      </c>
      <c r="D276" s="1730">
        <v>0.14299999999999999</v>
      </c>
      <c r="E276" s="1730">
        <v>0.15</v>
      </c>
      <c r="F276" s="1731">
        <v>5.8999999999999997E-2</v>
      </c>
    </row>
    <row r="277" spans="1:6" ht="14.25" thickBot="1">
      <c r="A277" s="1725" t="s">
        <v>1393</v>
      </c>
      <c r="B277" s="1729" t="s">
        <v>1978</v>
      </c>
      <c r="C277" s="1730">
        <v>0.15</v>
      </c>
      <c r="D277" s="1730">
        <v>0.15</v>
      </c>
      <c r="E277" s="1730">
        <v>0.15</v>
      </c>
      <c r="F277" s="1731">
        <v>0.121</v>
      </c>
    </row>
    <row r="278" spans="1:6" ht="14.25" thickBot="1">
      <c r="A278" s="1725" t="s">
        <v>1393</v>
      </c>
      <c r="B278" s="1729" t="s">
        <v>1979</v>
      </c>
      <c r="C278" s="1730">
        <v>0.15</v>
      </c>
      <c r="D278" s="1730">
        <v>0.15</v>
      </c>
      <c r="E278" s="1730">
        <v>0.15</v>
      </c>
      <c r="F278" s="1731">
        <v>0.13800000000000001</v>
      </c>
    </row>
    <row r="279" spans="1:6" ht="24.75" thickBot="1">
      <c r="A279" s="1725" t="s">
        <v>1393</v>
      </c>
      <c r="B279" s="1729" t="s">
        <v>1980</v>
      </c>
      <c r="C279" s="1739"/>
      <c r="D279" s="1739"/>
      <c r="E279" s="1739"/>
      <c r="F279" s="1731">
        <v>0.05</v>
      </c>
    </row>
    <row r="280" spans="1:6" ht="24.75" thickBot="1">
      <c r="A280" s="1725" t="s">
        <v>1393</v>
      </c>
      <c r="B280" s="1729" t="s">
        <v>1981</v>
      </c>
      <c r="C280" s="1739"/>
      <c r="D280" s="1739"/>
      <c r="E280" s="1739"/>
      <c r="F280" s="1731">
        <v>0.05</v>
      </c>
    </row>
    <row r="281" spans="1:6" ht="24.75" thickBot="1">
      <c r="A281" s="1725" t="s">
        <v>1393</v>
      </c>
      <c r="B281" s="1729" t="s">
        <v>1982</v>
      </c>
      <c r="C281" s="1739"/>
      <c r="D281" s="1739"/>
      <c r="E281" s="1739"/>
      <c r="F281" s="1731">
        <v>0.05</v>
      </c>
    </row>
    <row r="282" spans="1:6" ht="24.75" thickBot="1">
      <c r="A282" s="1725" t="s">
        <v>1393</v>
      </c>
      <c r="B282" s="1729" t="s">
        <v>1983</v>
      </c>
      <c r="C282" s="1739"/>
      <c r="D282" s="1739"/>
      <c r="E282" s="1739"/>
      <c r="F282" s="1731">
        <v>0.05</v>
      </c>
    </row>
    <row r="283" spans="1:6" ht="24.75" thickBot="1">
      <c r="A283" s="1725" t="s">
        <v>1393</v>
      </c>
      <c r="B283" s="1729" t="s">
        <v>1984</v>
      </c>
      <c r="C283" s="1739"/>
      <c r="D283" s="1739"/>
      <c r="E283" s="1739"/>
      <c r="F283" s="1731">
        <v>0.05</v>
      </c>
    </row>
    <row r="284" spans="1:6" ht="24.75" thickBot="1">
      <c r="A284" s="1725" t="s">
        <v>1393</v>
      </c>
      <c r="B284" s="1729" t="s">
        <v>1985</v>
      </c>
      <c r="C284" s="1739"/>
      <c r="D284" s="1739"/>
      <c r="E284" s="1739"/>
      <c r="F284" s="1731">
        <v>0.05</v>
      </c>
    </row>
    <row r="285" spans="1:6" ht="24.75" thickBot="1">
      <c r="A285" s="1725" t="s">
        <v>1393</v>
      </c>
      <c r="B285" s="1729" t="s">
        <v>1986</v>
      </c>
      <c r="C285" s="1739"/>
      <c r="D285" s="1739"/>
      <c r="E285" s="1739"/>
      <c r="F285" s="1731">
        <v>0.05</v>
      </c>
    </row>
    <row r="286" spans="1:6" ht="24.75" thickBot="1">
      <c r="A286" s="1725" t="s">
        <v>1393</v>
      </c>
      <c r="B286" s="1729" t="s">
        <v>1987</v>
      </c>
      <c r="C286" s="1739"/>
      <c r="D286" s="1739"/>
      <c r="E286" s="1739"/>
      <c r="F286" s="1731">
        <v>0.05</v>
      </c>
    </row>
    <row r="287" spans="1:6" ht="24.75" thickBot="1">
      <c r="A287" s="1725" t="s">
        <v>1393</v>
      </c>
      <c r="B287" s="1729" t="s">
        <v>1988</v>
      </c>
      <c r="C287" s="1739"/>
      <c r="D287" s="1739"/>
      <c r="E287" s="1739"/>
      <c r="F287" s="1731">
        <v>0.05</v>
      </c>
    </row>
    <row r="288" spans="1:6" ht="24.75" thickBot="1">
      <c r="A288" s="1725" t="s">
        <v>1393</v>
      </c>
      <c r="B288" s="1729" t="s">
        <v>1989</v>
      </c>
      <c r="C288" s="1739"/>
      <c r="D288" s="1739"/>
      <c r="E288" s="1739"/>
      <c r="F288" s="1731">
        <v>0.05</v>
      </c>
    </row>
    <row r="289" spans="1:6" ht="24.75" thickBot="1">
      <c r="A289" s="1733" t="s">
        <v>1393</v>
      </c>
      <c r="B289" s="1740" t="s">
        <v>1990</v>
      </c>
      <c r="C289" s="1736"/>
      <c r="D289" s="1736"/>
      <c r="E289" s="1736"/>
      <c r="F289" s="1741">
        <v>0.05</v>
      </c>
    </row>
    <row r="290" spans="1:6" ht="14.25" thickBot="1">
      <c r="A290" s="1725" t="s">
        <v>1397</v>
      </c>
      <c r="B290" s="1726" t="s">
        <v>1991</v>
      </c>
      <c r="C290" s="1727">
        <v>0.15</v>
      </c>
      <c r="D290" s="1727">
        <v>0.15</v>
      </c>
      <c r="E290" s="1727">
        <v>0.15</v>
      </c>
      <c r="F290" s="1749"/>
    </row>
    <row r="291" spans="1:6" ht="14.25" thickBot="1">
      <c r="A291" s="1725" t="s">
        <v>1397</v>
      </c>
      <c r="B291" s="1729" t="s">
        <v>1057</v>
      </c>
      <c r="C291" s="1730">
        <v>0.15</v>
      </c>
      <c r="D291" s="1730">
        <v>0.15</v>
      </c>
      <c r="E291" s="1730">
        <v>0.15</v>
      </c>
      <c r="F291" s="1738"/>
    </row>
    <row r="292" spans="1:6" ht="14.25" thickBot="1">
      <c r="A292" s="1725" t="s">
        <v>1397</v>
      </c>
      <c r="B292" s="1729" t="s">
        <v>1992</v>
      </c>
      <c r="C292" s="1730">
        <v>0.15</v>
      </c>
      <c r="D292" s="1730">
        <v>0.15</v>
      </c>
      <c r="E292" s="1730">
        <v>0.15</v>
      </c>
      <c r="F292" s="1731">
        <v>0.14699999999999999</v>
      </c>
    </row>
    <row r="293" spans="1:6" ht="14.25" thickBot="1">
      <c r="A293" s="1725" t="s">
        <v>1397</v>
      </c>
      <c r="B293" s="1729" t="s">
        <v>1993</v>
      </c>
      <c r="C293" s="1739"/>
      <c r="D293" s="1739"/>
      <c r="E293" s="1739"/>
      <c r="F293" s="1731">
        <v>0.1</v>
      </c>
    </row>
    <row r="294" spans="1:6" ht="14.25" thickBot="1">
      <c r="A294" s="1725" t="s">
        <v>1397</v>
      </c>
      <c r="B294" s="1729" t="s">
        <v>1994</v>
      </c>
      <c r="C294" s="1730">
        <v>0.15</v>
      </c>
      <c r="D294" s="1730">
        <v>0.15</v>
      </c>
      <c r="E294" s="1730">
        <v>0.15</v>
      </c>
      <c r="F294" s="1731">
        <v>0.15</v>
      </c>
    </row>
    <row r="295" spans="1:6" ht="14.25" thickBot="1">
      <c r="A295" s="1725" t="s">
        <v>1397</v>
      </c>
      <c r="B295" s="1729" t="s">
        <v>1098</v>
      </c>
      <c r="C295" s="1730">
        <v>0.15</v>
      </c>
      <c r="D295" s="1730">
        <v>0.15</v>
      </c>
      <c r="E295" s="1730">
        <v>0.15</v>
      </c>
      <c r="F295" s="1731">
        <v>0.15</v>
      </c>
    </row>
    <row r="296" spans="1:6" ht="14.25" thickBot="1">
      <c r="A296" s="1725" t="s">
        <v>1397</v>
      </c>
      <c r="B296" s="1729" t="s">
        <v>1995</v>
      </c>
      <c r="C296" s="1730">
        <v>0.15</v>
      </c>
      <c r="D296" s="1730">
        <v>0.15</v>
      </c>
      <c r="E296" s="1730">
        <v>0.15</v>
      </c>
      <c r="F296" s="1731">
        <v>0.15</v>
      </c>
    </row>
    <row r="297" spans="1:6" ht="14.25" thickBot="1">
      <c r="A297" s="1725" t="s">
        <v>1397</v>
      </c>
      <c r="B297" s="1729" t="s">
        <v>1996</v>
      </c>
      <c r="C297" s="1730">
        <v>0.14799999999999999</v>
      </c>
      <c r="D297" s="1730">
        <v>0.14899999999999999</v>
      </c>
      <c r="E297" s="1730">
        <v>0.15</v>
      </c>
      <c r="F297" s="1731">
        <v>0.13700000000000001</v>
      </c>
    </row>
    <row r="298" spans="1:6" ht="14.25" thickBot="1">
      <c r="A298" s="1725" t="s">
        <v>1397</v>
      </c>
      <c r="B298" s="1729" t="s">
        <v>1131</v>
      </c>
      <c r="C298" s="1730">
        <v>0.13400000000000001</v>
      </c>
      <c r="D298" s="1730">
        <v>0.13400000000000001</v>
      </c>
      <c r="E298" s="1730">
        <v>0.14499999999999999</v>
      </c>
      <c r="F298" s="1731">
        <v>0.14799999999999999</v>
      </c>
    </row>
    <row r="299" spans="1:6" ht="14.25" thickBot="1">
      <c r="A299" s="1725" t="s">
        <v>1397</v>
      </c>
      <c r="B299" s="1729" t="s">
        <v>1143</v>
      </c>
      <c r="C299" s="1730">
        <v>0.15</v>
      </c>
      <c r="D299" s="1730">
        <v>0.15</v>
      </c>
      <c r="E299" s="1730">
        <v>0.15</v>
      </c>
      <c r="F299" s="1738"/>
    </row>
    <row r="300" spans="1:6" ht="14.25" thickBot="1">
      <c r="A300" s="1725" t="s">
        <v>1397</v>
      </c>
      <c r="B300" s="1729" t="s">
        <v>1997</v>
      </c>
      <c r="C300" s="1730">
        <v>0.15</v>
      </c>
      <c r="D300" s="1730">
        <v>0.15</v>
      </c>
      <c r="E300" s="1730">
        <v>0.15</v>
      </c>
      <c r="F300" s="1731">
        <v>0.15</v>
      </c>
    </row>
    <row r="301" spans="1:6" ht="14.25" thickBot="1">
      <c r="A301" s="1725" t="s">
        <v>1397</v>
      </c>
      <c r="B301" s="1729" t="s">
        <v>1163</v>
      </c>
      <c r="C301" s="1730">
        <v>0.15</v>
      </c>
      <c r="D301" s="1730">
        <v>0.15</v>
      </c>
      <c r="E301" s="1730">
        <v>0.15</v>
      </c>
      <c r="F301" s="1738"/>
    </row>
    <row r="302" spans="1:6" ht="14.25" thickBot="1">
      <c r="A302" s="1725" t="s">
        <v>1397</v>
      </c>
      <c r="B302" s="1729" t="s">
        <v>1998</v>
      </c>
      <c r="C302" s="1730">
        <v>0.15</v>
      </c>
      <c r="D302" s="1730">
        <v>0.15</v>
      </c>
      <c r="E302" s="1730">
        <v>0.15</v>
      </c>
      <c r="F302" s="1731">
        <v>0.15</v>
      </c>
    </row>
    <row r="303" spans="1:6" ht="14.25" thickBot="1">
      <c r="A303" s="1725" t="s">
        <v>1397</v>
      </c>
      <c r="B303" s="1729" t="s">
        <v>1183</v>
      </c>
      <c r="C303" s="1730">
        <v>0.15</v>
      </c>
      <c r="D303" s="1730">
        <v>0.15</v>
      </c>
      <c r="E303" s="1730">
        <v>0.15</v>
      </c>
      <c r="F303" s="1731">
        <v>0.15</v>
      </c>
    </row>
    <row r="304" spans="1:6" ht="14.25" thickBot="1">
      <c r="A304" s="1725" t="s">
        <v>1397</v>
      </c>
      <c r="B304" s="1729" t="s">
        <v>1193</v>
      </c>
      <c r="C304" s="1730">
        <v>0.15</v>
      </c>
      <c r="D304" s="1730">
        <v>0.15</v>
      </c>
      <c r="E304" s="1730">
        <v>0.15</v>
      </c>
      <c r="F304" s="1738"/>
    </row>
    <row r="305" spans="1:6" ht="14.25" thickBot="1">
      <c r="A305" s="1725" t="s">
        <v>1397</v>
      </c>
      <c r="B305" s="1729" t="s">
        <v>1999</v>
      </c>
      <c r="C305" s="1730">
        <v>0.15</v>
      </c>
      <c r="D305" s="1730">
        <v>0.15</v>
      </c>
      <c r="E305" s="1730">
        <v>0.15</v>
      </c>
      <c r="F305" s="1731">
        <v>0.14000000000000001</v>
      </c>
    </row>
    <row r="306" spans="1:6" ht="14.25" thickBot="1">
      <c r="A306" s="1725" t="s">
        <v>1397</v>
      </c>
      <c r="B306" s="1729" t="s">
        <v>1213</v>
      </c>
      <c r="C306" s="1730">
        <v>0.15</v>
      </c>
      <c r="D306" s="1730">
        <v>0.15</v>
      </c>
      <c r="E306" s="1730">
        <v>0.15</v>
      </c>
      <c r="F306" s="1738"/>
    </row>
    <row r="307" spans="1:6" ht="14.25" thickBot="1">
      <c r="A307" s="1725" t="s">
        <v>1397</v>
      </c>
      <c r="B307" s="1729" t="s">
        <v>2000</v>
      </c>
      <c r="C307" s="1730">
        <v>0.15</v>
      </c>
      <c r="D307" s="1730">
        <v>0.15</v>
      </c>
      <c r="E307" s="1730">
        <v>0.15</v>
      </c>
      <c r="F307" s="1731">
        <v>0.14299999999999999</v>
      </c>
    </row>
    <row r="308" spans="1:6" ht="14.25" thickBot="1">
      <c r="A308" s="1725" t="s">
        <v>1397</v>
      </c>
      <c r="B308" s="1729" t="s">
        <v>1233</v>
      </c>
      <c r="C308" s="1730">
        <v>0.15</v>
      </c>
      <c r="D308" s="1730">
        <v>0.15</v>
      </c>
      <c r="E308" s="1730">
        <v>0.15</v>
      </c>
      <c r="F308" s="1731">
        <v>0.15</v>
      </c>
    </row>
    <row r="309" spans="1:6" ht="14.25" thickBot="1">
      <c r="A309" s="1725" t="s">
        <v>1397</v>
      </c>
      <c r="B309" s="1729" t="s">
        <v>1243</v>
      </c>
      <c r="C309" s="1730">
        <v>0.15</v>
      </c>
      <c r="D309" s="1730">
        <v>0.15</v>
      </c>
      <c r="E309" s="1730">
        <v>0.15</v>
      </c>
      <c r="F309" s="1738"/>
    </row>
    <row r="310" spans="1:6" ht="14.25" thickBot="1">
      <c r="A310" s="1725" t="s">
        <v>1397</v>
      </c>
      <c r="B310" s="1729" t="s">
        <v>2001</v>
      </c>
      <c r="C310" s="1730">
        <v>0.15</v>
      </c>
      <c r="D310" s="1730">
        <v>0.15</v>
      </c>
      <c r="E310" s="1730">
        <v>0.15</v>
      </c>
      <c r="F310" s="1731">
        <v>0.13700000000000001</v>
      </c>
    </row>
    <row r="311" spans="1:6" ht="14.25" thickBot="1">
      <c r="A311" s="1725" t="s">
        <v>1397</v>
      </c>
      <c r="B311" s="1729" t="s">
        <v>2002</v>
      </c>
      <c r="C311" s="1730">
        <v>0.15</v>
      </c>
      <c r="D311" s="1730">
        <v>0.15</v>
      </c>
      <c r="E311" s="1730">
        <v>0.15</v>
      </c>
      <c r="F311" s="1731">
        <v>0.15</v>
      </c>
    </row>
    <row r="312" spans="1:6" ht="14.25" thickBot="1">
      <c r="A312" s="1725" t="s">
        <v>1397</v>
      </c>
      <c r="B312" s="1729" t="s">
        <v>1269</v>
      </c>
      <c r="C312" s="1730">
        <v>0.15</v>
      </c>
      <c r="D312" s="1730">
        <v>0.15</v>
      </c>
      <c r="E312" s="1730">
        <v>0.15</v>
      </c>
      <c r="F312" s="1731">
        <v>0.1</v>
      </c>
    </row>
    <row r="313" spans="1:6" ht="14.25" thickBot="1">
      <c r="A313" s="1725" t="s">
        <v>1397</v>
      </c>
      <c r="B313" s="1729" t="s">
        <v>2003</v>
      </c>
      <c r="C313" s="1730">
        <v>0.15</v>
      </c>
      <c r="D313" s="1730">
        <v>0.15</v>
      </c>
      <c r="E313" s="1730">
        <v>0.15</v>
      </c>
      <c r="F313" s="1731">
        <v>0.15</v>
      </c>
    </row>
    <row r="314" spans="1:6" ht="24.75" thickBot="1">
      <c r="A314" s="1725" t="s">
        <v>1397</v>
      </c>
      <c r="B314" s="1729" t="s">
        <v>2004</v>
      </c>
      <c r="C314" s="1739"/>
      <c r="D314" s="1739"/>
      <c r="E314" s="1739"/>
      <c r="F314" s="1731">
        <v>0.05</v>
      </c>
    </row>
    <row r="315" spans="1:6" ht="24.75" thickBot="1">
      <c r="A315" s="1725" t="s">
        <v>1397</v>
      </c>
      <c r="B315" s="1729" t="s">
        <v>2005</v>
      </c>
      <c r="C315" s="1739"/>
      <c r="D315" s="1739"/>
      <c r="E315" s="1739"/>
      <c r="F315" s="1731">
        <v>0.05</v>
      </c>
    </row>
    <row r="316" spans="1:6" ht="24.75" thickBot="1">
      <c r="A316" s="1733" t="s">
        <v>1397</v>
      </c>
      <c r="B316" s="1740" t="s">
        <v>2006</v>
      </c>
      <c r="C316" s="1736"/>
      <c r="D316" s="1736"/>
      <c r="E316" s="1736"/>
      <c r="F316" s="1741">
        <v>0.05</v>
      </c>
    </row>
    <row r="317" spans="1:6" ht="14.25" thickBot="1">
      <c r="A317" s="1725" t="s">
        <v>2007</v>
      </c>
      <c r="B317" s="1726" t="s">
        <v>2008</v>
      </c>
      <c r="C317" s="1727">
        <v>0.15</v>
      </c>
      <c r="D317" s="1727">
        <v>0.15</v>
      </c>
      <c r="E317" s="1727">
        <v>0.15</v>
      </c>
      <c r="F317" s="1728">
        <v>0.15</v>
      </c>
    </row>
    <row r="318" spans="1:6" ht="14.25" thickBot="1">
      <c r="A318" s="1725" t="s">
        <v>2007</v>
      </c>
      <c r="B318" s="1729" t="s">
        <v>2009</v>
      </c>
      <c r="C318" s="1730">
        <v>0.107</v>
      </c>
      <c r="D318" s="1730">
        <v>0.11</v>
      </c>
      <c r="E318" s="1730">
        <v>0.112</v>
      </c>
      <c r="F318" s="1738"/>
    </row>
    <row r="319" spans="1:6" ht="14.25" thickBot="1">
      <c r="A319" s="1725" t="s">
        <v>2007</v>
      </c>
      <c r="B319" s="1729" t="s">
        <v>2010</v>
      </c>
      <c r="C319" s="1730">
        <v>0.15</v>
      </c>
      <c r="D319" s="1730">
        <v>0.15</v>
      </c>
      <c r="E319" s="1730">
        <v>0.15</v>
      </c>
      <c r="F319" s="1731">
        <v>0.15</v>
      </c>
    </row>
    <row r="320" spans="1:6" ht="14.25" thickBot="1">
      <c r="A320" s="1725" t="s">
        <v>2007</v>
      </c>
      <c r="B320" s="1729" t="s">
        <v>1085</v>
      </c>
      <c r="C320" s="1730">
        <v>0.15</v>
      </c>
      <c r="D320" s="1730">
        <v>0.15</v>
      </c>
      <c r="E320" s="1730">
        <v>0.15</v>
      </c>
      <c r="F320" s="1738"/>
    </row>
    <row r="321" spans="1:6" ht="14.25" thickBot="1">
      <c r="A321" s="1725" t="s">
        <v>2007</v>
      </c>
      <c r="B321" s="1729" t="s">
        <v>2011</v>
      </c>
      <c r="C321" s="1730">
        <v>0.15</v>
      </c>
      <c r="D321" s="1730">
        <v>0.15</v>
      </c>
      <c r="E321" s="1730">
        <v>0.15</v>
      </c>
      <c r="F321" s="1738"/>
    </row>
    <row r="322" spans="1:6" ht="14.25" thickBot="1">
      <c r="A322" s="1725" t="s">
        <v>2007</v>
      </c>
      <c r="B322" s="1729" t="s">
        <v>2012</v>
      </c>
      <c r="C322" s="1730">
        <v>0.15</v>
      </c>
      <c r="D322" s="1730">
        <v>0.15</v>
      </c>
      <c r="E322" s="1730">
        <v>0.15</v>
      </c>
      <c r="F322" s="1731">
        <v>0.15</v>
      </c>
    </row>
    <row r="323" spans="1:6" ht="14.25" thickBot="1">
      <c r="A323" s="1725" t="s">
        <v>2007</v>
      </c>
      <c r="B323" s="1729" t="s">
        <v>2013</v>
      </c>
      <c r="C323" s="1730">
        <v>0.15</v>
      </c>
      <c r="D323" s="1730">
        <v>0.15</v>
      </c>
      <c r="E323" s="1730">
        <v>0.15</v>
      </c>
      <c r="F323" s="1738"/>
    </row>
    <row r="324" spans="1:6" ht="14.25" thickBot="1">
      <c r="A324" s="1725" t="s">
        <v>2007</v>
      </c>
      <c r="B324" s="1729" t="s">
        <v>2014</v>
      </c>
      <c r="C324" s="1730">
        <v>0.15</v>
      </c>
      <c r="D324" s="1730">
        <v>0.15</v>
      </c>
      <c r="E324" s="1730">
        <v>0.15</v>
      </c>
      <c r="F324" s="1738"/>
    </row>
    <row r="325" spans="1:6" ht="14.25" thickBot="1">
      <c r="A325" s="1725" t="s">
        <v>2007</v>
      </c>
      <c r="B325" s="1729" t="s">
        <v>2015</v>
      </c>
      <c r="C325" s="1730">
        <v>0.15</v>
      </c>
      <c r="D325" s="1730">
        <v>0.15</v>
      </c>
      <c r="E325" s="1730">
        <v>0.15</v>
      </c>
      <c r="F325" s="1731">
        <v>0.14699999999999999</v>
      </c>
    </row>
    <row r="326" spans="1:6" ht="14.25" thickBot="1">
      <c r="A326" s="1725" t="s">
        <v>2007</v>
      </c>
      <c r="B326" s="1729" t="s">
        <v>1154</v>
      </c>
      <c r="C326" s="1730">
        <v>0.15</v>
      </c>
      <c r="D326" s="1730">
        <v>0.15</v>
      </c>
      <c r="E326" s="1730">
        <v>0.15</v>
      </c>
      <c r="F326" s="1738"/>
    </row>
    <row r="327" spans="1:6" ht="14.25" thickBot="1">
      <c r="A327" s="1725" t="s">
        <v>2007</v>
      </c>
      <c r="B327" s="1729" t="s">
        <v>2016</v>
      </c>
      <c r="C327" s="1730">
        <v>0.15</v>
      </c>
      <c r="D327" s="1730">
        <v>0.15</v>
      </c>
      <c r="E327" s="1730">
        <v>0.15</v>
      </c>
      <c r="F327" s="1731">
        <v>0.15</v>
      </c>
    </row>
    <row r="328" spans="1:6" ht="14.25" thickBot="1">
      <c r="A328" s="1725" t="s">
        <v>2007</v>
      </c>
      <c r="B328" s="1729" t="s">
        <v>1174</v>
      </c>
      <c r="C328" s="1730">
        <v>0.15</v>
      </c>
      <c r="D328" s="1730">
        <v>0.15</v>
      </c>
      <c r="E328" s="1730">
        <v>0.15</v>
      </c>
      <c r="F328" s="1731">
        <v>0.14099999999999999</v>
      </c>
    </row>
    <row r="329" spans="1:6" ht="14.25" thickBot="1">
      <c r="A329" s="1725" t="s">
        <v>2007</v>
      </c>
      <c r="B329" s="1729" t="s">
        <v>1184</v>
      </c>
      <c r="C329" s="1730">
        <v>0.15</v>
      </c>
      <c r="D329" s="1730">
        <v>0.15</v>
      </c>
      <c r="E329" s="1730">
        <v>0.15</v>
      </c>
      <c r="F329" s="1731">
        <v>0.15</v>
      </c>
    </row>
    <row r="330" spans="1:6" ht="14.25" thickBot="1">
      <c r="A330" s="1725" t="s">
        <v>2007</v>
      </c>
      <c r="B330" s="1729" t="s">
        <v>1194</v>
      </c>
      <c r="C330" s="1730">
        <v>0.15</v>
      </c>
      <c r="D330" s="1730">
        <v>0.15</v>
      </c>
      <c r="E330" s="1730">
        <v>0.15</v>
      </c>
      <c r="F330" s="1738"/>
    </row>
    <row r="331" spans="1:6" ht="14.25" thickBot="1">
      <c r="A331" s="1725" t="s">
        <v>2007</v>
      </c>
      <c r="B331" s="1729" t="s">
        <v>2017</v>
      </c>
      <c r="C331" s="1730">
        <v>0.15</v>
      </c>
      <c r="D331" s="1730">
        <v>0.15</v>
      </c>
      <c r="E331" s="1730">
        <v>0.15</v>
      </c>
      <c r="F331" s="1731">
        <v>0.15</v>
      </c>
    </row>
    <row r="332" spans="1:6" ht="14.25" thickBot="1">
      <c r="A332" s="1725" t="s">
        <v>2007</v>
      </c>
      <c r="B332" s="1729" t="s">
        <v>1214</v>
      </c>
      <c r="C332" s="1730">
        <v>0.15</v>
      </c>
      <c r="D332" s="1730">
        <v>0.15</v>
      </c>
      <c r="E332" s="1730">
        <v>0.15</v>
      </c>
      <c r="F332" s="1731">
        <v>0.15</v>
      </c>
    </row>
    <row r="333" spans="1:6" ht="14.25" thickBot="1">
      <c r="A333" s="1725" t="s">
        <v>2007</v>
      </c>
      <c r="B333" s="1729" t="s">
        <v>2018</v>
      </c>
      <c r="C333" s="1730">
        <v>0.15</v>
      </c>
      <c r="D333" s="1730">
        <v>0.15</v>
      </c>
      <c r="E333" s="1730">
        <v>0.15</v>
      </c>
      <c r="F333" s="1731">
        <v>0.14099999999999999</v>
      </c>
    </row>
    <row r="334" spans="1:6" ht="14.25" thickBot="1">
      <c r="A334" s="1725" t="s">
        <v>2007</v>
      </c>
      <c r="B334" s="1729" t="s">
        <v>1234</v>
      </c>
      <c r="C334" s="1730">
        <v>0.15</v>
      </c>
      <c r="D334" s="1730">
        <v>0.15</v>
      </c>
      <c r="E334" s="1730">
        <v>0.15</v>
      </c>
      <c r="F334" s="1731">
        <v>0.15</v>
      </c>
    </row>
    <row r="335" spans="1:6" ht="14.25" thickBot="1">
      <c r="A335" s="1725" t="s">
        <v>2007</v>
      </c>
      <c r="B335" s="1729" t="s">
        <v>1244</v>
      </c>
      <c r="C335" s="1730">
        <v>0.15</v>
      </c>
      <c r="D335" s="1730">
        <v>0.15</v>
      </c>
      <c r="E335" s="1730">
        <v>0.15</v>
      </c>
      <c r="F335" s="1738"/>
    </row>
    <row r="336" spans="1:6" ht="14.25" thickBot="1">
      <c r="A336" s="1725" t="s">
        <v>2007</v>
      </c>
      <c r="B336" s="1729" t="s">
        <v>2019</v>
      </c>
      <c r="C336" s="1730">
        <v>0.15</v>
      </c>
      <c r="D336" s="1730">
        <v>0.15</v>
      </c>
      <c r="E336" s="1730">
        <v>0.15</v>
      </c>
      <c r="F336" s="1731">
        <v>0.11799999999999999</v>
      </c>
    </row>
    <row r="337" spans="1:6" ht="14.25" thickBot="1">
      <c r="A337" s="1733" t="s">
        <v>2007</v>
      </c>
      <c r="B337" s="1740" t="s">
        <v>1262</v>
      </c>
      <c r="C337" s="1736"/>
      <c r="D337" s="1736"/>
      <c r="E337" s="1736"/>
      <c r="F337" s="1741">
        <v>0.14299999999999999</v>
      </c>
    </row>
    <row r="338" spans="1:6" ht="14.25" thickBot="1">
      <c r="A338" s="1725" t="s">
        <v>2020</v>
      </c>
      <c r="B338" s="1726" t="s">
        <v>2021</v>
      </c>
      <c r="C338" s="1727">
        <v>0.15</v>
      </c>
      <c r="D338" s="1727">
        <v>0.15</v>
      </c>
      <c r="E338" s="1727">
        <v>0.15</v>
      </c>
      <c r="F338" s="1749"/>
    </row>
    <row r="339" spans="1:6" ht="14.25" thickBot="1">
      <c r="A339" s="1725" t="s">
        <v>2020</v>
      </c>
      <c r="B339" s="1729" t="s">
        <v>2022</v>
      </c>
      <c r="C339" s="1730">
        <v>0.15</v>
      </c>
      <c r="D339" s="1730">
        <v>0.15</v>
      </c>
      <c r="E339" s="1730">
        <v>0.15</v>
      </c>
      <c r="F339" s="1738"/>
    </row>
    <row r="340" spans="1:6" ht="14.25" thickBot="1">
      <c r="A340" s="1725" t="s">
        <v>2020</v>
      </c>
      <c r="B340" s="1729" t="s">
        <v>2023</v>
      </c>
      <c r="C340" s="1730">
        <v>0.15</v>
      </c>
      <c r="D340" s="1730">
        <v>0.15</v>
      </c>
      <c r="E340" s="1730">
        <v>0.15</v>
      </c>
      <c r="F340" s="1738"/>
    </row>
    <row r="341" spans="1:6" ht="14.25" thickBot="1">
      <c r="A341" s="1725" t="s">
        <v>2024</v>
      </c>
      <c r="B341" s="1729" t="s">
        <v>2025</v>
      </c>
      <c r="C341" s="1730">
        <v>0.15</v>
      </c>
      <c r="D341" s="1730">
        <v>0.15</v>
      </c>
      <c r="E341" s="1730">
        <v>0.15</v>
      </c>
      <c r="F341" s="1731">
        <v>0.15</v>
      </c>
    </row>
    <row r="342" spans="1:6" ht="14.25" thickBot="1">
      <c r="A342" s="1725" t="s">
        <v>2020</v>
      </c>
      <c r="B342" s="1729" t="s">
        <v>2026</v>
      </c>
      <c r="C342" s="1730">
        <v>0.15</v>
      </c>
      <c r="D342" s="1730">
        <v>0.15</v>
      </c>
      <c r="E342" s="1730">
        <v>0.15</v>
      </c>
      <c r="F342" s="1731">
        <v>0.15</v>
      </c>
    </row>
    <row r="343" spans="1:6" ht="14.25" thickBot="1">
      <c r="A343" s="1725" t="s">
        <v>2020</v>
      </c>
      <c r="B343" s="1729" t="s">
        <v>2027</v>
      </c>
      <c r="C343" s="1730">
        <v>0.15</v>
      </c>
      <c r="D343" s="1730">
        <v>0.15</v>
      </c>
      <c r="E343" s="1730">
        <v>0.15</v>
      </c>
      <c r="F343" s="1731">
        <v>0.15</v>
      </c>
    </row>
    <row r="344" spans="1:6" ht="14.25" thickBot="1">
      <c r="A344" s="1733" t="s">
        <v>2020</v>
      </c>
      <c r="B344" s="1740" t="s">
        <v>2028</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24" t="s">
        <v>2292</v>
      </c>
      <c r="C1" s="3724"/>
      <c r="D1" s="3724"/>
      <c r="E1" s="3724"/>
      <c r="F1" s="3724"/>
      <c r="G1" s="3723" t="s">
        <v>2293</v>
      </c>
      <c r="H1" s="3723"/>
      <c r="I1" s="3723"/>
      <c r="J1" s="3723"/>
      <c r="K1" s="3723"/>
      <c r="L1" s="3723"/>
      <c r="N1" s="3723" t="s">
        <v>2294</v>
      </c>
      <c r="O1" s="3723"/>
      <c r="P1" s="3723"/>
      <c r="Q1" s="3723"/>
      <c r="S1" s="3723" t="s">
        <v>2295</v>
      </c>
      <c r="T1" s="3723"/>
      <c r="U1" s="3723"/>
      <c r="V1" s="3723"/>
      <c r="X1" s="3722" t="s">
        <v>2355</v>
      </c>
      <c r="Y1" s="3723"/>
      <c r="Z1" s="3723"/>
      <c r="AA1" s="3723"/>
      <c r="AB1" s="3723"/>
      <c r="AD1" s="3722" t="s">
        <v>2359</v>
      </c>
      <c r="AE1" s="3723"/>
      <c r="AF1" s="3723"/>
      <c r="AG1" s="3723"/>
      <c r="AH1" s="3723"/>
    </row>
    <row r="2" spans="1:34" s="2784" customFormat="1" ht="14.25" thickBot="1">
      <c r="B2" s="2785" t="s">
        <v>2296</v>
      </c>
      <c r="C2" s="2785" t="s">
        <v>2357</v>
      </c>
      <c r="D2" s="2786" t="s">
        <v>1443</v>
      </c>
      <c r="E2" s="2786" t="s">
        <v>1740</v>
      </c>
      <c r="F2" s="2785" t="s">
        <v>2358</v>
      </c>
      <c r="G2" s="2787"/>
      <c r="I2" s="2785" t="s">
        <v>2655</v>
      </c>
      <c r="J2" s="2786" t="s">
        <v>2657</v>
      </c>
      <c r="K2" s="2786" t="s">
        <v>2658</v>
      </c>
      <c r="L2" s="2785" t="s">
        <v>2659</v>
      </c>
      <c r="N2" s="2785" t="s">
        <v>2296</v>
      </c>
      <c r="O2" s="2786" t="s">
        <v>2656</v>
      </c>
      <c r="P2" s="2786" t="s">
        <v>1740</v>
      </c>
      <c r="Q2" s="2785" t="s">
        <v>2358</v>
      </c>
      <c r="S2" s="2785" t="s">
        <v>2296</v>
      </c>
      <c r="T2" s="2786" t="s">
        <v>2656</v>
      </c>
      <c r="U2" s="2786" t="s">
        <v>1740</v>
      </c>
      <c r="V2" s="2785" t="s">
        <v>2358</v>
      </c>
      <c r="X2" s="2785" t="s">
        <v>2296</v>
      </c>
      <c r="Y2" s="2785" t="s">
        <v>2357</v>
      </c>
      <c r="Z2" s="2786" t="s">
        <v>1443</v>
      </c>
      <c r="AA2" s="2786" t="s">
        <v>1740</v>
      </c>
      <c r="AB2" s="2785" t="s">
        <v>2358</v>
      </c>
      <c r="AD2" s="2785" t="s">
        <v>2296</v>
      </c>
      <c r="AE2" s="2785" t="s">
        <v>2357</v>
      </c>
      <c r="AF2" s="2786" t="s">
        <v>1443</v>
      </c>
      <c r="AG2" s="2786" t="s">
        <v>1740</v>
      </c>
      <c r="AH2" s="2785" t="s">
        <v>2358</v>
      </c>
    </row>
    <row r="3" spans="1:34" s="2794" customFormat="1" ht="14.25">
      <c r="A3" s="2788" t="s">
        <v>2666</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2730</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2729</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2693</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2691</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2689</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2688</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2685</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2684</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2682</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18">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2675</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18"/>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2676</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18"/>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2672</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19"/>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2665</v>
      </c>
      <c r="B26" s="2824">
        <v>439</v>
      </c>
      <c r="C26" s="2824">
        <v>327</v>
      </c>
      <c r="D26" s="2824">
        <f t="shared" si="219"/>
        <v>327</v>
      </c>
      <c r="E26" s="2824">
        <v>627</v>
      </c>
      <c r="F26" s="2825">
        <v>283</v>
      </c>
      <c r="G26" s="3717">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2667</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18"/>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2297</v>
      </c>
      <c r="B28" s="2808">
        <f t="shared" si="231"/>
        <v>419.31181600000002</v>
      </c>
      <c r="C28" s="2808">
        <f t="shared" si="231"/>
        <v>313.95436800000004</v>
      </c>
      <c r="D28" s="2808">
        <f t="shared" si="219"/>
        <v>313.95436800000004</v>
      </c>
      <c r="E28" s="2808">
        <f t="shared" si="232"/>
        <v>596.63028431999999</v>
      </c>
      <c r="F28" s="2808">
        <f t="shared" si="232"/>
        <v>274.74220703999998</v>
      </c>
      <c r="G28" s="3718"/>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2298</v>
      </c>
      <c r="B29" s="2808">
        <f t="shared" si="231"/>
        <v>405.524</v>
      </c>
      <c r="C29" s="2808">
        <f t="shared" si="231"/>
        <v>307.79840000000002</v>
      </c>
      <c r="D29" s="2808">
        <f t="shared" si="219"/>
        <v>307.79840000000002</v>
      </c>
      <c r="E29" s="2808">
        <f t="shared" si="232"/>
        <v>574.67759999999998</v>
      </c>
      <c r="F29" s="2808">
        <f t="shared" si="232"/>
        <v>270.20280000000002</v>
      </c>
      <c r="G29" s="3719"/>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17">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18"/>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18"/>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21"/>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20">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18"/>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18"/>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21"/>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20">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18"/>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18"/>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21"/>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2356</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2299</v>
      </c>
      <c r="B42" s="2829">
        <v>299</v>
      </c>
      <c r="C42" s="2829">
        <v>252</v>
      </c>
      <c r="D42" s="2829">
        <f t="shared" si="241"/>
        <v>252</v>
      </c>
      <c r="E42" s="2829">
        <v>409</v>
      </c>
      <c r="F42" s="2830">
        <v>227</v>
      </c>
      <c r="G42" s="3725">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2300</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6"/>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2301</v>
      </c>
      <c r="B44" s="2808">
        <f t="shared" si="250"/>
        <v>288.2649053828776</v>
      </c>
      <c r="C44" s="2808">
        <f t="shared" si="250"/>
        <v>243.64564425013293</v>
      </c>
      <c r="D44" s="2808">
        <f t="shared" si="241"/>
        <v>243.64564425013293</v>
      </c>
      <c r="E44" s="2808">
        <f t="shared" si="251"/>
        <v>393.31080825986544</v>
      </c>
      <c r="F44" s="2808">
        <f t="shared" si="251"/>
        <v>223.07903790551154</v>
      </c>
      <c r="G44" s="3726"/>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2302</v>
      </c>
      <c r="B45" s="2808">
        <f t="shared" si="250"/>
        <v>282.50186729015837</v>
      </c>
      <c r="C45" s="2808">
        <f t="shared" si="250"/>
        <v>238.09796174155468</v>
      </c>
      <c r="D45" s="2808">
        <f t="shared" si="241"/>
        <v>238.09796174155468</v>
      </c>
      <c r="E45" s="2808">
        <f t="shared" si="251"/>
        <v>385.33438646014054</v>
      </c>
      <c r="F45" s="2808">
        <f t="shared" si="251"/>
        <v>221.55034055567739</v>
      </c>
      <c r="G45" s="3727"/>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2303</v>
      </c>
      <c r="B46" s="2857">
        <v>278</v>
      </c>
      <c r="C46" s="2857">
        <v>234</v>
      </c>
      <c r="D46" s="2857">
        <f t="shared" si="241"/>
        <v>234</v>
      </c>
      <c r="E46" s="2857">
        <v>379</v>
      </c>
      <c r="F46" s="2858">
        <v>220</v>
      </c>
      <c r="G46" s="3720">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2304</v>
      </c>
      <c r="B47" s="2808">
        <f>B46/(1+N46)</f>
        <v>275.49301357645425</v>
      </c>
      <c r="C47" s="2808">
        <f>C46/(1+O46)</f>
        <v>232.41954707985698</v>
      </c>
      <c r="D47" s="2808">
        <f t="shared" si="241"/>
        <v>232.41954707985698</v>
      </c>
      <c r="E47" s="2808">
        <f t="shared" ref="E47:F49" si="252">E46/(1+P46)</f>
        <v>375.32184591008121</v>
      </c>
      <c r="F47" s="2808">
        <f t="shared" si="252"/>
        <v>218.03766105054513</v>
      </c>
      <c r="G47" s="3718"/>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2305</v>
      </c>
      <c r="B48" s="2808">
        <f>B47/(1+N47)</f>
        <v>275.24529281292263</v>
      </c>
      <c r="C48" s="2808">
        <f>C47/(1+O47)</f>
        <v>231.74747938962707</v>
      </c>
      <c r="D48" s="2808">
        <f t="shared" si="241"/>
        <v>231.74747938962707</v>
      </c>
      <c r="E48" s="2808">
        <f t="shared" si="252"/>
        <v>375.35938184826603</v>
      </c>
      <c r="F48" s="2808">
        <f t="shared" si="252"/>
        <v>216.78033510692495</v>
      </c>
      <c r="G48" s="3718"/>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2306</v>
      </c>
      <c r="B49" s="2808">
        <f>B48/(1+N48)</f>
        <v>275.19025476197027</v>
      </c>
      <c r="C49" s="2859">
        <v>232</v>
      </c>
      <c r="D49" s="2859">
        <f t="shared" si="241"/>
        <v>232</v>
      </c>
      <c r="E49" s="2808">
        <f t="shared" si="252"/>
        <v>375.65990977608692</v>
      </c>
      <c r="F49" s="2808">
        <f t="shared" si="252"/>
        <v>214.12518283971252</v>
      </c>
      <c r="G49" s="3721"/>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2307</v>
      </c>
      <c r="B50" s="2829">
        <v>275</v>
      </c>
      <c r="C50" s="2829">
        <v>232</v>
      </c>
      <c r="D50" s="2829">
        <f t="shared" si="241"/>
        <v>232</v>
      </c>
      <c r="E50" s="2829">
        <v>376</v>
      </c>
      <c r="F50" s="2830">
        <v>213</v>
      </c>
      <c r="G50" s="3720">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2308</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18">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2309</v>
      </c>
      <c r="B52" s="2808">
        <f t="shared" si="253"/>
        <v>275.19335084830601</v>
      </c>
      <c r="C52" s="2808">
        <f t="shared" si="253"/>
        <v>230.18088050139744</v>
      </c>
      <c r="D52" s="2808">
        <f t="shared" si="241"/>
        <v>230.18088050139744</v>
      </c>
      <c r="E52" s="2808">
        <f t="shared" si="254"/>
        <v>377.58482925212331</v>
      </c>
      <c r="F52" s="2808">
        <f t="shared" si="254"/>
        <v>210.90687997847917</v>
      </c>
      <c r="G52" s="3718">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2310</v>
      </c>
      <c r="B53" s="2808">
        <f t="shared" si="253"/>
        <v>276.29854502841971</v>
      </c>
      <c r="C53" s="2808">
        <f t="shared" si="253"/>
        <v>229.79023709833027</v>
      </c>
      <c r="D53" s="2808">
        <f t="shared" si="241"/>
        <v>229.79023709833027</v>
      </c>
      <c r="E53" s="2808">
        <f t="shared" si="254"/>
        <v>379.78759731655936</v>
      </c>
      <c r="F53" s="2808">
        <f t="shared" si="254"/>
        <v>211.32953905659235</v>
      </c>
      <c r="G53" s="3721">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2311</v>
      </c>
      <c r="B54" s="2829">
        <v>269</v>
      </c>
      <c r="C54" s="2829">
        <v>221</v>
      </c>
      <c r="D54" s="2829">
        <f t="shared" si="241"/>
        <v>221</v>
      </c>
      <c r="E54" s="2829">
        <v>373</v>
      </c>
      <c r="F54" s="2830">
        <v>196</v>
      </c>
      <c r="G54" s="3720">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2312</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18">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2313</v>
      </c>
      <c r="B56" s="2808">
        <f t="shared" si="255"/>
        <v>242.95398227588385</v>
      </c>
      <c r="C56" s="2808">
        <f t="shared" si="255"/>
        <v>199.59137053614126</v>
      </c>
      <c r="D56" s="2808">
        <f t="shared" si="241"/>
        <v>199.59137053614126</v>
      </c>
      <c r="E56" s="2808">
        <f t="shared" si="256"/>
        <v>335.92189522342125</v>
      </c>
      <c r="F56" s="2808">
        <f t="shared" si="256"/>
        <v>183.10139991109489</v>
      </c>
      <c r="G56" s="3718">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2314</v>
      </c>
      <c r="B57" s="2808">
        <f t="shared" si="255"/>
        <v>232.06990378821649</v>
      </c>
      <c r="C57" s="2808">
        <f t="shared" si="255"/>
        <v>192.74878854286936</v>
      </c>
      <c r="D57" s="2808">
        <f t="shared" si="241"/>
        <v>192.74878854286936</v>
      </c>
      <c r="E57" s="2808">
        <f t="shared" si="256"/>
        <v>319.71247284992984</v>
      </c>
      <c r="F57" s="2808">
        <f t="shared" si="256"/>
        <v>175.67053622862409</v>
      </c>
      <c r="G57" s="3721">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2315</v>
      </c>
      <c r="B58" s="2829">
        <v>220</v>
      </c>
      <c r="C58" s="2829">
        <v>187</v>
      </c>
      <c r="D58" s="2829">
        <f t="shared" si="241"/>
        <v>187</v>
      </c>
      <c r="E58" s="2829">
        <v>301</v>
      </c>
      <c r="F58" s="2830">
        <v>168</v>
      </c>
      <c r="G58" s="3720">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2316</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18">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2317</v>
      </c>
      <c r="B60" s="2808">
        <f t="shared" si="257"/>
        <v>210.630522469011</v>
      </c>
      <c r="C60" s="2808">
        <f t="shared" si="257"/>
        <v>181.69567812247232</v>
      </c>
      <c r="D60" s="2808">
        <f t="shared" si="241"/>
        <v>181.69567812247232</v>
      </c>
      <c r="E60" s="2808">
        <f t="shared" si="258"/>
        <v>286.13517466736738</v>
      </c>
      <c r="F60" s="2808">
        <f t="shared" si="258"/>
        <v>165.47535084591149</v>
      </c>
      <c r="G60" s="3718">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2318</v>
      </c>
      <c r="B61" s="2808">
        <f t="shared" si="257"/>
        <v>208.83454537875372</v>
      </c>
      <c r="C61" s="2808">
        <f t="shared" si="257"/>
        <v>183.77230517090351</v>
      </c>
      <c r="D61" s="2808">
        <f t="shared" si="241"/>
        <v>183.77230517090351</v>
      </c>
      <c r="E61" s="2808">
        <f t="shared" si="258"/>
        <v>281.10342338870947</v>
      </c>
      <c r="F61" s="2808">
        <f t="shared" si="258"/>
        <v>168.97309388942256</v>
      </c>
      <c r="G61" s="3721">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2319</v>
      </c>
      <c r="B62" s="2857">
        <v>214</v>
      </c>
      <c r="C62" s="2857">
        <v>188</v>
      </c>
      <c r="D62" s="2857">
        <f t="shared" si="241"/>
        <v>188</v>
      </c>
      <c r="E62" s="2857">
        <v>289</v>
      </c>
      <c r="F62" s="2858">
        <v>166</v>
      </c>
      <c r="G62" s="3720">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2320</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18">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2321</v>
      </c>
      <c r="B64" s="2808">
        <f t="shared" si="259"/>
        <v>206.31694671589116</v>
      </c>
      <c r="C64" s="2808">
        <f t="shared" si="259"/>
        <v>183.61041121036101</v>
      </c>
      <c r="D64" s="2808">
        <f t="shared" si="241"/>
        <v>183.61041121036101</v>
      </c>
      <c r="E64" s="2808">
        <f t="shared" si="260"/>
        <v>276.66850301795557</v>
      </c>
      <c r="F64" s="2808">
        <f t="shared" si="260"/>
        <v>165.1360938278614</v>
      </c>
      <c r="G64" s="3718">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2322</v>
      </c>
      <c r="B65" s="2860">
        <f t="shared" si="259"/>
        <v>196.62341248059772</v>
      </c>
      <c r="C65" s="2860">
        <f t="shared" si="259"/>
        <v>170.99125648199012</v>
      </c>
      <c r="D65" s="2860">
        <f t="shared" si="241"/>
        <v>170.99125648199012</v>
      </c>
      <c r="E65" s="2860">
        <f t="shared" si="260"/>
        <v>266.07857570490052</v>
      </c>
      <c r="F65" s="2860">
        <f t="shared" si="260"/>
        <v>154.53499328828505</v>
      </c>
      <c r="G65" s="3721">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2323</v>
      </c>
      <c r="B66" s="2829">
        <v>188</v>
      </c>
      <c r="C66" s="2829">
        <v>165</v>
      </c>
      <c r="D66" s="2829">
        <f t="shared" si="241"/>
        <v>165</v>
      </c>
      <c r="E66" s="2829">
        <v>254</v>
      </c>
      <c r="F66" s="2830">
        <v>148</v>
      </c>
      <c r="G66" s="3720">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2324</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18">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2325</v>
      </c>
      <c r="B68" s="2808">
        <f t="shared" si="263"/>
        <v>168.82017748715555</v>
      </c>
      <c r="C68" s="2808">
        <f t="shared" si="263"/>
        <v>148.06267029972753</v>
      </c>
      <c r="D68" s="2808">
        <f t="shared" si="241"/>
        <v>148.06267029972753</v>
      </c>
      <c r="E68" s="2808">
        <f t="shared" si="264"/>
        <v>216.46288379323747</v>
      </c>
      <c r="F68" s="2808">
        <f t="shared" si="264"/>
        <v>134.23529411764704</v>
      </c>
      <c r="G68" s="3718">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2326</v>
      </c>
      <c r="B69" s="2808">
        <f t="shared" si="263"/>
        <v>163.84913591779542</v>
      </c>
      <c r="C69" s="2808">
        <f t="shared" si="263"/>
        <v>145.0283378746594</v>
      </c>
      <c r="D69" s="2808">
        <f t="shared" si="241"/>
        <v>145.0283378746594</v>
      </c>
      <c r="E69" s="2808">
        <f t="shared" si="264"/>
        <v>204.95180722891567</v>
      </c>
      <c r="F69" s="2808">
        <f t="shared" si="264"/>
        <v>125.95920303605313</v>
      </c>
      <c r="G69" s="3721">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2327</v>
      </c>
      <c r="B70" s="2836">
        <v>159</v>
      </c>
      <c r="C70" s="2836">
        <v>141</v>
      </c>
      <c r="D70" s="2836">
        <f t="shared" si="241"/>
        <v>141</v>
      </c>
      <c r="E70" s="2836">
        <v>195</v>
      </c>
      <c r="F70" s="2837">
        <v>122</v>
      </c>
      <c r="G70" s="3720">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2328</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18">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2329</v>
      </c>
      <c r="B72" s="2808">
        <f t="shared" si="267"/>
        <v>146.57412060301507</v>
      </c>
      <c r="C72" s="2808">
        <f t="shared" si="267"/>
        <v>136.46831955922866</v>
      </c>
      <c r="D72" s="2808">
        <f t="shared" si="241"/>
        <v>136.46831955922866</v>
      </c>
      <c r="E72" s="2808">
        <f t="shared" si="268"/>
        <v>166.73864894795128</v>
      </c>
      <c r="F72" s="2808">
        <f t="shared" si="268"/>
        <v>115.05882352941177</v>
      </c>
      <c r="G72" s="3718">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2330</v>
      </c>
      <c r="B73" s="2808">
        <f t="shared" si="267"/>
        <v>144.04145728643215</v>
      </c>
      <c r="C73" s="2808">
        <f t="shared" si="267"/>
        <v>136.12396694214877</v>
      </c>
      <c r="D73" s="2808">
        <f t="shared" si="241"/>
        <v>136.12396694214877</v>
      </c>
      <c r="E73" s="2808">
        <f t="shared" si="268"/>
        <v>158.32225913621264</v>
      </c>
      <c r="F73" s="2808">
        <f t="shared" si="268"/>
        <v>114.04278074866311</v>
      </c>
      <c r="G73" s="3721">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2331</v>
      </c>
      <c r="B74" s="2836">
        <v>138</v>
      </c>
      <c r="C74" s="2836">
        <v>131</v>
      </c>
      <c r="D74" s="2836">
        <f t="shared" si="241"/>
        <v>131</v>
      </c>
      <c r="E74" s="2836">
        <v>155</v>
      </c>
      <c r="F74" s="2837">
        <v>114</v>
      </c>
      <c r="G74" s="3720">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2332</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18">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2333</v>
      </c>
      <c r="B76" s="2808">
        <f t="shared" si="271"/>
        <v>124.29032258064517</v>
      </c>
      <c r="C76" s="2808">
        <f t="shared" si="271"/>
        <v>123.8968609865471</v>
      </c>
      <c r="D76" s="2808">
        <f t="shared" si="241"/>
        <v>123.8968609865471</v>
      </c>
      <c r="E76" s="2808">
        <f t="shared" si="272"/>
        <v>138.00507614213197</v>
      </c>
      <c r="F76" s="2808">
        <f t="shared" si="272"/>
        <v>107.96106557377048</v>
      </c>
      <c r="G76" s="3718">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2334</v>
      </c>
      <c r="B77" s="2808">
        <f t="shared" si="271"/>
        <v>122.57204301075269</v>
      </c>
      <c r="C77" s="2808">
        <f t="shared" si="271"/>
        <v>123.4932735426009</v>
      </c>
      <c r="D77" s="2808">
        <f t="shared" si="241"/>
        <v>123.4932735426009</v>
      </c>
      <c r="E77" s="2808">
        <f t="shared" si="272"/>
        <v>129.82233502538071</v>
      </c>
      <c r="F77" s="2808">
        <f t="shared" si="272"/>
        <v>107.39446721311475</v>
      </c>
      <c r="G77" s="3721">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2335</v>
      </c>
      <c r="B78" s="2857">
        <v>121</v>
      </c>
      <c r="C78" s="2857">
        <v>122</v>
      </c>
      <c r="D78" s="2857">
        <f t="shared" si="241"/>
        <v>122</v>
      </c>
      <c r="E78" s="2857">
        <v>124</v>
      </c>
      <c r="F78" s="2858">
        <v>107</v>
      </c>
      <c r="G78" s="3720">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2336</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18">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2337</v>
      </c>
      <c r="B80" s="2808">
        <f t="shared" si="275"/>
        <v>116.99099099099099</v>
      </c>
      <c r="C80" s="2808">
        <f t="shared" si="275"/>
        <v>118.84848484848486</v>
      </c>
      <c r="D80" s="2808">
        <f t="shared" si="241"/>
        <v>118.84848484848486</v>
      </c>
      <c r="E80" s="2808">
        <f t="shared" si="276"/>
        <v>117.60960960960961</v>
      </c>
      <c r="F80" s="2808">
        <f t="shared" si="276"/>
        <v>104</v>
      </c>
      <c r="G80" s="3718">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2338</v>
      </c>
      <c r="B81" s="2860">
        <f t="shared" si="275"/>
        <v>112.48648648648648</v>
      </c>
      <c r="C81" s="2860">
        <f t="shared" si="275"/>
        <v>115.21212121212122</v>
      </c>
      <c r="D81" s="2860">
        <f t="shared" si="241"/>
        <v>115.21212121212122</v>
      </c>
      <c r="E81" s="2860">
        <f t="shared" si="276"/>
        <v>110.4024024024024</v>
      </c>
      <c r="F81" s="2860">
        <f t="shared" si="276"/>
        <v>104</v>
      </c>
      <c r="G81" s="3721">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2339</v>
      </c>
      <c r="B82" s="2877">
        <v>111</v>
      </c>
      <c r="C82" s="2877">
        <v>114</v>
      </c>
      <c r="D82" s="2877">
        <f t="shared" si="241"/>
        <v>114</v>
      </c>
      <c r="E82" s="2877">
        <v>108</v>
      </c>
      <c r="F82" s="2878">
        <v>104</v>
      </c>
      <c r="G82" s="3720">
        <v>2003</v>
      </c>
      <c r="H82" s="2867">
        <v>4</v>
      </c>
      <c r="I82" s="2879"/>
      <c r="J82" s="2879"/>
      <c r="K82" s="2879"/>
      <c r="L82" s="2879"/>
      <c r="N82" s="2880"/>
      <c r="O82" s="2879"/>
      <c r="P82" s="2879"/>
      <c r="Q82" s="2879"/>
      <c r="S82" s="2880"/>
      <c r="T82" s="2879"/>
      <c r="U82" s="2879"/>
      <c r="V82" s="2879"/>
      <c r="X82" s="2871"/>
      <c r="Y82" s="2871"/>
      <c r="Z82" s="2871"/>
    </row>
    <row r="83" spans="1:26">
      <c r="A83" s="2807" t="s">
        <v>2340</v>
      </c>
      <c r="B83" s="2881">
        <f t="shared" ref="B83:C85" si="277">B84+(B$82-B$86)/4</f>
        <v>109.75</v>
      </c>
      <c r="C83" s="2881">
        <f t="shared" si="277"/>
        <v>112.25</v>
      </c>
      <c r="D83" s="2881">
        <f t="shared" si="241"/>
        <v>112.25</v>
      </c>
      <c r="E83" s="2881">
        <f t="shared" ref="E83:F85" si="278">E84+(E$82-E$86)/4</f>
        <v>107.25</v>
      </c>
      <c r="F83" s="2881">
        <f t="shared" si="278"/>
        <v>103.5</v>
      </c>
      <c r="G83" s="3718">
        <v>2003</v>
      </c>
      <c r="H83" s="2834">
        <v>3</v>
      </c>
      <c r="I83" s="2879"/>
      <c r="J83" s="2879"/>
      <c r="K83" s="2879"/>
      <c r="L83" s="2879"/>
      <c r="X83" s="2871"/>
      <c r="Y83" s="2871"/>
      <c r="Z83" s="2871"/>
    </row>
    <row r="84" spans="1:26">
      <c r="A84" s="2807" t="s">
        <v>2341</v>
      </c>
      <c r="B84" s="2881">
        <f t="shared" si="277"/>
        <v>108.5</v>
      </c>
      <c r="C84" s="2881">
        <f t="shared" si="277"/>
        <v>110.5</v>
      </c>
      <c r="D84" s="2881">
        <f t="shared" si="241"/>
        <v>110.5</v>
      </c>
      <c r="E84" s="2881">
        <f t="shared" si="278"/>
        <v>106.5</v>
      </c>
      <c r="F84" s="2881">
        <f t="shared" si="278"/>
        <v>103</v>
      </c>
      <c r="G84" s="3718">
        <v>2003</v>
      </c>
      <c r="H84" s="2822">
        <v>2</v>
      </c>
      <c r="I84" s="2879"/>
      <c r="J84" s="2879"/>
      <c r="K84" s="2879"/>
      <c r="L84" s="2879"/>
      <c r="X84" s="2871"/>
      <c r="Y84" s="2871"/>
      <c r="Z84" s="2871"/>
    </row>
    <row r="85" spans="1:26" ht="13.5" thickBot="1">
      <c r="A85" s="2807" t="s">
        <v>2342</v>
      </c>
      <c r="B85" s="2881">
        <f t="shared" si="277"/>
        <v>107.25</v>
      </c>
      <c r="C85" s="2881">
        <f t="shared" si="277"/>
        <v>108.75</v>
      </c>
      <c r="D85" s="2881">
        <f t="shared" si="241"/>
        <v>108.75</v>
      </c>
      <c r="E85" s="2881">
        <f t="shared" si="278"/>
        <v>105.75</v>
      </c>
      <c r="F85" s="2881">
        <f t="shared" si="278"/>
        <v>102.5</v>
      </c>
      <c r="G85" s="3721">
        <v>2003</v>
      </c>
      <c r="H85" s="2882">
        <v>1</v>
      </c>
      <c r="I85" s="2879"/>
      <c r="J85" s="2879"/>
      <c r="K85" s="2879"/>
      <c r="L85" s="2879"/>
      <c r="S85" s="2810"/>
      <c r="T85" s="2806"/>
      <c r="U85" s="2806"/>
      <c r="X85" s="2871"/>
      <c r="Y85" s="2871"/>
      <c r="Z85" s="2871"/>
    </row>
    <row r="86" spans="1:26" ht="13.5" thickBot="1">
      <c r="A86" s="2807" t="s">
        <v>2343</v>
      </c>
      <c r="B86" s="2883">
        <v>106</v>
      </c>
      <c r="C86" s="2883">
        <v>107</v>
      </c>
      <c r="D86" s="2883">
        <f t="shared" si="241"/>
        <v>107</v>
      </c>
      <c r="E86" s="2883">
        <v>105</v>
      </c>
      <c r="F86" s="2884">
        <v>102</v>
      </c>
      <c r="G86" s="3720">
        <v>2002</v>
      </c>
      <c r="H86" s="2831">
        <v>4</v>
      </c>
      <c r="I86" s="2879"/>
      <c r="J86" s="2879"/>
      <c r="K86" s="2879"/>
      <c r="L86" s="2879"/>
      <c r="N86" s="2880"/>
      <c r="O86" s="2879"/>
      <c r="P86" s="2879"/>
      <c r="Q86" s="2879"/>
      <c r="S86" s="2880"/>
      <c r="T86" s="2879"/>
      <c r="U86" s="2879"/>
      <c r="V86" s="2879"/>
      <c r="X86" s="2871"/>
      <c r="Y86" s="2871"/>
      <c r="Z86" s="2871"/>
    </row>
    <row r="87" spans="1:26">
      <c r="A87" s="2807" t="s">
        <v>2344</v>
      </c>
      <c r="B87" s="2881">
        <f t="shared" ref="B87:C89" si="279">B88+(B$86-B$90)/4</f>
        <v>105</v>
      </c>
      <c r="C87" s="2881">
        <f t="shared" si="279"/>
        <v>106</v>
      </c>
      <c r="D87" s="2881">
        <f t="shared" si="241"/>
        <v>106</v>
      </c>
      <c r="E87" s="2881">
        <f t="shared" ref="E87:F89" si="280">E88+(E$86-E$90)/4</f>
        <v>104.5</v>
      </c>
      <c r="F87" s="2881">
        <f t="shared" si="280"/>
        <v>101.5</v>
      </c>
      <c r="G87" s="3718">
        <v>2002</v>
      </c>
      <c r="H87" s="2834">
        <v>3</v>
      </c>
      <c r="I87" s="2879"/>
      <c r="J87" s="2879"/>
      <c r="K87" s="2879"/>
      <c r="L87" s="2879"/>
      <c r="X87" s="2871"/>
      <c r="Y87" s="2871"/>
      <c r="Z87" s="2871"/>
    </row>
    <row r="88" spans="1:26">
      <c r="A88" s="2807" t="s">
        <v>2345</v>
      </c>
      <c r="B88" s="2881">
        <f t="shared" si="279"/>
        <v>104</v>
      </c>
      <c r="C88" s="2881">
        <f t="shared" si="279"/>
        <v>105</v>
      </c>
      <c r="D88" s="2881">
        <f t="shared" si="241"/>
        <v>105</v>
      </c>
      <c r="E88" s="2881">
        <f t="shared" si="280"/>
        <v>104</v>
      </c>
      <c r="F88" s="2881">
        <f t="shared" si="280"/>
        <v>101</v>
      </c>
      <c r="G88" s="3718">
        <v>2002</v>
      </c>
      <c r="H88" s="2822">
        <v>2</v>
      </c>
      <c r="I88" s="2879"/>
      <c r="J88" s="2879"/>
      <c r="K88" s="2879"/>
      <c r="L88" s="2879"/>
      <c r="X88" s="2871"/>
      <c r="Y88" s="2871"/>
      <c r="Z88" s="2871"/>
    </row>
    <row r="89" spans="1:26" s="2844" customFormat="1" ht="13.5" thickBot="1">
      <c r="A89" s="2840" t="s">
        <v>2346</v>
      </c>
      <c r="B89" s="2847">
        <f t="shared" si="279"/>
        <v>103</v>
      </c>
      <c r="C89" s="2847">
        <f t="shared" si="279"/>
        <v>104</v>
      </c>
      <c r="D89" s="2847">
        <f t="shared" si="241"/>
        <v>104</v>
      </c>
      <c r="E89" s="2847">
        <f t="shared" si="280"/>
        <v>103.5</v>
      </c>
      <c r="F89" s="2847">
        <f t="shared" si="280"/>
        <v>100.5</v>
      </c>
      <c r="G89" s="3721">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2347</v>
      </c>
      <c r="G92" s="2894"/>
      <c r="N92" s="2894"/>
      <c r="S92" s="2894"/>
    </row>
    <row r="93" spans="1:26" s="2893" customFormat="1">
      <c r="A93" s="2893" t="s">
        <v>2348</v>
      </c>
      <c r="G93" s="2894"/>
      <c r="N93" s="2894"/>
      <c r="S93" s="2894"/>
    </row>
    <row r="94" spans="1:26" s="2893" customFormat="1">
      <c r="A94" s="2893" t="s">
        <v>2349</v>
      </c>
      <c r="G94" s="2894"/>
      <c r="I94" s="2895"/>
      <c r="J94" s="2895"/>
      <c r="K94" s="2895"/>
      <c r="L94" s="2895"/>
      <c r="N94" s="2896"/>
      <c r="O94" s="2895"/>
      <c r="P94" s="2895"/>
      <c r="Q94" s="2895"/>
      <c r="S94" s="2896"/>
      <c r="T94" s="2895"/>
      <c r="U94" s="2895"/>
      <c r="V94" s="2895"/>
    </row>
    <row r="95" spans="1:26" s="2893" customFormat="1">
      <c r="A95" s="2893" t="s">
        <v>2350</v>
      </c>
      <c r="G95" s="2894"/>
      <c r="N95" s="2894"/>
      <c r="S95" s="2894"/>
    </row>
    <row r="102" spans="7:22" ht="13.5" thickBot="1"/>
    <row r="103" spans="7:22">
      <c r="G103" s="2805"/>
      <c r="S103" s="2897" t="s">
        <v>2351</v>
      </c>
      <c r="T103" s="2898" t="s">
        <v>2352</v>
      </c>
      <c r="U103" s="2898" t="s">
        <v>2353</v>
      </c>
      <c r="V103" s="2898" t="s">
        <v>2354</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10" sqref="S10:V10"/>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2649</v>
      </c>
      <c r="B1" s="3155"/>
      <c r="C1" s="3155"/>
      <c r="D1" s="3155"/>
      <c r="E1" s="3155"/>
      <c r="F1" s="3155"/>
      <c r="G1" s="3156"/>
      <c r="H1" s="3156"/>
      <c r="I1" s="3156"/>
      <c r="J1" s="3156"/>
      <c r="K1" s="3156"/>
      <c r="L1" s="3156"/>
      <c r="M1" s="3156"/>
      <c r="N1" s="3156"/>
    </row>
    <row r="2" spans="1:14" ht="14.25">
      <c r="A2" s="3161" t="s">
        <v>2644</v>
      </c>
      <c r="B2" s="3166">
        <f ca="1">SUMIF(B7:B14,"&lt;&gt;#ref!",B7:B14)</f>
        <v>0</v>
      </c>
      <c r="C2" s="3161" t="s">
        <v>2645</v>
      </c>
      <c r="D2" s="3158"/>
      <c r="E2" s="3158"/>
      <c r="F2" s="3158"/>
      <c r="G2" s="3156"/>
      <c r="H2" s="3156"/>
      <c r="I2" s="3156"/>
      <c r="J2" s="3156"/>
      <c r="K2" s="3156"/>
      <c r="L2" s="3156"/>
      <c r="M2" s="3156"/>
      <c r="N2" s="3156"/>
    </row>
    <row r="3" spans="1:14" ht="14.25">
      <c r="A3" s="3161" t="s">
        <v>2673</v>
      </c>
      <c r="B3" s="3166" t="e">
        <f ca="1">ROUND(B2*10000/E3,0)</f>
        <v>#DIV/0!</v>
      </c>
      <c r="C3" s="3161" t="s">
        <v>1869</v>
      </c>
      <c r="D3" s="3161" t="s">
        <v>2646</v>
      </c>
      <c r="E3" s="3159">
        <f ca="1">SUMIF(E7:E14,"&lt;&gt;#ref!",E7:E14)</f>
        <v>0</v>
      </c>
      <c r="F3" s="3158"/>
      <c r="G3" s="3156"/>
      <c r="H3" s="3156"/>
      <c r="I3" s="3156"/>
      <c r="J3" s="3156"/>
      <c r="K3" s="3156"/>
      <c r="L3" s="3156"/>
      <c r="M3" s="3156"/>
      <c r="N3" s="3156"/>
    </row>
    <row r="4" spans="1:14" ht="14.25">
      <c r="A4" s="3161" t="s">
        <v>2652</v>
      </c>
      <c r="B4" s="3166" t="e">
        <f ca="1">ROUND(B2*10000/E4,0)</f>
        <v>#DIV/0!</v>
      </c>
      <c r="C4" s="3161" t="s">
        <v>1869</v>
      </c>
      <c r="D4" s="3161" t="s">
        <v>2653</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2650</v>
      </c>
      <c r="B6" s="3161" t="s">
        <v>2647</v>
      </c>
      <c r="C6" s="2709"/>
      <c r="D6" s="3158"/>
      <c r="E6" s="3161" t="s">
        <v>2648</v>
      </c>
      <c r="F6" s="3161" t="s">
        <v>2651</v>
      </c>
      <c r="G6" s="3156"/>
      <c r="H6" s="3156"/>
      <c r="I6" s="3156"/>
      <c r="J6" s="3156"/>
      <c r="K6" s="3156"/>
      <c r="L6" s="3156"/>
      <c r="M6" s="3156"/>
      <c r="N6" s="3156"/>
    </row>
    <row r="7" spans="1:14" ht="14.25">
      <c r="A7" s="3164"/>
      <c r="B7" s="3166" t="e">
        <f ca="1">SUMIF(INDIRECT("'"&amp;A7&amp;"'"&amp;"!A:A"),"总价",INDIRECT("'"&amp;A7&amp;"'"&amp;"!B:B"))</f>
        <v>#REF!</v>
      </c>
      <c r="C7" s="3161" t="s">
        <v>2645</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2645</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2645</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2645</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2645</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2645</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2645</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2645</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10" sqref="S10:V10"/>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2160</v>
      </c>
      <c r="F1" s="2198">
        <f ca="1">J54</f>
        <v>0</v>
      </c>
      <c r="G1" s="747">
        <f>MATCH(C1,'数据-取费表'!A6:A16,0)+5</f>
        <v>6</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1485</v>
      </c>
      <c r="B3" s="1296" t="e">
        <f ca="1">ROUND(B2*10000/'数据-汇总表'!E3,0)</f>
        <v>#DIV/0!</v>
      </c>
      <c r="C3" s="1260"/>
      <c r="D3" s="1893"/>
      <c r="E3" s="1894"/>
      <c r="F3" s="1894"/>
      <c r="G3" s="1481"/>
      <c r="H3" s="749" t="s">
        <v>677</v>
      </c>
      <c r="I3" s="1895"/>
      <c r="J3" s="1895"/>
      <c r="K3" s="1896"/>
      <c r="L3" s="1895"/>
      <c r="M3" s="1895"/>
    </row>
    <row r="4" spans="1:25" ht="18" customHeight="1">
      <c r="A4" s="1530" t="s">
        <v>678</v>
      </c>
      <c r="B4" s="1261" t="e">
        <f ca="1">ROUND(B2*10000/'数据-汇总表'!D3,0)</f>
        <v>#DIV/0!</v>
      </c>
      <c r="C4" s="422"/>
      <c r="D4" s="1893"/>
      <c r="E4" s="1894"/>
      <c r="F4" s="1894"/>
      <c r="G4" s="1481"/>
      <c r="H4" s="749"/>
      <c r="I4" s="1895"/>
      <c r="J4" s="1895"/>
      <c r="K4" s="1896"/>
      <c r="L4" s="1895"/>
      <c r="M4" s="1895"/>
    </row>
    <row r="5" spans="1:25" ht="18" customHeight="1" thickBot="1">
      <c r="A5" s="1531"/>
      <c r="B5" s="424" t="e">
        <f ca="1">ROUND(B2/('数据-汇总表'!D3/666.67),0)</f>
        <v>#DIV/0!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2236</v>
      </c>
      <c r="C7" s="53">
        <f ca="1">C8+C12+C14</f>
        <v>0</v>
      </c>
      <c r="D7" s="2302" t="s">
        <v>2239</v>
      </c>
      <c r="E7" s="2296"/>
      <c r="F7" s="2297"/>
      <c r="G7" s="1483"/>
      <c r="H7" s="754">
        <v>1</v>
      </c>
      <c r="I7" s="755" t="s">
        <v>2236</v>
      </c>
      <c r="J7" s="53">
        <f ca="1">J8+J12+J14</f>
        <v>0</v>
      </c>
      <c r="K7" s="2302" t="s">
        <v>2239</v>
      </c>
      <c r="L7" s="2296"/>
      <c r="M7" s="2297"/>
    </row>
    <row r="8" spans="1:25" ht="18" customHeight="1">
      <c r="A8" s="1701" t="s">
        <v>1623</v>
      </c>
      <c r="B8" s="3729" t="s">
        <v>2241</v>
      </c>
      <c r="C8" s="1696">
        <f ca="1">ROUND(F8*F10*F9*(1-F11)/10000,0)</f>
        <v>0</v>
      </c>
      <c r="D8" s="1693" t="s">
        <v>2251</v>
      </c>
      <c r="E8" s="61" t="s">
        <v>619</v>
      </c>
      <c r="F8" s="758">
        <f ca="1">INDIRECT("'数据-取费表'!u"&amp;$G$1)</f>
        <v>0</v>
      </c>
      <c r="G8" s="1483"/>
      <c r="H8" s="2310" t="s">
        <v>1623</v>
      </c>
      <c r="I8" s="3729" t="s">
        <v>2241</v>
      </c>
      <c r="J8" s="756">
        <f ca="1">ROUND(M8*M10*M9*(1-M11)/10000,0)</f>
        <v>0</v>
      </c>
      <c r="K8" s="339" t="s">
        <v>2251</v>
      </c>
      <c r="L8" s="757" t="s">
        <v>1537</v>
      </c>
      <c r="M8" s="758">
        <f ca="1">INDIRECT("'数据-取费表'!z"&amp;$G$1)</f>
        <v>0</v>
      </c>
    </row>
    <row r="9" spans="1:25" ht="18" customHeight="1">
      <c r="A9" s="2306"/>
      <c r="B9" s="3730"/>
      <c r="C9" s="1697"/>
      <c r="D9" s="1694"/>
      <c r="E9" s="61" t="s">
        <v>620</v>
      </c>
      <c r="F9" s="758">
        <f ca="1">IF(INDIRECT("'数据-取费表'!ah"&amp;$G$1)="",INDIRECT("'数据-取费表'!k"&amp;$G$1),INDIRECT("'数据-取费表'!ah"&amp;$G$1))</f>
        <v>0</v>
      </c>
      <c r="G9" s="1483"/>
      <c r="H9" s="2295"/>
      <c r="I9" s="3730"/>
      <c r="J9" s="761"/>
      <c r="K9" s="762"/>
      <c r="L9" s="757" t="s">
        <v>1538</v>
      </c>
      <c r="M9" s="758">
        <f ca="1">F9</f>
        <v>0</v>
      </c>
    </row>
    <row r="10" spans="1:25" ht="18" customHeight="1">
      <c r="A10" s="2299"/>
      <c r="B10" s="3731"/>
      <c r="C10" s="1697"/>
      <c r="D10" s="1694"/>
      <c r="E10" s="61" t="s">
        <v>621</v>
      </c>
      <c r="F10" s="758">
        <f ca="1">INDIRECT("'数据-取费表'!ai"&amp;$G$1)</f>
        <v>0</v>
      </c>
      <c r="G10" s="1483"/>
      <c r="H10" s="2295"/>
      <c r="I10" s="3731"/>
      <c r="J10" s="761"/>
      <c r="K10" s="762"/>
      <c r="L10" s="757" t="s">
        <v>1539</v>
      </c>
      <c r="M10" s="758">
        <f ca="1">INDIRECT("'数据-取费表'!ai"&amp;$G$1)</f>
        <v>0</v>
      </c>
    </row>
    <row r="11" spans="1:25" ht="18" customHeight="1">
      <c r="A11" s="759"/>
      <c r="B11" s="3732"/>
      <c r="C11" s="1697"/>
      <c r="D11" s="1694"/>
      <c r="E11" s="61" t="s">
        <v>622</v>
      </c>
      <c r="F11" s="767">
        <f ca="1">INDIRECT("'数据-取费表'!w"&amp;$G$1)</f>
        <v>0</v>
      </c>
      <c r="G11" s="1483"/>
      <c r="H11" s="2311"/>
      <c r="I11" s="3731"/>
      <c r="J11" s="761"/>
      <c r="K11" s="762"/>
      <c r="L11" s="768" t="s">
        <v>1540</v>
      </c>
      <c r="M11" s="769">
        <f ca="1">INDIRECT("'数据-取费表'!ab"&amp;$G$1)</f>
        <v>0</v>
      </c>
    </row>
    <row r="12" spans="1:25" ht="18" customHeight="1">
      <c r="A12" s="1701" t="s">
        <v>1624</v>
      </c>
      <c r="B12" s="2300" t="s">
        <v>2237</v>
      </c>
      <c r="C12" s="772">
        <f ca="1">ROUND(IF(F12="押一",C8/12*F13,IF(F12="押二",C8/12*2*F13,IF(F12="押三",C8/12*3*F13,C13*F13))),0)</f>
        <v>0</v>
      </c>
      <c r="D12" s="2307" t="s">
        <v>2670</v>
      </c>
      <c r="E12" s="2304" t="s">
        <v>2242</v>
      </c>
      <c r="F12" s="2388"/>
      <c r="G12" s="1483"/>
      <c r="H12" s="2338" t="s">
        <v>1624</v>
      </c>
      <c r="I12" s="2343" t="s">
        <v>2237</v>
      </c>
      <c r="J12" s="756">
        <f ca="1">ROUND(IF(M12="押一",J8/12*M13,IF(M12="押二",J8/12*2*M13,IF(M12="押三",J8/12*3*M13,J13*M13))),0)</f>
        <v>0</v>
      </c>
      <c r="K12" s="2307" t="s">
        <v>2670</v>
      </c>
      <c r="L12" s="2304" t="s">
        <v>2242</v>
      </c>
      <c r="M12" s="2388"/>
    </row>
    <row r="13" spans="1:25" ht="18" customHeight="1">
      <c r="A13" s="763"/>
      <c r="B13" s="2301" t="s">
        <v>2290</v>
      </c>
      <c r="C13" s="2305"/>
      <c r="D13" s="762"/>
      <c r="E13" s="2304" t="s">
        <v>2235</v>
      </c>
      <c r="F13" s="769">
        <f ca="1">'数据-取费表'!B39</f>
        <v>1.4999999999999999E-2</v>
      </c>
      <c r="G13" s="1483"/>
      <c r="H13" s="2339"/>
      <c r="I13" s="2301" t="s">
        <v>2290</v>
      </c>
      <c r="J13" s="2305"/>
      <c r="K13" s="2340"/>
      <c r="L13" s="2304" t="s">
        <v>2235</v>
      </c>
      <c r="M13" s="2298">
        <f ca="1">'数据-取费表'!B39</f>
        <v>1.4999999999999999E-2</v>
      </c>
    </row>
    <row r="14" spans="1:25" ht="18" customHeight="1" thickBot="1">
      <c r="A14" s="2314" t="s">
        <v>2245</v>
      </c>
      <c r="B14" s="2315" t="s">
        <v>2238</v>
      </c>
      <c r="C14" s="2316"/>
      <c r="D14" s="2317"/>
      <c r="E14" s="2318"/>
      <c r="F14" s="2319"/>
      <c r="G14" s="1483"/>
      <c r="H14" s="2328" t="s">
        <v>2245</v>
      </c>
      <c r="I14" s="2341" t="s">
        <v>2238</v>
      </c>
      <c r="J14" s="2342"/>
      <c r="K14" s="2317"/>
      <c r="L14" s="2318"/>
      <c r="M14" s="2331"/>
    </row>
    <row r="15" spans="1:25" ht="18" customHeight="1" thickTop="1">
      <c r="A15" s="1700" t="s">
        <v>1669</v>
      </c>
      <c r="B15" s="1698" t="s">
        <v>623</v>
      </c>
      <c r="C15" s="765" t="e">
        <f ca="1">ROUND(C31*F15,0)</f>
        <v>#VALUE!</v>
      </c>
      <c r="D15" s="1705" t="s">
        <v>624</v>
      </c>
      <c r="E15" s="768" t="s">
        <v>625</v>
      </c>
      <c r="F15" s="773">
        <f ca="1">INDIRECT("'数据-取费表'!y"&amp;$G$1)</f>
        <v>0</v>
      </c>
      <c r="G15" s="1483"/>
      <c r="H15" s="1700" t="s">
        <v>1625</v>
      </c>
      <c r="I15" s="1698" t="s">
        <v>626</v>
      </c>
      <c r="J15" s="1690" t="e">
        <f ca="1">ROUND(J16*J17,0)</f>
        <v>#VALUE!</v>
      </c>
      <c r="K15" s="1692" t="s">
        <v>624</v>
      </c>
      <c r="L15" s="774"/>
      <c r="M15" s="775"/>
    </row>
    <row r="16" spans="1:25" ht="18" customHeight="1">
      <c r="A16" s="776" t="s">
        <v>1670</v>
      </c>
      <c r="B16" s="757" t="s">
        <v>627</v>
      </c>
      <c r="C16" s="777">
        <f ca="1">INDIRECT("'数据-取费表'!m"&amp;$G$1)+INDIRECT("'数据-取费表'!t"&amp;$G$1)</f>
        <v>0</v>
      </c>
      <c r="D16" s="1848" t="s">
        <v>628</v>
      </c>
      <c r="E16" s="1849"/>
      <c r="F16" s="778"/>
      <c r="G16" s="1483"/>
      <c r="H16" s="776" t="s">
        <v>1860</v>
      </c>
      <c r="I16" s="2066" t="s">
        <v>2540</v>
      </c>
      <c r="J16" s="53" t="e">
        <f ca="1">C31</f>
        <v>#VALUE!</v>
      </c>
      <c r="K16" s="26"/>
      <c r="L16" s="774"/>
      <c r="M16" s="775"/>
    </row>
    <row r="17" spans="1:25" s="1902" customFormat="1" ht="18" customHeight="1">
      <c r="A17" s="776" t="s">
        <v>1648</v>
      </c>
      <c r="B17" s="757" t="s">
        <v>629</v>
      </c>
      <c r="C17" s="53">
        <f ca="1">ROUND(C16*F17,0)</f>
        <v>0</v>
      </c>
      <c r="D17" s="779" t="s">
        <v>630</v>
      </c>
      <c r="E17" s="779" t="s">
        <v>631</v>
      </c>
      <c r="F17" s="780">
        <f>'数据-取费表'!B33</f>
        <v>0</v>
      </c>
      <c r="G17" s="1484"/>
      <c r="H17" s="776" t="s">
        <v>1861</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3"/>
      <c r="H18" s="770" t="s">
        <v>1626</v>
      </c>
      <c r="I18" s="771" t="s">
        <v>633</v>
      </c>
      <c r="J18" s="772" t="e">
        <f ca="1">ROUND(J19+J24+J25+J26,0)</f>
        <v>#VALUE!</v>
      </c>
      <c r="K18" s="26" t="s">
        <v>634</v>
      </c>
      <c r="L18" s="1851"/>
      <c r="M18" s="56"/>
    </row>
    <row r="19" spans="1:25" s="1902" customFormat="1" ht="18" customHeight="1">
      <c r="A19" s="776" t="s">
        <v>1650</v>
      </c>
      <c r="B19" s="757" t="s">
        <v>635</v>
      </c>
      <c r="C19" s="53">
        <f ca="1">ROUND(F19*(INDIRECT("'数据-取费表'!k"&amp;$G$1)+INDIRECT("'数据-取费表'!S"&amp;$G$1))/10000,0)</f>
        <v>0</v>
      </c>
      <c r="D19" s="757" t="s">
        <v>636</v>
      </c>
      <c r="E19" s="757" t="s">
        <v>637</v>
      </c>
      <c r="F19" s="56">
        <f>'数据-取费表'!B35</f>
        <v>0</v>
      </c>
      <c r="G19" s="1484"/>
      <c r="H19" s="776" t="s">
        <v>1860</v>
      </c>
      <c r="I19" s="757" t="s">
        <v>638</v>
      </c>
      <c r="J19" s="2928" t="e">
        <f ca="1">ROUND(IF(AND(项目基本情况!B11="自然人",项目基本情况!B10="北京市"),J8*M19/(1+'数据-取费表'!C42),J20+J21+J22),0)</f>
        <v>#VALUE!</v>
      </c>
      <c r="K19" s="1848" t="s">
        <v>639</v>
      </c>
      <c r="L19" s="1846" t="s">
        <v>640</v>
      </c>
      <c r="M19" s="2927">
        <f ca="1">IF(项目基本情况!B11="企业","——",IF('数据-取费表'!B10="住宅",IF(M8*M9*M10/12/(1+'数据-取费表'!F30)&gt;100000,4%,2.5%),IF(M8*M9*M10/12/(1+'数据-取费表'!F30)&gt;100000,12%,7%)))</f>
        <v>7.0000000000000007E-2</v>
      </c>
      <c r="N19" s="1901"/>
      <c r="O19" s="1901"/>
      <c r="P19" s="1901"/>
      <c r="Q19" s="1901"/>
      <c r="R19" s="1901"/>
      <c r="S19" s="1901"/>
      <c r="T19" s="1901"/>
      <c r="U19" s="1901"/>
      <c r="V19" s="1901"/>
      <c r="W19" s="1901"/>
      <c r="X19" s="1901"/>
      <c r="Y19" s="1901"/>
    </row>
    <row r="20" spans="1:25" s="1902" customFormat="1" ht="18" customHeight="1">
      <c r="A20" s="776" t="s">
        <v>1651</v>
      </c>
      <c r="B20" s="757" t="s">
        <v>641</v>
      </c>
      <c r="C20" s="53">
        <f ca="1">ROUND(C16*F20,0)</f>
        <v>0</v>
      </c>
      <c r="D20" s="757" t="s">
        <v>630</v>
      </c>
      <c r="E20" s="757" t="s">
        <v>631</v>
      </c>
      <c r="F20" s="782">
        <f>'数据-取费表'!B36</f>
        <v>0</v>
      </c>
      <c r="G20" s="1484"/>
      <c r="H20" s="776" t="s">
        <v>1630</v>
      </c>
      <c r="I20" s="757" t="s">
        <v>642</v>
      </c>
      <c r="J20" s="53">
        <f ca="1">ROUND(J8*M20/(1+'数据-取费表'!C42),1)</f>
        <v>0</v>
      </c>
      <c r="K20" s="1846" t="s">
        <v>643</v>
      </c>
      <c r="L20" s="757" t="s">
        <v>631</v>
      </c>
      <c r="M20" s="782">
        <f>'数据-取费表'!B41</f>
        <v>0</v>
      </c>
      <c r="N20" s="1901"/>
      <c r="O20" s="1901"/>
      <c r="P20" s="1901"/>
      <c r="Q20" s="1901"/>
      <c r="R20" s="1901"/>
      <c r="S20" s="1901"/>
      <c r="T20" s="1901"/>
      <c r="U20" s="1901"/>
      <c r="V20" s="1901"/>
      <c r="W20" s="1901"/>
      <c r="X20" s="1901"/>
      <c r="Y20" s="1901"/>
    </row>
    <row r="21" spans="1:25" ht="18" customHeight="1">
      <c r="A21" s="776" t="s">
        <v>1671</v>
      </c>
      <c r="B21" s="757" t="s">
        <v>644</v>
      </c>
      <c r="C21" s="53">
        <f ca="1">SUM(C16:C20)</f>
        <v>0</v>
      </c>
      <c r="D21" s="259" t="s">
        <v>645</v>
      </c>
      <c r="E21" s="1851"/>
      <c r="F21" s="56"/>
      <c r="G21" s="1483"/>
      <c r="H21" s="1701" t="s">
        <v>1648</v>
      </c>
      <c r="I21" s="757" t="s">
        <v>646</v>
      </c>
      <c r="J21" s="53" t="e">
        <f ca="1">IF(K21="按租金收入计税",ROUND(J8*M21/(1+'数据-取费表'!C42),1),ROUND(C31*F35*0.7,1))</f>
        <v>#VALUE!</v>
      </c>
      <c r="K21" s="783" t="s">
        <v>647</v>
      </c>
      <c r="L21" s="757" t="s">
        <v>631</v>
      </c>
      <c r="M21" s="782">
        <f>IF(K21="按租金收入计税",'数据-取费表'!B51,'数据-取费表'!B50)</f>
        <v>1.2E-2</v>
      </c>
    </row>
    <row r="22" spans="1:25" s="1902" customFormat="1" ht="18" customHeight="1">
      <c r="A22" s="776" t="s">
        <v>1672</v>
      </c>
      <c r="B22" s="757" t="s">
        <v>648</v>
      </c>
      <c r="C22" s="53">
        <f ca="1">ROUND(C21*F22,0)</f>
        <v>0</v>
      </c>
      <c r="D22" s="784" t="s">
        <v>649</v>
      </c>
      <c r="E22" s="757" t="s">
        <v>631</v>
      </c>
      <c r="F22" s="782">
        <f>'数据-取费表'!B37</f>
        <v>0</v>
      </c>
      <c r="G22" s="1484"/>
      <c r="H22" s="1703" t="s">
        <v>1649</v>
      </c>
      <c r="I22" s="1693" t="s">
        <v>650</v>
      </c>
      <c r="J22" s="54">
        <f ca="1">ROUND(M22*M23/10000,0)</f>
        <v>0</v>
      </c>
      <c r="K22" s="786" t="s">
        <v>651</v>
      </c>
      <c r="L22" s="757" t="s">
        <v>652</v>
      </c>
      <c r="M22" s="615">
        <f>'数据-取费表'!B52</f>
        <v>0</v>
      </c>
      <c r="N22" s="1901"/>
      <c r="O22" s="1901"/>
      <c r="P22" s="1901"/>
      <c r="Q22" s="1901"/>
      <c r="R22" s="1901"/>
      <c r="S22" s="1901"/>
      <c r="T22" s="1901"/>
      <c r="U22" s="1901"/>
      <c r="V22" s="1901"/>
      <c r="W22" s="1901"/>
      <c r="X22" s="1901"/>
      <c r="Y22" s="1901"/>
    </row>
    <row r="23" spans="1:25" s="1902" customFormat="1" ht="18" customHeight="1">
      <c r="A23" s="776" t="s">
        <v>1673</v>
      </c>
      <c r="B23" s="757" t="s">
        <v>653</v>
      </c>
      <c r="C23" s="53" t="s">
        <v>1</v>
      </c>
      <c r="D23" s="784" t="s">
        <v>654</v>
      </c>
      <c r="E23" s="757" t="s">
        <v>655</v>
      </c>
      <c r="F23" s="782">
        <f>'数据-取费表'!B38</f>
        <v>0</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1674</v>
      </c>
      <c r="B24" s="757" t="s">
        <v>657</v>
      </c>
      <c r="C24" s="53"/>
      <c r="D24" s="2347" t="str">
        <f>IF(F25&lt;=1,"单利计息。","复利计息。")&amp;"建造成本、管理费用、销售费用产生的利息。"</f>
        <v>单利计息。建造成本、管理费用、销售费用产生的利息。</v>
      </c>
      <c r="E24" s="1851"/>
      <c r="F24" s="56"/>
      <c r="G24" s="1483"/>
      <c r="H24" s="1702" t="s">
        <v>1861</v>
      </c>
      <c r="I24" s="757" t="s">
        <v>658</v>
      </c>
      <c r="J24" s="53" t="e">
        <f ca="1">ROUND(J16*M24,0)</f>
        <v>#VALUE!</v>
      </c>
      <c r="K24" s="1846" t="s">
        <v>659</v>
      </c>
      <c r="L24" s="757" t="s">
        <v>631</v>
      </c>
      <c r="M24" s="789">
        <f ca="1">INDIRECT("'数据-取费表'!Ak"&amp;$G$1)</f>
        <v>0</v>
      </c>
    </row>
    <row r="25" spans="1:25" s="1902" customFormat="1" ht="18" customHeight="1">
      <c r="A25" s="776" t="s">
        <v>1670</v>
      </c>
      <c r="B25" s="757" t="s">
        <v>2218</v>
      </c>
      <c r="C25" s="53" t="e">
        <f ca="1">ROUND(IF('数据-取费表'!B22&lt;=1,(C21+C22)*F26*F25/2,(C21+C22)*(POWER((1+F26),F25/2)-1)),0)</f>
        <v>#VALUE!</v>
      </c>
      <c r="D25" s="2346" t="str">
        <f>IF(F25&lt;=1,"(建造成本+管理费用)×利率×(建设周期÷2)","(建造成本+管理费用)×((1+利率)^(建设周期÷2)-1)")</f>
        <v>(建造成本+管理费用)×利率×(建设周期÷2)</v>
      </c>
      <c r="E25" s="757" t="s">
        <v>660</v>
      </c>
      <c r="F25" s="615">
        <f>'数据-取费表'!B20</f>
        <v>0</v>
      </c>
      <c r="G25" s="1484"/>
      <c r="H25" s="776" t="s">
        <v>1673</v>
      </c>
      <c r="I25" s="757" t="s">
        <v>661</v>
      </c>
      <c r="J25" s="53" t="e">
        <f ca="1">ROUND(J15*M25,0)</f>
        <v>#VALUE!</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1648</v>
      </c>
      <c r="B26" s="757" t="s">
        <v>663</v>
      </c>
      <c r="C26" s="53" t="e">
        <f ca="1">ROUND(IF('数据-取费表'!B22&lt;=1,F23*F26*F25/2,F23*(POWER((1+F26),F25/2)-1)),4)</f>
        <v>#VALUE!</v>
      </c>
      <c r="D26" s="2346" t="str">
        <f>IF(F25&lt;=1,"销售费用×利率×(建设周期÷2)","销售费用×((1+利率)^(建设周期÷2)-1)")</f>
        <v>销售费用×利率×(建设周期÷2)</v>
      </c>
      <c r="E26" s="757" t="s">
        <v>664</v>
      </c>
      <c r="F26" s="791" t="e">
        <f ca="1">'数据-取费表'!B40</f>
        <v>#VALUE!</v>
      </c>
      <c r="G26" s="1484"/>
      <c r="H26" s="776" t="s">
        <v>1674</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1676</v>
      </c>
      <c r="B27" s="757" t="s">
        <v>666</v>
      </c>
      <c r="C27" s="53"/>
      <c r="D27" s="259" t="s">
        <v>667</v>
      </c>
      <c r="E27" s="1851"/>
      <c r="F27" s="56"/>
      <c r="G27" s="1483"/>
      <c r="H27" s="770" t="s">
        <v>1627</v>
      </c>
      <c r="I27" s="2646" t="s">
        <v>2537</v>
      </c>
      <c r="J27" s="772" t="e">
        <f ca="1">J7-J18</f>
        <v>#VALUE!</v>
      </c>
      <c r="K27" s="1848" t="s">
        <v>682</v>
      </c>
      <c r="L27" s="1850"/>
      <c r="M27" s="792"/>
    </row>
    <row r="28" spans="1:25" ht="18" customHeight="1">
      <c r="A28" s="776" t="s">
        <v>1670</v>
      </c>
      <c r="B28" s="757" t="s">
        <v>2219</v>
      </c>
      <c r="C28" s="53">
        <f ca="1">ROUND((C21+C22)*F28,0)</f>
        <v>0</v>
      </c>
      <c r="D28" s="784" t="s">
        <v>683</v>
      </c>
      <c r="E28" s="768" t="s">
        <v>684</v>
      </c>
      <c r="F28" s="767">
        <f ca="1">INDIRECT("'数据-取费表'!q"&amp;$G$1)</f>
        <v>0</v>
      </c>
      <c r="G28" s="1483"/>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1677</v>
      </c>
      <c r="B30" s="757" t="s">
        <v>669</v>
      </c>
      <c r="C30" s="53">
        <f>ROUND(F30/(1+'数据-取费表'!C42),4)</f>
        <v>0</v>
      </c>
      <c r="D30" s="784" t="s">
        <v>691</v>
      </c>
      <c r="E30" s="757" t="s">
        <v>631</v>
      </c>
      <c r="F30" s="782">
        <f>'数据-取费表'!B41</f>
        <v>0</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1678</v>
      </c>
      <c r="B31" s="2318" t="s">
        <v>2538</v>
      </c>
      <c r="C31" s="2321" t="e">
        <f ca="1">ROUND((C21+C22+C25+C28)/(1-F23-C26-C29-C30),0)</f>
        <v>#VALUE!</v>
      </c>
      <c r="D31" s="2322"/>
      <c r="E31" s="2323"/>
      <c r="F31" s="2324"/>
      <c r="G31" s="1484"/>
      <c r="H31" s="795" t="s">
        <v>1667</v>
      </c>
      <c r="I31" s="2647" t="s">
        <v>2539</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t="e">
        <f ca="1">ROUND(C33+C38+C39+C40,0)</f>
        <v>#VALUE!</v>
      </c>
      <c r="D32" s="1692" t="s">
        <v>634</v>
      </c>
      <c r="E32" s="2293"/>
      <c r="F32" s="2297"/>
      <c r="G32" s="1900"/>
      <c r="H32" s="1903"/>
      <c r="I32" s="1904"/>
      <c r="J32" s="1905"/>
      <c r="K32" s="1906"/>
      <c r="L32" s="1907"/>
      <c r="M32" s="1908"/>
    </row>
    <row r="33" spans="1:18" ht="18" customHeight="1">
      <c r="A33" s="776" t="s">
        <v>1671</v>
      </c>
      <c r="B33" s="757" t="s">
        <v>638</v>
      </c>
      <c r="C33" s="2928" t="e">
        <f ca="1">ROUND(IF(AND(项目基本情况!B11="自然人",项目基本情况!B10="北京市"),C8*F33/(1+'数据-取费表'!C42),C34+C35+C36),0)</f>
        <v>#VALUE!</v>
      </c>
      <c r="D33" s="1848" t="s">
        <v>639</v>
      </c>
      <c r="E33" s="1846" t="s">
        <v>672</v>
      </c>
      <c r="F33" s="2927">
        <f ca="1">IF(项目基本情况!B11="企业","——",IF('数据-取费表'!B10="住宅",IF(F8*F9*F10/12/(1+'数据-取费表'!F30)&gt;100000,4%,2.5%),IF(F8*F9*F10/12/(1+'数据-取费表'!F30)&gt;100000,12%,7%)))</f>
        <v>7.0000000000000007E-2</v>
      </c>
      <c r="G33" s="1900"/>
      <c r="H33" s="3167" t="s">
        <v>2724</v>
      </c>
      <c r="I33" s="1904"/>
      <c r="J33" s="1905"/>
      <c r="K33" s="1906"/>
      <c r="L33" s="1907"/>
      <c r="M33" s="1908"/>
    </row>
    <row r="34" spans="1:18" ht="18" customHeight="1">
      <c r="A34" s="776" t="s">
        <v>1670</v>
      </c>
      <c r="B34" s="757" t="s">
        <v>642</v>
      </c>
      <c r="C34" s="53">
        <f ca="1">ROUND(C8*F34/(1+'数据-取费表'!C42),1)</f>
        <v>0</v>
      </c>
      <c r="D34" s="1846" t="s">
        <v>643</v>
      </c>
      <c r="E34" s="757" t="s">
        <v>631</v>
      </c>
      <c r="F34" s="782">
        <f>'数据-取费表'!B41</f>
        <v>0</v>
      </c>
      <c r="G34" s="1900"/>
      <c r="H34" s="1909"/>
      <c r="I34" s="1910"/>
      <c r="J34" s="1911"/>
      <c r="K34" s="1912"/>
      <c r="L34" s="1913"/>
      <c r="M34" s="1914"/>
    </row>
    <row r="35" spans="1:18" ht="18" customHeight="1">
      <c r="A35" s="776" t="s">
        <v>1648</v>
      </c>
      <c r="B35" s="757" t="s">
        <v>646</v>
      </c>
      <c r="C35" s="53" t="e">
        <f ca="1">IF(D35="按租金收入计税",ROUND(C8*F35/(1+'数据-取费表'!C42),1),IF(D35="按房产原值计税",ROUND(C31*F35*0.7,1),INDIRECT("'数据-取费表'!Aj"&amp;$G$1)))</f>
        <v>#VALUE!</v>
      </c>
      <c r="D35" s="783" t="s">
        <v>1479</v>
      </c>
      <c r="E35" s="757" t="s">
        <v>631</v>
      </c>
      <c r="F35" s="782">
        <f>IF(D35="按租金收入计税",'数据-取费表'!B51,'数据-取费表'!B50)</f>
        <v>1.2E-2</v>
      </c>
      <c r="G35" s="1900"/>
      <c r="H35" s="1915"/>
      <c r="I35" s="1915"/>
      <c r="J35" s="1915"/>
      <c r="K35" s="1916"/>
      <c r="L35" s="1915"/>
      <c r="M35" s="1915"/>
    </row>
    <row r="36" spans="1:18" ht="18" customHeight="1">
      <c r="A36" s="785" t="s">
        <v>1675</v>
      </c>
      <c r="B36" s="339" t="s">
        <v>650</v>
      </c>
      <c r="C36" s="54">
        <f ca="1">ROUND(F36*F37/10000,1)</f>
        <v>0</v>
      </c>
      <c r="D36" s="786" t="s">
        <v>651</v>
      </c>
      <c r="E36" s="757" t="s">
        <v>652</v>
      </c>
      <c r="F36" s="615">
        <f>'数据-取费表'!B52</f>
        <v>0</v>
      </c>
      <c r="G36" s="1900"/>
      <c r="H36" s="1903"/>
      <c r="I36" s="3728"/>
      <c r="J36" s="1917"/>
      <c r="K36" s="1918"/>
      <c r="L36" s="1917"/>
      <c r="M36" s="1917"/>
    </row>
    <row r="37" spans="1:18" ht="18" customHeight="1">
      <c r="A37" s="787"/>
      <c r="B37" s="766"/>
      <c r="C37" s="69"/>
      <c r="D37" s="788"/>
      <c r="E37" s="757" t="s">
        <v>656</v>
      </c>
      <c r="F37" s="758">
        <f ca="1">INDIRECT("'数据-取费表'!r"&amp;$G$1)</f>
        <v>0</v>
      </c>
      <c r="G37" s="1900"/>
      <c r="H37" s="1903"/>
      <c r="I37" s="3728"/>
      <c r="J37" s="1915"/>
      <c r="K37" s="1916"/>
      <c r="L37" s="1915"/>
      <c r="M37" s="1915"/>
    </row>
    <row r="38" spans="1:18" ht="18" customHeight="1">
      <c r="A38" s="776" t="s">
        <v>1672</v>
      </c>
      <c r="B38" s="757" t="s">
        <v>658</v>
      </c>
      <c r="C38" s="53" t="e">
        <f ca="1">ROUND(C31*F38,1)</f>
        <v>#VALUE!</v>
      </c>
      <c r="D38" s="1846" t="s">
        <v>673</v>
      </c>
      <c r="E38" s="757" t="s">
        <v>631</v>
      </c>
      <c r="F38" s="789">
        <f ca="1">INDIRECT("'数据-取费表'!Ak"&amp;$G$1)</f>
        <v>0</v>
      </c>
      <c r="G38" s="1900"/>
      <c r="H38" s="1915"/>
      <c r="I38" s="2931"/>
      <c r="J38" s="1855"/>
      <c r="K38" s="1919"/>
      <c r="L38" s="1915"/>
      <c r="M38" s="1915"/>
    </row>
    <row r="39" spans="1:18" ht="18" customHeight="1">
      <c r="A39" s="776" t="s">
        <v>1673</v>
      </c>
      <c r="B39" s="757" t="s">
        <v>661</v>
      </c>
      <c r="C39" s="53" t="e">
        <f ca="1">ROUND(C15*F39,1)</f>
        <v>#VALUE!</v>
      </c>
      <c r="D39" s="1846" t="s">
        <v>662</v>
      </c>
      <c r="E39" s="757" t="s">
        <v>631</v>
      </c>
      <c r="F39" s="790">
        <f ca="1">INDIRECT("'数据-取费表'!Al"&amp;$G$1)</f>
        <v>0</v>
      </c>
      <c r="G39" s="1900"/>
      <c r="H39" s="1915"/>
      <c r="I39" s="2931"/>
      <c r="J39" s="1855"/>
      <c r="K39" s="1919"/>
      <c r="L39" s="1915"/>
      <c r="M39" s="1915"/>
    </row>
    <row r="40" spans="1:18" ht="18" customHeight="1" thickBot="1">
      <c r="A40" s="2337" t="s">
        <v>1674</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1671</v>
      </c>
      <c r="B42" s="807" t="s">
        <v>675</v>
      </c>
      <c r="C42" s="801" t="e">
        <f ca="1">C7-C32</f>
        <v>#VALUE!</v>
      </c>
      <c r="D42" s="1848" t="s">
        <v>676</v>
      </c>
      <c r="E42" s="1850"/>
      <c r="F42" s="792"/>
      <c r="G42" s="1900"/>
      <c r="H42" s="1900"/>
      <c r="I42" s="1900"/>
      <c r="J42" s="1900"/>
      <c r="K42" s="1920"/>
      <c r="L42" s="1900"/>
      <c r="M42" s="1900"/>
    </row>
    <row r="43" spans="1:18" ht="18" customHeight="1">
      <c r="A43" s="776" t="s">
        <v>1672</v>
      </c>
      <c r="B43" s="807" t="s">
        <v>693</v>
      </c>
      <c r="C43" s="808" t="e">
        <f ca="1">ROUND(C15*F43,0)</f>
        <v>#VALUE!</v>
      </c>
      <c r="D43" s="1265" t="s">
        <v>694</v>
      </c>
      <c r="E43" s="2714" t="s">
        <v>2660</v>
      </c>
      <c r="F43" s="2715">
        <f ca="1">INDIRECT("'数据-取费表'!j"&amp;$G$1)</f>
        <v>0</v>
      </c>
      <c r="G43" s="1900"/>
      <c r="H43" s="1900"/>
      <c r="I43" s="1900"/>
      <c r="J43" s="1900"/>
      <c r="K43" s="1920"/>
      <c r="L43" s="1900"/>
      <c r="M43" s="1900"/>
    </row>
    <row r="44" spans="1:18" ht="18" customHeight="1">
      <c r="A44" s="776" t="s">
        <v>1673</v>
      </c>
      <c r="B44" s="807" t="s">
        <v>695</v>
      </c>
      <c r="C44" s="1266" t="e">
        <f ca="1">C42-C43</f>
        <v>#VALUE!</v>
      </c>
      <c r="D44" s="456" t="s">
        <v>696</v>
      </c>
      <c r="E44" s="457"/>
      <c r="F44" s="458"/>
      <c r="G44" s="1900"/>
      <c r="H44" s="1900"/>
      <c r="I44" s="1900"/>
      <c r="J44" s="1900"/>
      <c r="K44" s="1920"/>
      <c r="L44" s="1900"/>
      <c r="M44" s="1900"/>
    </row>
    <row r="45" spans="1:18" ht="18" customHeight="1">
      <c r="A45" s="776" t="s">
        <v>1674</v>
      </c>
      <c r="B45" s="1265" t="s">
        <v>697</v>
      </c>
      <c r="C45" s="2671" t="e">
        <f ca="1">ROUND(-PV(F45,F46,C44,0),0)</f>
        <v>#VALUE!</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2663</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2129</v>
      </c>
      <c r="J47" s="2189"/>
      <c r="K47" s="2190"/>
      <c r="L47" s="2730" t="e">
        <f ca="1">IF(M48="住宅",0,IF(L49&gt;J52,L61,J61))</f>
        <v>#VALUE!</v>
      </c>
      <c r="O47" s="2204" t="s">
        <v>2196</v>
      </c>
      <c r="P47" s="1483"/>
      <c r="Q47" s="1491"/>
      <c r="R47" s="1483"/>
    </row>
    <row r="48" spans="1:18" s="1897" customFormat="1" ht="18" customHeight="1" thickBot="1">
      <c r="A48" s="1921"/>
      <c r="C48" s="1924"/>
      <c r="D48" s="1925"/>
      <c r="E48" s="1925"/>
      <c r="F48" s="1926"/>
      <c r="G48" s="1927"/>
      <c r="I48" s="2721" t="s">
        <v>2130</v>
      </c>
      <c r="J48" s="2191"/>
      <c r="K48" s="2727" t="s">
        <v>2135</v>
      </c>
      <c r="L48" s="2731">
        <f ca="1">INDIRECT("'数据-取费表'!d"&amp;$G$1)</f>
        <v>50</v>
      </c>
      <c r="M48" s="2713" t="str">
        <f>IF(ISNUMBER(FIND("住宅",C1)),"住宅","非住宅")</f>
        <v>非住宅</v>
      </c>
      <c r="O48" s="2205" t="s">
        <v>2161</v>
      </c>
      <c r="P48" s="2206" t="s">
        <v>2162</v>
      </c>
      <c r="Q48" s="2207" t="s">
        <v>2163</v>
      </c>
      <c r="R48" s="2206" t="s">
        <v>2164</v>
      </c>
    </row>
    <row r="49" spans="1:18" s="1897" customFormat="1" ht="18" customHeight="1" thickBot="1">
      <c r="A49" s="1921"/>
      <c r="D49" s="1928"/>
      <c r="E49" s="1929"/>
      <c r="F49" s="1926"/>
      <c r="G49" s="1927"/>
      <c r="H49" s="1930"/>
      <c r="I49" s="2718" t="s">
        <v>2131</v>
      </c>
      <c r="J49" s="2192"/>
      <c r="K49" s="2728" t="s">
        <v>2137</v>
      </c>
      <c r="L49" s="1778">
        <f ca="1">INDIRECT("'数据-取费表'!f"&amp;$G$1)</f>
        <v>50</v>
      </c>
      <c r="O49" s="2208" t="s">
        <v>2165</v>
      </c>
      <c r="P49" s="2209" t="s">
        <v>2191</v>
      </c>
      <c r="Q49" s="2210">
        <f ca="1">C41+J31</f>
        <v>0</v>
      </c>
      <c r="R49" s="2209" t="s">
        <v>2166</v>
      </c>
    </row>
    <row r="50" spans="1:18" s="1897" customFormat="1" ht="18" customHeight="1" thickBot="1">
      <c r="A50" s="1921"/>
      <c r="D50" s="1931"/>
      <c r="E50" s="1931"/>
      <c r="F50" s="1925"/>
      <c r="G50" s="1932"/>
      <c r="H50" s="1930"/>
      <c r="I50" s="2718" t="s">
        <v>2132</v>
      </c>
      <c r="J50" s="2193"/>
      <c r="K50" s="2729" t="s">
        <v>2138</v>
      </c>
      <c r="L50" s="2194"/>
      <c r="O50" s="2208" t="s">
        <v>2167</v>
      </c>
      <c r="P50" s="2209" t="s">
        <v>2192</v>
      </c>
      <c r="Q50" s="2210" t="str">
        <f ca="1">J61</f>
        <v>0</v>
      </c>
      <c r="R50" s="2209" t="s">
        <v>2168</v>
      </c>
    </row>
    <row r="51" spans="1:18" s="1897" customFormat="1" ht="18" customHeight="1" thickBot="1">
      <c r="A51" s="1933"/>
      <c r="D51" s="1931"/>
      <c r="E51" s="1931"/>
      <c r="F51" s="1922"/>
      <c r="H51" s="1930"/>
      <c r="I51" s="2718" t="s">
        <v>2133</v>
      </c>
      <c r="J51" s="2725">
        <f>SUMPRODUCT((I64:I66=J48)*(J63:L63=J49)*(J64:L66))</f>
        <v>0</v>
      </c>
      <c r="K51" s="2729" t="s">
        <v>2139</v>
      </c>
      <c r="L51" s="2194"/>
      <c r="O51" s="2211" t="s">
        <v>2169</v>
      </c>
      <c r="P51" s="2209" t="s">
        <v>2193</v>
      </c>
      <c r="Q51" s="2210" t="e">
        <f ca="1">C31</f>
        <v>#VALUE!</v>
      </c>
      <c r="R51" s="2209" t="s">
        <v>2166</v>
      </c>
    </row>
    <row r="52" spans="1:18" s="1897" customFormat="1" ht="18" customHeight="1" thickBot="1">
      <c r="A52" s="1933"/>
      <c r="F52" s="1922"/>
      <c r="I52" s="2722" t="s">
        <v>2134</v>
      </c>
      <c r="J52" s="2726">
        <f>IF(J50="",J51,J50+J51-YEAR('数据-取费表'!B3))</f>
        <v>0</v>
      </c>
      <c r="K52" s="2718" t="s">
        <v>2140</v>
      </c>
      <c r="L52" s="2732" t="e">
        <f ca="1">C45</f>
        <v>#VALUE!</v>
      </c>
      <c r="O52" s="2211" t="s">
        <v>2170</v>
      </c>
      <c r="P52" s="2209" t="s">
        <v>2171</v>
      </c>
      <c r="Q52" s="2212" t="e">
        <f ca="1">J59</f>
        <v>#VALUE!</v>
      </c>
      <c r="R52" s="2213"/>
    </row>
    <row r="53" spans="1:18" s="1897" customFormat="1" ht="18" customHeight="1" thickBot="1">
      <c r="A53" s="1933"/>
      <c r="F53" s="1922"/>
      <c r="I53" s="2723" t="s">
        <v>2207</v>
      </c>
      <c r="J53" s="2195"/>
      <c r="K53" s="2723" t="s">
        <v>2206</v>
      </c>
      <c r="L53" s="2195"/>
      <c r="O53" s="2211" t="s">
        <v>2172</v>
      </c>
      <c r="P53" s="2209" t="s">
        <v>2173</v>
      </c>
      <c r="Q53" s="2212">
        <f>J53</f>
        <v>0</v>
      </c>
      <c r="R53" s="2213"/>
    </row>
    <row r="54" spans="1:18" s="1897" customFormat="1" ht="29.25" thickBot="1">
      <c r="A54" s="1933"/>
      <c r="I54" s="2724" t="s">
        <v>2674</v>
      </c>
      <c r="J54" s="2777">
        <f ca="1">IF(M48="住宅",MAX(J52,L49-'数据-取费表'!B20),MIN(J52,L49-'数据-取费表'!B20))</f>
        <v>0</v>
      </c>
      <c r="K54" s="3733"/>
      <c r="L54" s="3734"/>
      <c r="O54" s="2211" t="s">
        <v>2174</v>
      </c>
      <c r="P54" s="2209" t="s">
        <v>2175</v>
      </c>
      <c r="Q54" s="2210">
        <f ca="1">J54</f>
        <v>0</v>
      </c>
      <c r="R54" s="2209" t="s">
        <v>2176</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2177</v>
      </c>
      <c r="P55" s="2209" t="s">
        <v>2194</v>
      </c>
      <c r="Q55" s="2210">
        <f ca="1">Q49+Q50</f>
        <v>0</v>
      </c>
      <c r="R55" s="2213" t="s">
        <v>2178</v>
      </c>
    </row>
    <row r="56" spans="1:18" s="1897" customFormat="1" ht="16.5" thickBot="1">
      <c r="A56" s="1933"/>
      <c r="B56" s="1934"/>
      <c r="C56" s="1934"/>
      <c r="I56" s="2735" t="s">
        <v>2141</v>
      </c>
      <c r="J56" s="2707" t="e">
        <f ca="1">ROUND(IF(J48="钢混",J58/J51,1-(1-2%)*(J51-J58)/J51),3)</f>
        <v>#VALUE!</v>
      </c>
      <c r="K56" s="2736" t="s">
        <v>2142</v>
      </c>
      <c r="L56" s="2196"/>
      <c r="O56" s="2214" t="s">
        <v>2197</v>
      </c>
      <c r="P56" s="1483"/>
      <c r="Q56" s="1491"/>
      <c r="R56" s="1483"/>
    </row>
    <row r="57" spans="1:18" s="1897" customFormat="1" ht="43.5" thickBot="1">
      <c r="A57" s="1933"/>
      <c r="B57" s="1934"/>
      <c r="C57" s="1934"/>
      <c r="I57" s="2737" t="s">
        <v>2143</v>
      </c>
      <c r="J57" s="2747" t="s">
        <v>1477</v>
      </c>
      <c r="K57" s="2718" t="s">
        <v>2148</v>
      </c>
      <c r="L57" s="1778">
        <f ca="1">IF(L49&lt;J52,"——",L49-J52)</f>
        <v>50</v>
      </c>
      <c r="O57" s="2205" t="s">
        <v>2161</v>
      </c>
      <c r="P57" s="2206" t="s">
        <v>2162</v>
      </c>
      <c r="Q57" s="2207" t="s">
        <v>2163</v>
      </c>
      <c r="R57" s="2206" t="s">
        <v>2164</v>
      </c>
    </row>
    <row r="58" spans="1:18" s="1897" customFormat="1" ht="29.25" thickBot="1">
      <c r="A58" s="1933"/>
      <c r="B58" s="1934"/>
      <c r="C58" s="1934"/>
      <c r="I58" s="2738" t="s">
        <v>2144</v>
      </c>
      <c r="J58" s="2739" t="str">
        <f ca="1">IF(OR(M48="住宅",J52&lt;L49,J57="是"),"——",J52-L49)</f>
        <v>——</v>
      </c>
      <c r="K58" s="2718" t="s">
        <v>2149</v>
      </c>
      <c r="L58" s="1778" t="e">
        <f ca="1">IF(L49&lt;J52,"——",IF(L56="比较法",L50,IF(L56="基准地价",L51,L52)))</f>
        <v>#VALUE!</v>
      </c>
      <c r="O58" s="2208" t="s">
        <v>2165</v>
      </c>
      <c r="P58" s="2209" t="s">
        <v>2191</v>
      </c>
      <c r="Q58" s="2210">
        <f ca="1">C41+J31</f>
        <v>0</v>
      </c>
      <c r="R58" s="2209" t="s">
        <v>2166</v>
      </c>
    </row>
    <row r="59" spans="1:18" s="1897" customFormat="1" ht="29.25" thickBot="1">
      <c r="A59" s="1933"/>
      <c r="B59" s="1934"/>
      <c r="C59" s="1934"/>
      <c r="I59" s="2738" t="s">
        <v>2145</v>
      </c>
      <c r="J59" s="2708" t="e">
        <f ca="1">IF(J56&lt;0.4,0.4,J56)</f>
        <v>#VALUE!</v>
      </c>
      <c r="K59" s="2718" t="s">
        <v>2150</v>
      </c>
      <c r="L59" s="1778">
        <f ca="1">IF(ISERROR(POWER(1+L53,L48-L49)*(POWER(1+L53,L49)-1)/(POWER(1+L53,L48)-1)),0,POWER(1+L53,L48-L49)*(POWER(1+L53,L49)-1)/(POWER(1+L53,L48)-1))</f>
        <v>0</v>
      </c>
      <c r="O59" s="2208" t="s">
        <v>2167</v>
      </c>
      <c r="P59" s="2209" t="s">
        <v>2198</v>
      </c>
      <c r="Q59" s="2210" t="e">
        <f ca="1">L61</f>
        <v>#VALUE!</v>
      </c>
      <c r="R59" s="2213" t="s">
        <v>2200</v>
      </c>
    </row>
    <row r="60" spans="1:18" s="1897" customFormat="1" ht="29.25" thickBot="1">
      <c r="A60" s="1933"/>
      <c r="B60" s="1934"/>
      <c r="C60" s="1934"/>
      <c r="I60" s="2738" t="s">
        <v>2146</v>
      </c>
      <c r="J60" s="2739" t="str">
        <f ca="1">IF(OR(M48="住宅",J52&lt;L49,J57="是"),"——",ROUND(C30*J59,0))</f>
        <v>——</v>
      </c>
      <c r="K60" s="2718" t="s">
        <v>2151</v>
      </c>
      <c r="L60" s="1778">
        <f ca="1">IF(ISERROR(POWER(1+L53,L48-J52)*(POWER(1+L53,J52)-1)/(POWER(1+L53,L48)-1)),0,POWER(1+L53,L48-J52)*(POWER(1+L53,J52)-1)/(POWER(1+L53,L48)-1))</f>
        <v>0</v>
      </c>
      <c r="O60" s="2211" t="s">
        <v>2169</v>
      </c>
      <c r="P60" s="2209" t="s">
        <v>2199</v>
      </c>
      <c r="Q60" s="2210">
        <f>IF(L56="比较法",L50,IF(L56="基准地价",L51,0))</f>
        <v>0</v>
      </c>
      <c r="R60" s="2209" t="s">
        <v>2166</v>
      </c>
    </row>
    <row r="61" spans="1:18" s="1897" customFormat="1" ht="15.75" thickBot="1">
      <c r="A61" s="1933"/>
      <c r="B61" s="1934"/>
      <c r="C61" s="1934"/>
      <c r="I61" s="2740" t="s">
        <v>2147</v>
      </c>
      <c r="J61" s="2741" t="str">
        <f ca="1">IF(OR(M48="住宅",J52&lt;L49,J57="是"),"0",ROUND(J60/(1+J53)^J54,0))</f>
        <v>0</v>
      </c>
      <c r="K61" s="2742" t="s">
        <v>2152</v>
      </c>
      <c r="L61" s="2741" t="e">
        <f ca="1">IF(OR(M48="住宅",L49&lt;J52),0,ROUND(L58*(L59/L60-1),0))</f>
        <v>#VALUE!</v>
      </c>
      <c r="O61" s="2211" t="s">
        <v>2170</v>
      </c>
      <c r="P61" s="2209" t="s">
        <v>2179</v>
      </c>
      <c r="Q61" s="2212">
        <f>L53</f>
        <v>0</v>
      </c>
      <c r="R61" s="2213"/>
    </row>
    <row r="62" spans="1:18" s="1897" customFormat="1" ht="20.25" thickBot="1">
      <c r="A62" s="1933"/>
      <c r="B62" s="1934"/>
      <c r="C62" s="1934"/>
      <c r="K62" s="1923"/>
      <c r="O62" s="2211" t="s">
        <v>2172</v>
      </c>
      <c r="P62" s="2209" t="s">
        <v>2180</v>
      </c>
      <c r="Q62" s="2210">
        <f ca="1">L59</f>
        <v>0</v>
      </c>
      <c r="R62" s="2213" t="s">
        <v>2181</v>
      </c>
    </row>
    <row r="63" spans="1:18" s="1897" customFormat="1" ht="20.25" thickBot="1">
      <c r="A63" s="1933"/>
      <c r="B63" s="1934"/>
      <c r="C63" s="1934"/>
      <c r="I63" s="2743" t="s">
        <v>2153</v>
      </c>
      <c r="J63" s="2744" t="s">
        <v>2154</v>
      </c>
      <c r="K63" s="2744" t="s">
        <v>2155</v>
      </c>
      <c r="L63" s="2744" t="s">
        <v>2136</v>
      </c>
      <c r="M63" s="2745" t="s">
        <v>2643</v>
      </c>
      <c r="O63" s="2211" t="s">
        <v>2174</v>
      </c>
      <c r="P63" s="2209" t="s">
        <v>2182</v>
      </c>
      <c r="Q63" s="2210">
        <f ca="1">L60</f>
        <v>0</v>
      </c>
      <c r="R63" s="2213" t="s">
        <v>2183</v>
      </c>
    </row>
    <row r="64" spans="1:18" s="1897" customFormat="1" ht="15.75" thickBot="1">
      <c r="A64" s="1933"/>
      <c r="B64" s="1934"/>
      <c r="C64" s="1934"/>
      <c r="I64" s="2743" t="s">
        <v>2156</v>
      </c>
      <c r="J64" s="2744">
        <v>70</v>
      </c>
      <c r="K64" s="2744">
        <v>50</v>
      </c>
      <c r="L64" s="2744">
        <v>80</v>
      </c>
      <c r="M64" s="2746">
        <v>0.02</v>
      </c>
      <c r="O64" s="2208" t="s">
        <v>2177</v>
      </c>
      <c r="P64" s="2209" t="s">
        <v>2194</v>
      </c>
      <c r="Q64" s="2210" t="e">
        <f ca="1">Q58+Q59</f>
        <v>#VALUE!</v>
      </c>
      <c r="R64" s="2213" t="s">
        <v>2178</v>
      </c>
    </row>
    <row r="65" spans="1:18" s="1897" customFormat="1" ht="16.5" thickBot="1">
      <c r="A65" s="1933"/>
      <c r="B65" s="1934"/>
      <c r="C65" s="1934"/>
      <c r="I65" s="2743" t="s">
        <v>2157</v>
      </c>
      <c r="J65" s="2744">
        <v>50</v>
      </c>
      <c r="K65" s="2744">
        <v>35</v>
      </c>
      <c r="L65" s="2744">
        <v>60</v>
      </c>
      <c r="M65" s="818">
        <v>0</v>
      </c>
      <c r="O65" s="2214" t="s">
        <v>2201</v>
      </c>
      <c r="P65" s="1483"/>
      <c r="Q65" s="1491"/>
      <c r="R65" s="1483"/>
    </row>
    <row r="66" spans="1:18" s="1897" customFormat="1" ht="15.75" thickBot="1">
      <c r="A66" s="1933"/>
      <c r="B66" s="1934"/>
      <c r="C66" s="1934"/>
      <c r="I66" s="2743" t="s">
        <v>2158</v>
      </c>
      <c r="J66" s="2744">
        <v>40</v>
      </c>
      <c r="K66" s="2744">
        <v>30</v>
      </c>
      <c r="L66" s="2744">
        <v>50</v>
      </c>
      <c r="M66" s="2746">
        <v>0.02</v>
      </c>
      <c r="O66" s="2205" t="s">
        <v>2161</v>
      </c>
      <c r="P66" s="2206" t="s">
        <v>2162</v>
      </c>
      <c r="Q66" s="2207" t="s">
        <v>2163</v>
      </c>
      <c r="R66" s="2206" t="s">
        <v>2164</v>
      </c>
    </row>
    <row r="67" spans="1:18" s="1897" customFormat="1" ht="15.75" thickBot="1">
      <c r="A67" s="1933"/>
      <c r="B67" s="1934"/>
      <c r="C67" s="1934"/>
      <c r="K67" s="1923"/>
      <c r="O67" s="2208" t="s">
        <v>2165</v>
      </c>
      <c r="P67" s="2209" t="s">
        <v>2191</v>
      </c>
      <c r="Q67" s="2210">
        <f ca="1">C41+J31</f>
        <v>0</v>
      </c>
      <c r="R67" s="2209" t="s">
        <v>2166</v>
      </c>
    </row>
    <row r="68" spans="1:18" s="1897" customFormat="1" ht="20.25" thickBot="1">
      <c r="A68" s="1933"/>
      <c r="B68" s="1934"/>
      <c r="C68" s="1934"/>
      <c r="K68" s="1923"/>
      <c r="O68" s="2208" t="s">
        <v>2167</v>
      </c>
      <c r="P68" s="2209" t="s">
        <v>2198</v>
      </c>
      <c r="Q68" s="2210" t="e">
        <f ca="1">L61</f>
        <v>#VALUE!</v>
      </c>
      <c r="R68" s="2213" t="s">
        <v>2200</v>
      </c>
    </row>
    <row r="69" spans="1:18" s="1897" customFormat="1" ht="21.75" thickBot="1">
      <c r="A69" s="1933"/>
      <c r="B69" s="1934"/>
      <c r="C69" s="1934"/>
      <c r="K69" s="1923"/>
      <c r="O69" s="2211" t="s">
        <v>2169</v>
      </c>
      <c r="P69" s="2209" t="s">
        <v>2199</v>
      </c>
      <c r="Q69" s="2215" t="e">
        <f ca="1">L52</f>
        <v>#VALUE!</v>
      </c>
      <c r="R69" s="2216" t="s">
        <v>2202</v>
      </c>
    </row>
    <row r="70" spans="1:18" s="1897" customFormat="1" ht="20.25" thickBot="1">
      <c r="A70" s="1933"/>
      <c r="B70" s="1934"/>
      <c r="C70" s="1934"/>
      <c r="K70" s="1923"/>
      <c r="O70" s="2211" t="s">
        <v>2170</v>
      </c>
      <c r="P70" s="2217" t="s">
        <v>2184</v>
      </c>
      <c r="Q70" s="2210" t="e">
        <f ca="1">ROUND(Q71-Q72*Q73,0)</f>
        <v>#VALUE!</v>
      </c>
      <c r="R70" s="2213"/>
    </row>
    <row r="71" spans="1:18" s="1897" customFormat="1" ht="15.75" thickBot="1">
      <c r="A71" s="1933"/>
      <c r="B71" s="1934"/>
      <c r="C71" s="1934"/>
      <c r="K71" s="1923"/>
      <c r="O71" s="2211" t="s">
        <v>2185</v>
      </c>
      <c r="P71" s="2217" t="s">
        <v>2186</v>
      </c>
      <c r="Q71" s="2210" t="e">
        <f ca="1">C42</f>
        <v>#VALUE!</v>
      </c>
      <c r="R71" s="2209" t="s">
        <v>2166</v>
      </c>
    </row>
    <row r="72" spans="1:18" s="1897" customFormat="1" ht="15.75" thickBot="1">
      <c r="A72" s="1933"/>
      <c r="B72" s="1934"/>
      <c r="C72" s="1934"/>
      <c r="K72" s="1923"/>
      <c r="O72" s="2211" t="s">
        <v>2187</v>
      </c>
      <c r="P72" s="2217" t="s">
        <v>2188</v>
      </c>
      <c r="Q72" s="2210" t="e">
        <f ca="1">C15</f>
        <v>#VALUE!</v>
      </c>
      <c r="R72" s="2209" t="s">
        <v>2166</v>
      </c>
    </row>
    <row r="73" spans="1:18" s="1897" customFormat="1" ht="15.75" thickBot="1">
      <c r="A73" s="1933"/>
      <c r="B73" s="1934"/>
      <c r="C73" s="1934"/>
      <c r="K73" s="1923"/>
      <c r="O73" s="2211" t="s">
        <v>2189</v>
      </c>
      <c r="P73" s="2217" t="s">
        <v>2190</v>
      </c>
      <c r="Q73" s="2212">
        <f ca="1">F43</f>
        <v>0</v>
      </c>
      <c r="R73" s="2213"/>
    </row>
    <row r="74" spans="1:18" s="1897" customFormat="1" ht="15.75" thickBot="1">
      <c r="A74" s="1933"/>
      <c r="B74" s="1934"/>
      <c r="C74" s="1934"/>
      <c r="K74" s="1923"/>
      <c r="O74" s="2211" t="s">
        <v>2172</v>
      </c>
      <c r="P74" s="2209" t="s">
        <v>2179</v>
      </c>
      <c r="Q74" s="2212">
        <f>L53</f>
        <v>0</v>
      </c>
      <c r="R74" s="2213"/>
    </row>
    <row r="75" spans="1:18" s="1897" customFormat="1" ht="20.25" thickBot="1">
      <c r="A75" s="1933"/>
      <c r="B75" s="1934"/>
      <c r="C75" s="1934"/>
      <c r="K75" s="1923"/>
      <c r="O75" s="2211" t="s">
        <v>2174</v>
      </c>
      <c r="P75" s="2209" t="s">
        <v>2180</v>
      </c>
      <c r="Q75" s="2210">
        <f ca="1">L59</f>
        <v>0</v>
      </c>
      <c r="R75" s="2213" t="s">
        <v>2181</v>
      </c>
    </row>
    <row r="76" spans="1:18" s="1897" customFormat="1" ht="20.25" thickBot="1">
      <c r="A76" s="1933"/>
      <c r="B76" s="1934"/>
      <c r="C76" s="1934"/>
      <c r="K76" s="1923"/>
      <c r="O76" s="2211" t="s">
        <v>2203</v>
      </c>
      <c r="P76" s="2209" t="s">
        <v>2182</v>
      </c>
      <c r="Q76" s="2210">
        <f ca="1">L60</f>
        <v>0</v>
      </c>
      <c r="R76" s="2213" t="s">
        <v>2183</v>
      </c>
    </row>
    <row r="77" spans="1:18" s="1897" customFormat="1" ht="15.75" thickBot="1">
      <c r="A77" s="1933"/>
      <c r="B77" s="1934"/>
      <c r="C77" s="1934"/>
      <c r="K77" s="1923"/>
      <c r="O77" s="2208" t="s">
        <v>2177</v>
      </c>
      <c r="P77" s="2209" t="s">
        <v>2194</v>
      </c>
      <c r="Q77" s="2210" t="e">
        <f ca="1">Q67+Q68</f>
        <v>#VALUE!</v>
      </c>
      <c r="R77" s="2213" t="s">
        <v>2178</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1699</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1700</v>
      </c>
    </row>
    <row r="6" spans="1:4" ht="18.75">
      <c r="A6" s="1662"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66" t="s">
        <v>2463</v>
      </c>
    </row>
    <row r="8" spans="1:4" ht="18.75">
      <c r="A8" s="1665" t="s">
        <v>1701</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1817</v>
      </c>
    </row>
    <row r="11" spans="1:4" ht="18.75">
      <c r="A11" s="1651" t="str">
        <f>TEXT(项目基本情况!D3,"yyyy年m月d日;;")&amp;IF(项目基本情况!B3=项目基本情况!D3,"（评估专业人员勘察现场之日）","")</f>
        <v>2020年4月2日</v>
      </c>
    </row>
    <row r="12" spans="1:4" ht="18.75">
      <c r="A12" s="1668" t="s">
        <v>1816</v>
      </c>
    </row>
    <row r="13" spans="1:4" ht="18.75">
      <c r="A13" s="1662" t="s">
        <v>2642</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1863</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1864</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62" t="s">
        <v>1865</v>
      </c>
    </row>
    <row r="22" spans="1:1" ht="18.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62" t="str">
        <f>IF(项目基本情况!B16="出让","本次评估设定估价对象剩余土地使用年限为"&amp;项目基本情况!D20&amp;"。","")</f>
        <v/>
      </c>
    </row>
    <row r="24" spans="1:1" ht="18.75">
      <c r="A24" s="1662" t="s">
        <v>1866</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1818</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S10" sqref="S10:V10"/>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1524</v>
      </c>
      <c r="B1" s="713"/>
      <c r="C1" s="746"/>
      <c r="D1" s="2717" t="s">
        <v>931</v>
      </c>
      <c r="E1" s="2197" t="s">
        <v>2160</v>
      </c>
      <c r="F1" s="2198">
        <f ca="1">J53</f>
        <v>0</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1525</v>
      </c>
      <c r="B2" s="748" t="e">
        <f ca="1">C40+J29+L46</f>
        <v>#VALUE!</v>
      </c>
      <c r="C2" s="3173"/>
      <c r="D2" s="3174"/>
      <c r="E2" s="3175"/>
      <c r="F2" s="3175"/>
      <c r="G2" s="3169"/>
      <c r="H2" s="1895"/>
      <c r="I2" s="1895"/>
      <c r="J2" s="1895"/>
      <c r="K2" s="1896"/>
      <c r="L2" s="1895"/>
      <c r="M2" s="1895"/>
    </row>
    <row r="3" spans="1:33" ht="18" customHeight="1" thickBot="1">
      <c r="A3" s="805" t="s">
        <v>1526</v>
      </c>
      <c r="B3" s="806">
        <f ca="1">IF(ISERROR(B2*10000/F43),0,ROUND(B2*10000/F43,0))</f>
        <v>0</v>
      </c>
      <c r="C3" s="3173"/>
      <c r="D3" s="3174"/>
      <c r="E3" s="3175"/>
      <c r="F3" s="3175"/>
      <c r="G3" s="3169"/>
      <c r="H3" s="749" t="s">
        <v>677</v>
      </c>
      <c r="I3" s="1272"/>
      <c r="J3" s="1272"/>
      <c r="K3" s="1482"/>
      <c r="L3" s="1272"/>
      <c r="M3" s="1272"/>
    </row>
    <row r="4" spans="1:33" ht="18" customHeight="1">
      <c r="A4" s="750" t="s">
        <v>1527</v>
      </c>
      <c r="B4" s="751" t="s">
        <v>1528</v>
      </c>
      <c r="C4" s="751" t="s">
        <v>1529</v>
      </c>
      <c r="D4" s="751" t="s">
        <v>615</v>
      </c>
      <c r="E4" s="752" t="s">
        <v>1530</v>
      </c>
      <c r="F4" s="753"/>
      <c r="G4" s="1900"/>
      <c r="H4" s="750" t="s">
        <v>1531</v>
      </c>
      <c r="I4" s="751" t="s">
        <v>1532</v>
      </c>
      <c r="J4" s="751" t="s">
        <v>1533</v>
      </c>
      <c r="K4" s="751" t="s">
        <v>1534</v>
      </c>
      <c r="L4" s="752" t="s">
        <v>1535</v>
      </c>
      <c r="M4" s="753"/>
    </row>
    <row r="5" spans="1:33" ht="18" customHeight="1">
      <c r="A5" s="754">
        <v>1</v>
      </c>
      <c r="B5" s="755" t="s">
        <v>2236</v>
      </c>
      <c r="C5" s="55">
        <f ca="1">C6+C10+C12</f>
        <v>0</v>
      </c>
      <c r="D5" s="2302" t="s">
        <v>2239</v>
      </c>
      <c r="E5" s="2296"/>
      <c r="F5" s="2297"/>
      <c r="G5" s="1900"/>
      <c r="H5" s="754">
        <v>1</v>
      </c>
      <c r="I5" s="755" t="s">
        <v>2236</v>
      </c>
      <c r="J5" s="55">
        <f ca="1">J6+J10+J12</f>
        <v>0</v>
      </c>
      <c r="K5" s="2302" t="s">
        <v>2239</v>
      </c>
      <c r="L5" s="2296"/>
      <c r="M5" s="2297"/>
    </row>
    <row r="6" spans="1:33" ht="18" customHeight="1">
      <c r="A6" s="1701" t="s">
        <v>1623</v>
      </c>
      <c r="B6" s="3729" t="s">
        <v>2241</v>
      </c>
      <c r="C6" s="756">
        <f ca="1">ROUND(F6*F8*F7*(1-F9)/10000,0)</f>
        <v>0</v>
      </c>
      <c r="D6" s="2303" t="s">
        <v>2240</v>
      </c>
      <c r="E6" s="757" t="s">
        <v>1537</v>
      </c>
      <c r="F6" s="758">
        <f ca="1">INDIRECT("'数据-取费表'!u"&amp;$G$1)</f>
        <v>0</v>
      </c>
      <c r="G6" s="1900"/>
      <c r="H6" s="2310" t="s">
        <v>2246</v>
      </c>
      <c r="I6" s="3729" t="s">
        <v>2241</v>
      </c>
      <c r="J6" s="756">
        <f ca="1">ROUND(M6*M8*M7*(1-M9)/10000,0)</f>
        <v>0</v>
      </c>
      <c r="K6" s="339" t="s">
        <v>1536</v>
      </c>
      <c r="L6" s="757" t="s">
        <v>1537</v>
      </c>
      <c r="M6" s="758">
        <f ca="1">INDIRECT("'数据-取费表'!z"&amp;$G$1)</f>
        <v>0</v>
      </c>
    </row>
    <row r="7" spans="1:33" ht="18" customHeight="1">
      <c r="A7" s="2306"/>
      <c r="B7" s="3730"/>
      <c r="C7" s="761"/>
      <c r="D7" s="762"/>
      <c r="E7" s="757" t="s">
        <v>1538</v>
      </c>
      <c r="F7" s="758">
        <f ca="1">IF(INDIRECT("'数据-取费表'!ah"&amp;$G$1)="",INDIRECT("'数据-取费表'!k"&amp;$G$1),INDIRECT("'数据-取费表'!ah"&amp;$G$1))</f>
        <v>0</v>
      </c>
      <c r="G7" s="1900"/>
      <c r="H7" s="2295"/>
      <c r="I7" s="3730"/>
      <c r="J7" s="761"/>
      <c r="K7" s="762"/>
      <c r="L7" s="757" t="s">
        <v>1538</v>
      </c>
      <c r="M7" s="758">
        <f ca="1">F7</f>
        <v>0</v>
      </c>
    </row>
    <row r="8" spans="1:33" ht="18" customHeight="1">
      <c r="A8" s="2299"/>
      <c r="B8" s="3731"/>
      <c r="C8" s="761"/>
      <c r="D8" s="762"/>
      <c r="E8" s="757" t="s">
        <v>1539</v>
      </c>
      <c r="F8" s="758">
        <f ca="1">INDIRECT("'数据-取费表'!ai"&amp;$G$1)</f>
        <v>0</v>
      </c>
      <c r="G8" s="1900"/>
      <c r="H8" s="2295"/>
      <c r="I8" s="3731"/>
      <c r="J8" s="761"/>
      <c r="K8" s="762"/>
      <c r="L8" s="757" t="s">
        <v>1539</v>
      </c>
      <c r="M8" s="758">
        <f ca="1">INDIRECT("'数据-取费表'!ai"&amp;$G$1)</f>
        <v>0</v>
      </c>
    </row>
    <row r="9" spans="1:33" ht="18" customHeight="1">
      <c r="A9" s="759"/>
      <c r="B9" s="3732"/>
      <c r="C9" s="761"/>
      <c r="D9" s="762"/>
      <c r="E9" s="757" t="s">
        <v>1540</v>
      </c>
      <c r="F9" s="767">
        <f ca="1">INDIRECT("'数据-取费表'!w"&amp;$G$1)</f>
        <v>0</v>
      </c>
      <c r="G9" s="1900"/>
      <c r="H9" s="2311"/>
      <c r="I9" s="3731"/>
      <c r="J9" s="761"/>
      <c r="K9" s="762"/>
      <c r="L9" s="768" t="s">
        <v>1540</v>
      </c>
      <c r="M9" s="769">
        <f ca="1">INDIRECT("'数据-取费表'!ab"&amp;$G$1)</f>
        <v>0</v>
      </c>
    </row>
    <row r="10" spans="1:33" ht="18" customHeight="1">
      <c r="A10" s="1701" t="s">
        <v>2244</v>
      </c>
      <c r="B10" s="2300" t="s">
        <v>2237</v>
      </c>
      <c r="C10" s="772">
        <f ca="1">ROUND(IF(F10="押一",C6/12*F11,IF(F10="押二",C6/12*2*F11,IF(F10="押三",C6/12*3*F11,C11*F11))),0)</f>
        <v>0</v>
      </c>
      <c r="D10" s="2307" t="s">
        <v>2670</v>
      </c>
      <c r="E10" s="2304" t="s">
        <v>2242</v>
      </c>
      <c r="F10" s="2388"/>
      <c r="G10" s="1900"/>
      <c r="H10" s="2338" t="s">
        <v>2247</v>
      </c>
      <c r="I10" s="2343" t="s">
        <v>2237</v>
      </c>
      <c r="J10" s="756">
        <f ca="1">ROUND(IF(M10="押一",J6/12*M11,IF(M10="押二",J6/12*2*M11,IF(M10="押三",J6/12*3*M11,J11*M11))),0)</f>
        <v>0</v>
      </c>
      <c r="K10" s="2307" t="s">
        <v>2670</v>
      </c>
      <c r="L10" s="2304" t="s">
        <v>2242</v>
      </c>
      <c r="M10" s="2388"/>
    </row>
    <row r="11" spans="1:33" ht="18" customHeight="1">
      <c r="A11" s="763"/>
      <c r="B11" s="2301" t="s">
        <v>2290</v>
      </c>
      <c r="C11" s="2305"/>
      <c r="D11" s="762"/>
      <c r="E11" s="2304" t="s">
        <v>2243</v>
      </c>
      <c r="F11" s="769">
        <f ca="1">'数据-取费表'!B39</f>
        <v>1.4999999999999999E-2</v>
      </c>
      <c r="G11" s="1900"/>
      <c r="H11" s="2339"/>
      <c r="I11" s="2301" t="s">
        <v>2290</v>
      </c>
      <c r="J11" s="2305"/>
      <c r="K11" s="2340"/>
      <c r="L11" s="2304" t="s">
        <v>2243</v>
      </c>
      <c r="M11" s="2298">
        <f ca="1">'数据-取费表'!B39</f>
        <v>1.4999999999999999E-2</v>
      </c>
    </row>
    <row r="12" spans="1:33" ht="18" customHeight="1" thickBot="1">
      <c r="A12" s="2314" t="s">
        <v>2245</v>
      </c>
      <c r="B12" s="2315" t="s">
        <v>2238</v>
      </c>
      <c r="C12" s="2316"/>
      <c r="D12" s="2317"/>
      <c r="E12" s="2318"/>
      <c r="F12" s="2319"/>
      <c r="G12" s="1900"/>
      <c r="H12" s="2328" t="s">
        <v>2248</v>
      </c>
      <c r="I12" s="2341" t="s">
        <v>2238</v>
      </c>
      <c r="J12" s="2342"/>
      <c r="K12" s="2317"/>
      <c r="L12" s="2318"/>
      <c r="M12" s="2331"/>
    </row>
    <row r="13" spans="1:33" ht="18" customHeight="1" thickTop="1">
      <c r="A13" s="1700">
        <v>2</v>
      </c>
      <c r="B13" s="1698" t="s">
        <v>1541</v>
      </c>
      <c r="C13" s="765" t="e">
        <f ca="1">ROUND(C29*F13,0)</f>
        <v>#VALUE!</v>
      </c>
      <c r="D13" s="1705" t="s">
        <v>2086</v>
      </c>
      <c r="E13" s="1705" t="s">
        <v>1543</v>
      </c>
      <c r="F13" s="2313">
        <f ca="1">INDIRECT("'数据-取费表'!y"&amp;$G$1)</f>
        <v>0</v>
      </c>
      <c r="G13" s="1900"/>
      <c r="H13" s="1700">
        <v>2</v>
      </c>
      <c r="I13" s="1698" t="s">
        <v>1541</v>
      </c>
      <c r="J13" s="1690" t="e">
        <f ca="1">ROUND(J14*J15,0)</f>
        <v>#VALUE!</v>
      </c>
      <c r="K13" s="1692" t="s">
        <v>1542</v>
      </c>
      <c r="L13" s="2329"/>
      <c r="M13" s="2330"/>
    </row>
    <row r="14" spans="1:33" ht="18" customHeight="1">
      <c r="A14" s="1532" t="s">
        <v>1679</v>
      </c>
      <c r="B14" s="757" t="s">
        <v>627</v>
      </c>
      <c r="C14" s="777">
        <f ca="1">INDIRECT("'数据-取费表'!m"&amp;$G$1)+INDIRECT("'数据-取费表'!t"&amp;$G$1)</f>
        <v>0</v>
      </c>
      <c r="D14" s="1848" t="s">
        <v>1544</v>
      </c>
      <c r="E14" s="1849"/>
      <c r="F14" s="778"/>
      <c r="G14" s="1900"/>
      <c r="H14" s="1533" t="s">
        <v>1629</v>
      </c>
      <c r="I14" s="2066" t="s">
        <v>2541</v>
      </c>
      <c r="J14" s="53" t="e">
        <f ca="1">C29</f>
        <v>#VALUE!</v>
      </c>
      <c r="K14" s="26"/>
      <c r="L14" s="774"/>
      <c r="M14" s="775"/>
    </row>
    <row r="15" spans="1:33" s="1902" customFormat="1" ht="18" customHeight="1" thickBot="1">
      <c r="A15" s="1532" t="s">
        <v>1680</v>
      </c>
      <c r="B15" s="757" t="s">
        <v>629</v>
      </c>
      <c r="C15" s="53">
        <f ca="1">ROUND(C14*F15,0)</f>
        <v>0</v>
      </c>
      <c r="D15" s="779" t="s">
        <v>1545</v>
      </c>
      <c r="E15" s="779" t="s">
        <v>1546</v>
      </c>
      <c r="F15" s="780">
        <f>'数据-取费表'!B33</f>
        <v>0</v>
      </c>
      <c r="G15" s="3170"/>
      <c r="H15" s="2328" t="s">
        <v>1684</v>
      </c>
      <c r="I15" s="2323" t="s">
        <v>1543</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1681</v>
      </c>
      <c r="B16" s="757" t="s">
        <v>632</v>
      </c>
      <c r="C16" s="53">
        <f ca="1">ROUND(INDIRECT("'数据-取费表'!m"&amp;$G$1)*F16,0)</f>
        <v>0</v>
      </c>
      <c r="D16" s="757" t="s">
        <v>1545</v>
      </c>
      <c r="E16" s="757" t="s">
        <v>1546</v>
      </c>
      <c r="F16" s="782">
        <f ca="1">IF(INDIRECT("'数据-取费表'!c"&amp;$G$1)="住宅",'数据-取费表'!B34,0)</f>
        <v>0</v>
      </c>
      <c r="G16" s="1900"/>
      <c r="H16" s="1700" t="s">
        <v>1547</v>
      </c>
      <c r="I16" s="1698" t="s">
        <v>1548</v>
      </c>
      <c r="J16" s="765" t="e">
        <f ca="1">ROUND(J17+J22+J23+J24,0)</f>
        <v>#VALUE!</v>
      </c>
      <c r="K16" s="1692" t="s">
        <v>1549</v>
      </c>
      <c r="L16" s="2292"/>
      <c r="M16" s="2297"/>
    </row>
    <row r="17" spans="1:33" s="1902" customFormat="1" ht="18" customHeight="1">
      <c r="A17" s="1532" t="s">
        <v>1682</v>
      </c>
      <c r="B17" s="757" t="s">
        <v>635</v>
      </c>
      <c r="C17" s="53">
        <f ca="1">ROUND(F17*(F43+INDIRECT("'数据-取费表'!S"&amp;$G$1))/10000,0)</f>
        <v>0</v>
      </c>
      <c r="D17" s="757" t="s">
        <v>1550</v>
      </c>
      <c r="E17" s="757" t="s">
        <v>1551</v>
      </c>
      <c r="F17" s="56">
        <f>'数据-取费表'!B35</f>
        <v>0</v>
      </c>
      <c r="G17" s="3170"/>
      <c r="H17" s="1533" t="s">
        <v>1629</v>
      </c>
      <c r="I17" s="757" t="s">
        <v>638</v>
      </c>
      <c r="J17" s="2928" t="e">
        <f ca="1">ROUND(IF(AND(项目基本情况!B11="自然人",项目基本情况!B10="北京市"),J6*M17/(1+'数据-取费表'!C42),J18+J19+J20),0)</f>
        <v>#VALUE!</v>
      </c>
      <c r="K17" s="2291" t="s">
        <v>1552</v>
      </c>
      <c r="L17" s="2290" t="s">
        <v>1553</v>
      </c>
      <c r="M17" s="2927">
        <f ca="1">IF(项目基本情况!B11="企业","——",IF('数据-取费表'!B10="住宅",IF(M6*M7*M8/12/(1+'数据-取费表'!F30)&gt;100000,4%,2.5%),IF(M6*M7*M8/12/(1+'数据-取费表'!F30)&gt;100000,12%,7%)))</f>
        <v>7.0000000000000007E-2</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1683</v>
      </c>
      <c r="B18" s="757" t="s">
        <v>641</v>
      </c>
      <c r="C18" s="53">
        <f ca="1">ROUND(C14*F18,0)</f>
        <v>0</v>
      </c>
      <c r="D18" s="757" t="s">
        <v>1545</v>
      </c>
      <c r="E18" s="757" t="s">
        <v>1546</v>
      </c>
      <c r="F18" s="782">
        <f>'数据-取费表'!B36</f>
        <v>0</v>
      </c>
      <c r="G18" s="3170"/>
      <c r="H18" s="1532" t="s">
        <v>1679</v>
      </c>
      <c r="I18" s="757" t="s">
        <v>1554</v>
      </c>
      <c r="J18" s="53">
        <f ca="1">ROUND(J6*M18/(1+'数据-取费表'!C42),1)</f>
        <v>0</v>
      </c>
      <c r="K18" s="2290" t="s">
        <v>1555</v>
      </c>
      <c r="L18" s="757" t="s">
        <v>1546</v>
      </c>
      <c r="M18" s="782">
        <f>'数据-取费表'!B41</f>
        <v>0</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1629</v>
      </c>
      <c r="B19" s="757" t="s">
        <v>644</v>
      </c>
      <c r="C19" s="53">
        <f ca="1">SUM(C14:C18)</f>
        <v>0</v>
      </c>
      <c r="D19" s="259" t="s">
        <v>1556</v>
      </c>
      <c r="E19" s="1851"/>
      <c r="F19" s="56"/>
      <c r="G19" s="1900"/>
      <c r="H19" s="1532" t="s">
        <v>1680</v>
      </c>
      <c r="I19" s="757" t="s">
        <v>1557</v>
      </c>
      <c r="J19" s="53" t="e">
        <f ca="1">IF(K19="按租金收入计税",ROUND(J6*M19/(1+'数据-取费表'!C42),1),ROUND(C29*F33*0.7,1))</f>
        <v>#VALUE!</v>
      </c>
      <c r="K19" s="783" t="s">
        <v>647</v>
      </c>
      <c r="L19" s="757" t="s">
        <v>1546</v>
      </c>
      <c r="M19" s="782">
        <f>IF(K19="按租金收入计税",'数据-取费表'!B51,'数据-取费表'!B50)</f>
        <v>1.2E-2</v>
      </c>
    </row>
    <row r="20" spans="1:33" s="1902" customFormat="1" ht="18" customHeight="1">
      <c r="A20" s="1533" t="s">
        <v>1684</v>
      </c>
      <c r="B20" s="757" t="s">
        <v>648</v>
      </c>
      <c r="C20" s="53">
        <f ca="1">ROUND(C19*F20,0)</f>
        <v>0</v>
      </c>
      <c r="D20" s="784" t="s">
        <v>1558</v>
      </c>
      <c r="E20" s="757" t="s">
        <v>1546</v>
      </c>
      <c r="F20" s="782">
        <f>'数据-取费表'!B37</f>
        <v>0</v>
      </c>
      <c r="G20" s="3170"/>
      <c r="H20" s="1535" t="s">
        <v>1675</v>
      </c>
      <c r="I20" s="339" t="s">
        <v>1559</v>
      </c>
      <c r="J20" s="54">
        <f ca="1">ROUND(M20*M21/10000,0)</f>
        <v>0</v>
      </c>
      <c r="K20" s="786" t="s">
        <v>1560</v>
      </c>
      <c r="L20" s="757" t="s">
        <v>1561</v>
      </c>
      <c r="M20" s="615">
        <f>'数据-取费表'!B52</f>
        <v>0</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1685</v>
      </c>
      <c r="B21" s="757" t="s">
        <v>1562</v>
      </c>
      <c r="C21" s="53" t="s">
        <v>1563</v>
      </c>
      <c r="D21" s="784" t="s">
        <v>2087</v>
      </c>
      <c r="E21" s="757" t="s">
        <v>1564</v>
      </c>
      <c r="F21" s="782">
        <f>'数据-取费表'!B38</f>
        <v>0</v>
      </c>
      <c r="G21" s="3170"/>
      <c r="H21" s="2312"/>
      <c r="I21" s="766"/>
      <c r="J21" s="69"/>
      <c r="K21" s="788"/>
      <c r="L21" s="757" t="s">
        <v>1565</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1686</v>
      </c>
      <c r="B22" s="757" t="s">
        <v>1566</v>
      </c>
      <c r="C22" s="53"/>
      <c r="D22" s="2347" t="str">
        <f>IF(F23&lt;=1,"单利计息。","复利计息。")&amp;"建造成本、管理费用、销售费用产生的利息。"</f>
        <v>单利计息。建造成本、管理费用、销售费用产生的利息。</v>
      </c>
      <c r="E22" s="1851"/>
      <c r="F22" s="56"/>
      <c r="G22" s="1900"/>
      <c r="H22" s="1533" t="s">
        <v>1684</v>
      </c>
      <c r="I22" s="757" t="s">
        <v>1567</v>
      </c>
      <c r="J22" s="53" t="e">
        <f ca="1">ROUND(J14*M22,0)</f>
        <v>#VALUE!</v>
      </c>
      <c r="K22" s="2290" t="s">
        <v>1568</v>
      </c>
      <c r="L22" s="757" t="s">
        <v>1546</v>
      </c>
      <c r="M22" s="789">
        <f ca="1">INDIRECT("'数据-取费表'!Ak"&amp;$G$1)</f>
        <v>0</v>
      </c>
    </row>
    <row r="23" spans="1:33" s="1902" customFormat="1" ht="18" customHeight="1">
      <c r="A23" s="1532" t="s">
        <v>1630</v>
      </c>
      <c r="B23" s="757" t="s">
        <v>2252</v>
      </c>
      <c r="C23" s="53" t="e">
        <f ca="1">ROUND(IF('数据-取费表'!B22&lt;=1,(C19+C20)*F24*F23/2,(C19+C20)*(POWER((1+F24),F23/2)-1)),0)</f>
        <v>#VALUE!</v>
      </c>
      <c r="D23" s="2346" t="str">
        <f>IF(F23&lt;=1,"(建造成本+管理费用)×利率×(建设周期÷2)","(建造成本+管理费用)×((1+利率)^(建设周期÷2)-1)")</f>
        <v>(建造成本+管理费用)×利率×(建设周期÷2)</v>
      </c>
      <c r="E23" s="757" t="s">
        <v>1569</v>
      </c>
      <c r="F23" s="615">
        <f>'数据-取费表'!B20</f>
        <v>0</v>
      </c>
      <c r="G23" s="3170"/>
      <c r="H23" s="1533" t="s">
        <v>1685</v>
      </c>
      <c r="I23" s="757" t="s">
        <v>661</v>
      </c>
      <c r="J23" s="53" t="e">
        <f ca="1">ROUND(J13*M23,0)</f>
        <v>#VALUE!</v>
      </c>
      <c r="K23" s="2290" t="s">
        <v>1570</v>
      </c>
      <c r="L23" s="757" t="s">
        <v>1546</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1631</v>
      </c>
      <c r="B24" s="757" t="s">
        <v>1571</v>
      </c>
      <c r="C24" s="53" t="e">
        <f ca="1">ROUND(IF('数据-取费表'!B22&lt;=1,F21*F24*F23/2,F21*(POWER((1+F24),F23/2)-1)),4)</f>
        <v>#VALUE!</v>
      </c>
      <c r="D24" s="2346" t="str">
        <f>IF(F23&lt;=1,"销售费用×利率×(建设周期÷2)","销售费用×((1+利率)^(建设周期÷2)-1)")</f>
        <v>销售费用×利率×(建设周期÷2)</v>
      </c>
      <c r="E24" s="757" t="s">
        <v>1572</v>
      </c>
      <c r="F24" s="791" t="e">
        <f ca="1">'数据-取费表'!B40</f>
        <v>#VALUE!</v>
      </c>
      <c r="G24" s="3170"/>
      <c r="H24" s="2328" t="s">
        <v>1686</v>
      </c>
      <c r="I24" s="2323" t="s">
        <v>648</v>
      </c>
      <c r="J24" s="2321">
        <f ca="1">ROUND(J5*M24,0)</f>
        <v>0</v>
      </c>
      <c r="K24" s="2322" t="s">
        <v>1573</v>
      </c>
      <c r="L24" s="2323" t="s">
        <v>1546</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1639</v>
      </c>
      <c r="B25" s="757" t="s">
        <v>666</v>
      </c>
      <c r="C25" s="53"/>
      <c r="D25" s="259" t="s">
        <v>1574</v>
      </c>
      <c r="E25" s="1851"/>
      <c r="F25" s="56"/>
      <c r="G25" s="1900"/>
      <c r="H25" s="1700" t="s">
        <v>1575</v>
      </c>
      <c r="I25" s="2645" t="s">
        <v>2537</v>
      </c>
      <c r="J25" s="765" t="e">
        <f ca="1">J5-J16</f>
        <v>#VALUE!</v>
      </c>
      <c r="K25" s="2325" t="s">
        <v>1576</v>
      </c>
      <c r="L25" s="2326"/>
      <c r="M25" s="2327"/>
    </row>
    <row r="26" spans="1:33" ht="18" customHeight="1">
      <c r="A26" s="1532" t="s">
        <v>1630</v>
      </c>
      <c r="B26" s="757" t="s">
        <v>2219</v>
      </c>
      <c r="C26" s="53">
        <f ca="1">ROUND((C19+C20)*F26,0)</f>
        <v>0</v>
      </c>
      <c r="D26" s="784" t="s">
        <v>1577</v>
      </c>
      <c r="E26" s="768" t="s">
        <v>1578</v>
      </c>
      <c r="F26" s="767">
        <f ca="1">INDIRECT("'数据-取费表'!q"&amp;$G$1)</f>
        <v>0</v>
      </c>
      <c r="G26" s="1900"/>
      <c r="H26" s="2308" t="s">
        <v>1579</v>
      </c>
      <c r="I26" s="2067" t="s">
        <v>2542</v>
      </c>
      <c r="J26" s="756">
        <f ca="1">IF(J5&lt;&gt;0,ROUND(J25*(1-((1+M28)/(1+M26))^M27)/(M26-M28),0),0)</f>
        <v>0</v>
      </c>
      <c r="K26" s="786" t="s">
        <v>1580</v>
      </c>
      <c r="L26" s="757" t="s">
        <v>2205</v>
      </c>
      <c r="M26" s="767">
        <f ca="1">INDIRECT("'数据-取费表'!I"&amp;$G$1)</f>
        <v>0</v>
      </c>
    </row>
    <row r="27" spans="1:33" ht="18" customHeight="1">
      <c r="A27" s="1532" t="s">
        <v>1631</v>
      </c>
      <c r="B27" s="757" t="s">
        <v>668</v>
      </c>
      <c r="C27" s="53">
        <f ca="1">ROUND(F21*F26,4)</f>
        <v>0</v>
      </c>
      <c r="D27" s="784" t="s">
        <v>1581</v>
      </c>
      <c r="E27" s="779"/>
      <c r="F27" s="780"/>
      <c r="G27" s="1900"/>
      <c r="H27" s="2309"/>
      <c r="I27" s="760"/>
      <c r="J27" s="761"/>
      <c r="K27" s="793" t="s">
        <v>1582</v>
      </c>
      <c r="L27" s="757" t="s">
        <v>1583</v>
      </c>
      <c r="M27" s="794">
        <f ca="1">INDIRECT("'数据-取费表'!ag"&amp;$G$1)</f>
        <v>0</v>
      </c>
    </row>
    <row r="28" spans="1:33" s="1902" customFormat="1" ht="18" customHeight="1">
      <c r="A28" s="1534" t="s">
        <v>1640</v>
      </c>
      <c r="B28" s="757" t="s">
        <v>669</v>
      </c>
      <c r="C28" s="53">
        <f>ROUND(F28/(1+'数据-取费表'!C42),4)</f>
        <v>0</v>
      </c>
      <c r="D28" s="784" t="s">
        <v>2088</v>
      </c>
      <c r="E28" s="757" t="s">
        <v>1584</v>
      </c>
      <c r="F28" s="782">
        <f>'数据-取费表'!B41</f>
        <v>0</v>
      </c>
      <c r="G28" s="3170"/>
      <c r="H28" s="1700"/>
      <c r="I28" s="764"/>
      <c r="J28" s="765"/>
      <c r="K28" s="788"/>
      <c r="L28" s="757" t="s">
        <v>1585</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1687</v>
      </c>
      <c r="B29" s="2318" t="s">
        <v>2089</v>
      </c>
      <c r="C29" s="2321" t="e">
        <f ca="1">ROUND((C19+C20+C23+C26)/(1-F21-C24-C27-C28),0)</f>
        <v>#VALUE!</v>
      </c>
      <c r="D29" s="2322"/>
      <c r="E29" s="2323"/>
      <c r="F29" s="2324"/>
      <c r="G29" s="3170"/>
      <c r="H29" s="795" t="s">
        <v>1586</v>
      </c>
      <c r="I29" s="796" t="s">
        <v>1587</v>
      </c>
      <c r="J29" s="797">
        <f ca="1">ROUND(J26/(1+F40)^F41,0)</f>
        <v>0</v>
      </c>
      <c r="K29" s="798" t="s">
        <v>1588</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1688</v>
      </c>
      <c r="B30" s="1698" t="s">
        <v>1589</v>
      </c>
      <c r="C30" s="765" t="e">
        <f ca="1">ROUND(C31+C36+C37+C38,0)</f>
        <v>#VALUE!</v>
      </c>
      <c r="D30" s="1692" t="s">
        <v>1590</v>
      </c>
      <c r="E30" s="2292"/>
      <c r="F30" s="2297"/>
      <c r="G30" s="1900"/>
      <c r="H30" s="1903"/>
      <c r="I30" s="1904"/>
      <c r="J30" s="1905"/>
      <c r="K30" s="1906"/>
      <c r="L30" s="1907"/>
      <c r="M30" s="1908"/>
    </row>
    <row r="31" spans="1:33" ht="18" customHeight="1">
      <c r="A31" s="1533" t="s">
        <v>1629</v>
      </c>
      <c r="B31" s="757" t="s">
        <v>638</v>
      </c>
      <c r="C31" s="2928" t="e">
        <f ca="1">ROUND(IF(AND(项目基本情况!B11="自然人",项目基本情况!B10="北京市"),C6*F31/(1+'数据-取费表'!C42),C32+C33+C34),0)</f>
        <v>#VALUE!</v>
      </c>
      <c r="D31" s="1848" t="s">
        <v>1591</v>
      </c>
      <c r="E31" s="1846" t="s">
        <v>1592</v>
      </c>
      <c r="F31" s="2927">
        <f ca="1">IF(项目基本情况!B11="企业","——",IF('数据-取费表'!B10="住宅",IF(F6*F7*F8/12/(1+'数据-取费表'!F30)&gt;100000,4%,2.5%),IF(F6*F7*F8/12/(1+'数据-取费表'!F30)&gt;100000,12%,7%)))</f>
        <v>7.0000000000000007E-2</v>
      </c>
      <c r="G31" s="1900"/>
      <c r="H31" s="3167" t="s">
        <v>2725</v>
      </c>
      <c r="I31" s="1904"/>
      <c r="J31" s="1905"/>
      <c r="K31" s="1906"/>
      <c r="L31" s="1907"/>
      <c r="M31" s="1908"/>
    </row>
    <row r="32" spans="1:33" ht="18" customHeight="1">
      <c r="A32" s="1532" t="s">
        <v>1630</v>
      </c>
      <c r="B32" s="757" t="s">
        <v>1593</v>
      </c>
      <c r="C32" s="53">
        <f ca="1">ROUND(C6*F32/(1+'数据-取费表'!C42),1)</f>
        <v>0</v>
      </c>
      <c r="D32" s="1846" t="s">
        <v>1594</v>
      </c>
      <c r="E32" s="757" t="s">
        <v>1595</v>
      </c>
      <c r="F32" s="782">
        <f>'数据-取费表'!B41</f>
        <v>0</v>
      </c>
      <c r="G32" s="1900"/>
      <c r="H32" s="1909"/>
      <c r="I32" s="1910"/>
      <c r="J32" s="1911"/>
      <c r="K32" s="1912"/>
      <c r="L32" s="1913"/>
      <c r="M32" s="1914"/>
    </row>
    <row r="33" spans="1:18" ht="18" customHeight="1">
      <c r="A33" s="1532" t="s">
        <v>1631</v>
      </c>
      <c r="B33" s="757" t="s">
        <v>1596</v>
      </c>
      <c r="C33" s="53" t="e">
        <f ca="1">IF(D33="按租金收入计税",ROUND(C6*F33/(1+'数据-取费表'!C42),1),IF(D33="按房产原值计税",ROUND(C29*F33*0.7,1),INDIRECT("'数据-取费表'!Aj"&amp;$G$1)))</f>
        <v>#VALUE!</v>
      </c>
      <c r="D33" s="783" t="s">
        <v>1479</v>
      </c>
      <c r="E33" s="757" t="s">
        <v>1595</v>
      </c>
      <c r="F33" s="782">
        <f>IF(D33="按租金收入计税",'数据-取费表'!B51,'数据-取费表'!B50)</f>
        <v>1.2E-2</v>
      </c>
      <c r="G33" s="1900"/>
      <c r="H33" s="1915"/>
      <c r="I33" s="1915"/>
      <c r="J33" s="1915"/>
      <c r="K33" s="1916"/>
      <c r="L33" s="1915"/>
      <c r="M33" s="1915"/>
    </row>
    <row r="34" spans="1:18" ht="18" customHeight="1">
      <c r="A34" s="1535" t="s">
        <v>1632</v>
      </c>
      <c r="B34" s="339" t="s">
        <v>1597</v>
      </c>
      <c r="C34" s="54">
        <f ca="1">ROUND(F34*F35/10000,1)</f>
        <v>0</v>
      </c>
      <c r="D34" s="786" t="s">
        <v>1598</v>
      </c>
      <c r="E34" s="757" t="s">
        <v>1599</v>
      </c>
      <c r="F34" s="615">
        <f>'数据-取费表'!B52</f>
        <v>0</v>
      </c>
      <c r="G34" s="1900"/>
      <c r="H34" s="1903"/>
      <c r="I34" s="807" t="s">
        <v>1612</v>
      </c>
      <c r="J34" s="808"/>
      <c r="K34" s="1918"/>
      <c r="L34" s="1917"/>
      <c r="M34" s="1917"/>
    </row>
    <row r="35" spans="1:18" ht="18" customHeight="1">
      <c r="A35" s="787"/>
      <c r="B35" s="766"/>
      <c r="C35" s="69"/>
      <c r="D35" s="788"/>
      <c r="E35" s="757" t="s">
        <v>1600</v>
      </c>
      <c r="F35" s="758">
        <f ca="1">INDIRECT("'数据-取费表'!r"&amp;$G$1)</f>
        <v>0</v>
      </c>
      <c r="G35" s="1900"/>
      <c r="H35" s="1903"/>
      <c r="I35" s="809" t="s">
        <v>1613</v>
      </c>
      <c r="J35" s="810" t="e">
        <f ca="1">ROUND(C13*J36,0)</f>
        <v>#VALUE!</v>
      </c>
      <c r="K35" s="1916"/>
      <c r="L35" s="1915"/>
      <c r="M35" s="1915"/>
    </row>
    <row r="36" spans="1:18" ht="18" customHeight="1">
      <c r="A36" s="1533" t="s">
        <v>1684</v>
      </c>
      <c r="B36" s="757" t="s">
        <v>1601</v>
      </c>
      <c r="C36" s="53" t="e">
        <f ca="1">ROUND(C29*F36,1)</f>
        <v>#VALUE!</v>
      </c>
      <c r="D36" s="1846" t="s">
        <v>1602</v>
      </c>
      <c r="E36" s="757" t="s">
        <v>1595</v>
      </c>
      <c r="F36" s="789">
        <f ca="1">INDIRECT("'数据-取费表'!Ak"&amp;$G$1)</f>
        <v>0</v>
      </c>
      <c r="G36" s="1900"/>
      <c r="H36" s="1915"/>
      <c r="I36" s="811" t="s">
        <v>1614</v>
      </c>
      <c r="J36" s="812">
        <f ca="1">INDIRECT("'数据-取费表'!j"&amp;$G$1)</f>
        <v>0</v>
      </c>
      <c r="K36" s="1919"/>
      <c r="L36" s="1915"/>
      <c r="M36" s="1915"/>
    </row>
    <row r="37" spans="1:18" ht="18" customHeight="1">
      <c r="A37" s="1533" t="s">
        <v>1685</v>
      </c>
      <c r="B37" s="757" t="s">
        <v>661</v>
      </c>
      <c r="C37" s="53" t="e">
        <f ca="1">ROUND(C13*F37,1)</f>
        <v>#VALUE!</v>
      </c>
      <c r="D37" s="1846" t="s">
        <v>1603</v>
      </c>
      <c r="E37" s="757" t="s">
        <v>1595</v>
      </c>
      <c r="F37" s="790">
        <f ca="1">INDIRECT("'数据-取费表'!Al"&amp;$G$1)</f>
        <v>0</v>
      </c>
      <c r="G37" s="1900"/>
      <c r="H37" s="1915"/>
      <c r="I37" s="813" t="s">
        <v>1615</v>
      </c>
      <c r="J37" s="814"/>
      <c r="K37" s="1919"/>
      <c r="L37" s="1915"/>
      <c r="M37" s="1915"/>
    </row>
    <row r="38" spans="1:18" ht="18" customHeight="1" thickBot="1">
      <c r="A38" s="2328" t="s">
        <v>1686</v>
      </c>
      <c r="B38" s="2323" t="s">
        <v>648</v>
      </c>
      <c r="C38" s="2321">
        <f ca="1">ROUND(C5*F38,1)</f>
        <v>0</v>
      </c>
      <c r="D38" s="2322" t="s">
        <v>1604</v>
      </c>
      <c r="E38" s="2323" t="s">
        <v>1595</v>
      </c>
      <c r="F38" s="2319">
        <f ca="1">INDIRECT("'数据-取费表'!Am"&amp;$G$1)</f>
        <v>0</v>
      </c>
      <c r="G38" s="1900"/>
      <c r="H38" s="1915"/>
      <c r="I38" s="815" t="s">
        <v>1616</v>
      </c>
      <c r="J38" s="816"/>
      <c r="K38" s="1920"/>
      <c r="L38" s="1915"/>
      <c r="M38" s="1915"/>
    </row>
    <row r="39" spans="1:18" ht="24.6" customHeight="1" thickTop="1">
      <c r="A39" s="1700" t="s">
        <v>1689</v>
      </c>
      <c r="B39" s="2645" t="s">
        <v>2537</v>
      </c>
      <c r="C39" s="765" t="e">
        <f ca="1">C5-C30</f>
        <v>#VALUE!</v>
      </c>
      <c r="D39" s="2325" t="s">
        <v>1605</v>
      </c>
      <c r="E39" s="2326"/>
      <c r="F39" s="2327"/>
      <c r="G39" s="1900"/>
      <c r="H39" s="1915"/>
      <c r="I39" s="809" t="s">
        <v>1617</v>
      </c>
      <c r="J39" s="817" t="e">
        <f ca="1">ROUND(J35/C39,3)</f>
        <v>#VALUE!</v>
      </c>
      <c r="K39" s="1920"/>
      <c r="L39" s="1915"/>
      <c r="M39" s="1915"/>
    </row>
    <row r="40" spans="1:18" ht="18" customHeight="1">
      <c r="A40" s="754" t="s">
        <v>1690</v>
      </c>
      <c r="B40" s="2067" t="s">
        <v>2090</v>
      </c>
      <c r="C40" s="756" t="e">
        <f ca="1">ROUND(C39*(1-((1+F42)/(1+F40))^F41)/(F40-F42),0)</f>
        <v>#VALUE!</v>
      </c>
      <c r="D40" s="786" t="s">
        <v>1606</v>
      </c>
      <c r="E40" s="757" t="s">
        <v>2205</v>
      </c>
      <c r="F40" s="767">
        <f ca="1">INDIRECT("'数据-取费表'!I"&amp;$G$1)</f>
        <v>0</v>
      </c>
      <c r="G40" s="1900"/>
      <c r="H40" s="1900"/>
      <c r="I40" s="809" t="s">
        <v>1618</v>
      </c>
      <c r="J40" s="817" t="e">
        <f ca="1">1-J39</f>
        <v>#VALUE!</v>
      </c>
      <c r="K40" s="1920"/>
      <c r="L40" s="1900"/>
      <c r="M40" s="1900"/>
    </row>
    <row r="41" spans="1:18" ht="18" customHeight="1">
      <c r="A41" s="759"/>
      <c r="B41" s="760"/>
      <c r="C41" s="761"/>
      <c r="D41" s="793" t="s">
        <v>1607</v>
      </c>
      <c r="E41" s="757" t="s">
        <v>2662</v>
      </c>
      <c r="F41" s="794">
        <f ca="1">IF(INDIRECT("'数据-取费表'!af"&amp;$G$1)=0,INDIRECT("'数据-取费表'!ae"&amp;$G$1),INDIRECT("'数据-取费表'!af"&amp;$G$1))</f>
        <v>0</v>
      </c>
      <c r="G41" s="1900"/>
      <c r="H41" s="1855"/>
      <c r="I41" s="815" t="s">
        <v>1619</v>
      </c>
      <c r="J41" s="818"/>
      <c r="K41" s="1919"/>
      <c r="L41" s="1855"/>
      <c r="M41" s="1855"/>
    </row>
    <row r="42" spans="1:18" ht="18" customHeight="1">
      <c r="A42" s="763"/>
      <c r="B42" s="764"/>
      <c r="C42" s="765"/>
      <c r="D42" s="788"/>
      <c r="E42" s="757" t="s">
        <v>1608</v>
      </c>
      <c r="F42" s="767">
        <f ca="1">INDIRECT("'数据-取费表'!v"&amp;$G$1)</f>
        <v>0</v>
      </c>
      <c r="G42" s="1900"/>
      <c r="H42" s="1855"/>
      <c r="I42" s="819" t="s">
        <v>1620</v>
      </c>
      <c r="J42" s="817" t="e">
        <f ca="1">ROUND(C13/C40,3)</f>
        <v>#VALUE!</v>
      </c>
      <c r="K42" s="1919"/>
      <c r="L42" s="1855"/>
      <c r="M42" s="1855"/>
    </row>
    <row r="43" spans="1:18" ht="18" customHeight="1" thickBot="1">
      <c r="A43" s="795" t="s">
        <v>1586</v>
      </c>
      <c r="B43" s="796" t="s">
        <v>1609</v>
      </c>
      <c r="C43" s="797" t="e">
        <f ca="1">ROUND(C40*10000/F43,0)</f>
        <v>#VALUE!</v>
      </c>
      <c r="D43" s="798" t="s">
        <v>1610</v>
      </c>
      <c r="E43" s="799" t="s">
        <v>1611</v>
      </c>
      <c r="F43" s="800">
        <f ca="1">INDIRECT("'数据-取费表'!k"&amp;$G$1)</f>
        <v>0</v>
      </c>
      <c r="G43" s="1900"/>
      <c r="H43" s="1855"/>
      <c r="I43" s="819" t="s">
        <v>1621</v>
      </c>
      <c r="J43" s="820" t="e">
        <f ca="1">1-J42</f>
        <v>#VALUE!</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2084</v>
      </c>
      <c r="B46" s="1922"/>
      <c r="C46" s="2349" t="e">
        <f ca="1">C67-C40</f>
        <v>#VALUE!</v>
      </c>
      <c r="D46" s="3171"/>
      <c r="E46" s="3171"/>
      <c r="F46" s="3171"/>
      <c r="I46" s="2188" t="s">
        <v>2129</v>
      </c>
      <c r="J46" s="2189"/>
      <c r="K46" s="2190"/>
      <c r="L46" s="2730" t="e">
        <f ca="1">IF(OR(M47="住宅",D1="土地（套用方法）"),0,IF(L48&gt;J51,L60,J60))</f>
        <v>#VALUE!</v>
      </c>
      <c r="M46" s="3172"/>
      <c r="O46" s="2204" t="s">
        <v>2196</v>
      </c>
      <c r="P46" s="1483"/>
      <c r="Q46" s="1491"/>
      <c r="R46" s="1483"/>
    </row>
    <row r="47" spans="1:18" s="1897" customFormat="1" ht="18" customHeight="1" thickBot="1">
      <c r="A47" s="2182">
        <v>1</v>
      </c>
      <c r="B47" s="2183" t="s">
        <v>617</v>
      </c>
      <c r="C47" s="2349">
        <f ca="1">C48+C52+C54</f>
        <v>0</v>
      </c>
      <c r="D47" s="3171"/>
      <c r="E47" s="3171"/>
      <c r="F47" s="3171"/>
      <c r="I47" s="2721" t="s">
        <v>2130</v>
      </c>
      <c r="J47" s="2191"/>
      <c r="K47" s="2727" t="s">
        <v>2135</v>
      </c>
      <c r="L47" s="2731">
        <f ca="1">INDIRECT("'数据-取费表'!d"&amp;$G$1)</f>
        <v>50</v>
      </c>
      <c r="M47" s="1491" t="str">
        <f>IF(ISNUMBER(FIND("住宅",C1)),"住宅","非住宅")</f>
        <v>非住宅</v>
      </c>
      <c r="O47" s="2205" t="s">
        <v>2161</v>
      </c>
      <c r="P47" s="2206" t="s">
        <v>2162</v>
      </c>
      <c r="Q47" s="2207" t="s">
        <v>2163</v>
      </c>
      <c r="R47" s="2206" t="s">
        <v>2164</v>
      </c>
    </row>
    <row r="48" spans="1:18" s="1897" customFormat="1" ht="18" customHeight="1" thickBot="1">
      <c r="A48" s="2407" t="s">
        <v>2254</v>
      </c>
      <c r="B48" s="2408" t="s">
        <v>2255</v>
      </c>
      <c r="C48" s="2184">
        <f ca="1">ROUND(F48*F50*F49*(1-F51)/10000,0)</f>
        <v>0</v>
      </c>
      <c r="D48" s="2185" t="s">
        <v>618</v>
      </c>
      <c r="E48" s="2186" t="s">
        <v>2085</v>
      </c>
      <c r="F48" s="2187"/>
      <c r="G48" s="1927"/>
      <c r="I48" s="2718" t="s">
        <v>2131</v>
      </c>
      <c r="J48" s="2192"/>
      <c r="K48" s="2728" t="s">
        <v>2137</v>
      </c>
      <c r="L48" s="1778">
        <f ca="1">INDIRECT("'数据-取费表'!f"&amp;$G$1)</f>
        <v>50</v>
      </c>
      <c r="M48" s="3172"/>
      <c r="O48" s="2208" t="s">
        <v>2165</v>
      </c>
      <c r="P48" s="2209" t="s">
        <v>2191</v>
      </c>
      <c r="Q48" s="2210" t="e">
        <f ca="1">C40+J29</f>
        <v>#VALUE!</v>
      </c>
      <c r="R48" s="2209" t="s">
        <v>2166</v>
      </c>
    </row>
    <row r="49" spans="1:18" s="1897" customFormat="1" ht="18" customHeight="1" thickBot="1">
      <c r="A49" s="759"/>
      <c r="B49" s="760"/>
      <c r="C49" s="761"/>
      <c r="D49" s="762"/>
      <c r="E49" s="757" t="s">
        <v>1538</v>
      </c>
      <c r="F49" s="758">
        <f ca="1">F7</f>
        <v>0</v>
      </c>
      <c r="G49" s="1927"/>
      <c r="H49" s="1930"/>
      <c r="I49" s="2718" t="s">
        <v>2132</v>
      </c>
      <c r="J49" s="2193"/>
      <c r="K49" s="2729" t="s">
        <v>2138</v>
      </c>
      <c r="L49" s="2194"/>
      <c r="M49" s="3172"/>
      <c r="O49" s="2208" t="s">
        <v>2167</v>
      </c>
      <c r="P49" s="2209" t="s">
        <v>2192</v>
      </c>
      <c r="Q49" s="2210" t="str">
        <f ca="1">J60</f>
        <v>0</v>
      </c>
      <c r="R49" s="2209" t="s">
        <v>2168</v>
      </c>
    </row>
    <row r="50" spans="1:18" s="1897" customFormat="1" ht="18" customHeight="1" thickBot="1">
      <c r="A50" s="759"/>
      <c r="B50" s="760"/>
      <c r="C50" s="761"/>
      <c r="D50" s="762"/>
      <c r="E50" s="757" t="s">
        <v>1539</v>
      </c>
      <c r="F50" s="758">
        <f ca="1">F8</f>
        <v>0</v>
      </c>
      <c r="G50" s="1932"/>
      <c r="H50" s="1930"/>
      <c r="I50" s="2718" t="s">
        <v>2133</v>
      </c>
      <c r="J50" s="2725">
        <f>SUMPRODUCT((I63:I65=J47)*(J62:L62=J48)*(J63:L65))</f>
        <v>0</v>
      </c>
      <c r="K50" s="2729" t="s">
        <v>2139</v>
      </c>
      <c r="L50" s="2194"/>
      <c r="M50" s="3172"/>
      <c r="O50" s="2211" t="s">
        <v>2169</v>
      </c>
      <c r="P50" s="2209" t="s">
        <v>2193</v>
      </c>
      <c r="Q50" s="2210" t="e">
        <f ca="1">C29</f>
        <v>#VALUE!</v>
      </c>
      <c r="R50" s="2209" t="s">
        <v>2166</v>
      </c>
    </row>
    <row r="51" spans="1:18" s="1897" customFormat="1" ht="18" customHeight="1" thickBot="1">
      <c r="A51" s="759"/>
      <c r="B51" s="760"/>
      <c r="C51" s="761"/>
      <c r="D51" s="762"/>
      <c r="E51" s="757" t="s">
        <v>622</v>
      </c>
      <c r="F51" s="2181"/>
      <c r="H51" s="1930"/>
      <c r="I51" s="2722" t="s">
        <v>2134</v>
      </c>
      <c r="J51" s="2726">
        <f>IF(J49="",J50,J49+J50-YEAR('数据-取费表'!B2))</f>
        <v>0</v>
      </c>
      <c r="K51" s="2718" t="s">
        <v>2140</v>
      </c>
      <c r="L51" s="2732" t="e">
        <f ca="1">ROUND(-PV(INDIRECT("'数据-取费表'!h"&amp;$G$1),J51,(C39-C13*J36),0),0)</f>
        <v>#VALUE!</v>
      </c>
      <c r="M51" s="3172"/>
      <c r="O51" s="2211" t="s">
        <v>2170</v>
      </c>
      <c r="P51" s="2209" t="s">
        <v>2171</v>
      </c>
      <c r="Q51" s="2212" t="e">
        <f ca="1">J58</f>
        <v>#VALUE!</v>
      </c>
      <c r="R51" s="2213"/>
    </row>
    <row r="52" spans="1:18" s="1897" customFormat="1" ht="18" customHeight="1" thickBot="1">
      <c r="A52" s="754" t="s">
        <v>2253</v>
      </c>
      <c r="B52" s="2300" t="s">
        <v>2237</v>
      </c>
      <c r="C52" s="772">
        <f ca="1">ROUND(IF(F52="押一",C48/12*F11,IF(F52="押二",C48/12*2*F11,IF(F52="押三",C48/12*3*F11,C53*F11))),0)</f>
        <v>0</v>
      </c>
      <c r="D52" s="2307" t="s">
        <v>2671</v>
      </c>
      <c r="E52" s="2304" t="s">
        <v>2242</v>
      </c>
      <c r="F52" s="2388"/>
      <c r="I52" s="2723" t="s">
        <v>2207</v>
      </c>
      <c r="J52" s="2195"/>
      <c r="K52" s="2723" t="s">
        <v>2206</v>
      </c>
      <c r="L52" s="2195"/>
      <c r="M52" s="3172"/>
      <c r="O52" s="2211" t="s">
        <v>2172</v>
      </c>
      <c r="P52" s="2209" t="s">
        <v>2173</v>
      </c>
      <c r="Q52" s="2212">
        <f>J52</f>
        <v>0</v>
      </c>
      <c r="R52" s="2213"/>
    </row>
    <row r="53" spans="1:18" s="1897" customFormat="1" ht="39.75" customHeight="1" thickBot="1">
      <c r="A53" s="759"/>
      <c r="B53" s="2301" t="s">
        <v>2290</v>
      </c>
      <c r="C53" s="2305"/>
      <c r="D53" s="2307"/>
      <c r="E53" s="2304"/>
      <c r="F53" s="773"/>
      <c r="I53" s="2724" t="s">
        <v>2674</v>
      </c>
      <c r="J53" s="2777">
        <f ca="1">IF(M47="住宅",IF(D1="——",MAX(J51,L48),MAX(J51,L48-'数据-取费表'!B20)),IF(D1="——",MIN(J51,L48),MIN(J51,L48-'数据-取费表'!B20)))</f>
        <v>0</v>
      </c>
      <c r="K53" s="3735" t="s">
        <v>2664</v>
      </c>
      <c r="L53" s="3736"/>
      <c r="M53" s="3172"/>
      <c r="O53" s="2211" t="s">
        <v>2174</v>
      </c>
      <c r="P53" s="2209" t="s">
        <v>2175</v>
      </c>
      <c r="Q53" s="2210">
        <f ca="1">J53</f>
        <v>0</v>
      </c>
      <c r="R53" s="2209" t="s">
        <v>2176</v>
      </c>
    </row>
    <row r="54" spans="1:18" s="1897" customFormat="1" ht="18" customHeight="1" thickBot="1">
      <c r="A54" s="2314" t="s">
        <v>2245</v>
      </c>
      <c r="B54" s="2315" t="s">
        <v>2238</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72"/>
      <c r="O54" s="2208" t="s">
        <v>2177</v>
      </c>
      <c r="P54" s="2209" t="s">
        <v>2194</v>
      </c>
      <c r="Q54" s="2210" t="e">
        <f ca="1">Q48+Q49</f>
        <v>#VALUE!</v>
      </c>
      <c r="R54" s="2213" t="s">
        <v>2178</v>
      </c>
    </row>
    <row r="55" spans="1:18" s="1897" customFormat="1" ht="18" customHeight="1" thickTop="1" thickBot="1">
      <c r="A55" s="770">
        <v>2</v>
      </c>
      <c r="B55" s="771" t="s">
        <v>626</v>
      </c>
      <c r="C55" s="772" t="e">
        <f ca="1">C13</f>
        <v>#VALUE!</v>
      </c>
      <c r="D55" s="768"/>
      <c r="E55" s="768"/>
      <c r="F55" s="773"/>
      <c r="I55" s="2735" t="s">
        <v>2141</v>
      </c>
      <c r="J55" s="2707" t="e">
        <f ca="1">ROUND(IF(J47="钢混",J57/J50,1-(1-2%)*(J50-J57)/J50),3)</f>
        <v>#VALUE!</v>
      </c>
      <c r="K55" s="2736" t="s">
        <v>2142</v>
      </c>
      <c r="L55" s="2196"/>
      <c r="M55" s="3172"/>
      <c r="O55" s="2214" t="s">
        <v>2197</v>
      </c>
      <c r="P55" s="1483"/>
      <c r="Q55" s="1491"/>
      <c r="R55" s="1483"/>
    </row>
    <row r="56" spans="1:18" s="1897" customFormat="1" ht="42.75" customHeight="1" thickBot="1">
      <c r="A56" s="1534"/>
      <c r="B56" s="2066" t="s">
        <v>2091</v>
      </c>
      <c r="C56" s="53" t="e">
        <f ca="1">C29</f>
        <v>#VALUE!</v>
      </c>
      <c r="D56" s="2404"/>
      <c r="E56" s="757"/>
      <c r="F56" s="782"/>
      <c r="I56" s="2737" t="s">
        <v>2143</v>
      </c>
      <c r="J56" s="2747"/>
      <c r="K56" s="2718" t="s">
        <v>2148</v>
      </c>
      <c r="L56" s="1778">
        <f ca="1">IF(L48&lt;J51,"——",L48-J51)</f>
        <v>50</v>
      </c>
      <c r="M56" s="3172"/>
      <c r="O56" s="2205" t="s">
        <v>2161</v>
      </c>
      <c r="P56" s="2206" t="s">
        <v>2162</v>
      </c>
      <c r="Q56" s="2207" t="s">
        <v>2163</v>
      </c>
      <c r="R56" s="2206" t="s">
        <v>2164</v>
      </c>
    </row>
    <row r="57" spans="1:18" s="1897" customFormat="1" ht="28.5" customHeight="1" thickBot="1">
      <c r="A57" s="770" t="s">
        <v>1547</v>
      </c>
      <c r="B57" s="771" t="s">
        <v>633</v>
      </c>
      <c r="C57" s="772" t="e">
        <f ca="1">ROUND(C58+C63+C64+C65,0)</f>
        <v>#VALUE!</v>
      </c>
      <c r="D57" s="26" t="s">
        <v>1549</v>
      </c>
      <c r="E57" s="2405"/>
      <c r="F57" s="56"/>
      <c r="I57" s="2738" t="s">
        <v>2144</v>
      </c>
      <c r="J57" s="2739" t="str">
        <f ca="1">IF(OR(M47="住宅",J51&lt;L48,J56="是"),"——",J51-L48)</f>
        <v>——</v>
      </c>
      <c r="K57" s="2718" t="s">
        <v>2149</v>
      </c>
      <c r="L57" s="1778" t="e">
        <f ca="1">IF(L48&lt;J51,"——",IF(L55="比较法",L49,IF(L55="基准地价",L50,L51)))</f>
        <v>#VALUE!</v>
      </c>
      <c r="M57" s="3172"/>
      <c r="O57" s="2208" t="s">
        <v>2165</v>
      </c>
      <c r="P57" s="2209" t="s">
        <v>2195</v>
      </c>
      <c r="Q57" s="2210" t="e">
        <f ca="1">C40+J29</f>
        <v>#VALUE!</v>
      </c>
      <c r="R57" s="2209" t="s">
        <v>2166</v>
      </c>
    </row>
    <row r="58" spans="1:18" s="1897" customFormat="1" ht="28.5" customHeight="1" thickBot="1">
      <c r="A58" s="1533" t="s">
        <v>1623</v>
      </c>
      <c r="B58" s="757" t="s">
        <v>638</v>
      </c>
      <c r="C58" s="2928" t="e">
        <f ca="1">ROUND(IF(AND(项目基本情况!B11="自然人",项目基本情况!B10="北京市"),C48*F58/(1+'数据-取费表'!C42),C59+C60+C61),0)</f>
        <v>#VALUE!</v>
      </c>
      <c r="D58" s="2403" t="s">
        <v>639</v>
      </c>
      <c r="E58" s="2404" t="s">
        <v>672</v>
      </c>
      <c r="F58" s="2927">
        <f ca="1">IF(项目基本情况!B11="企业","——",IF('数据-取费表'!B10="住宅",IF(F48*F49*F50/12/(1+'数据-取费表'!F30)&gt;100000,4%,2.5%),IF(F48*F49*F50/12/(1+'数据-取费表'!F30)&gt;100000,12%,7%)))</f>
        <v>7.0000000000000007E-2</v>
      </c>
      <c r="I58" s="2738" t="s">
        <v>2145</v>
      </c>
      <c r="J58" s="2708" t="e">
        <f ca="1">IF(J55&lt;0.4,0.4,J55)</f>
        <v>#VALUE!</v>
      </c>
      <c r="K58" s="2718" t="s">
        <v>2150</v>
      </c>
      <c r="L58" s="1778" t="e">
        <f ca="1">ROUND(POWER(1+L52,L47-L48)*(POWER(1+L52,L48)-1)/(POWER(1+L52,L47)-1),4)</f>
        <v>#DIV/0!</v>
      </c>
      <c r="M58" s="3172"/>
      <c r="O58" s="2208" t="s">
        <v>2167</v>
      </c>
      <c r="P58" s="2209" t="s">
        <v>2198</v>
      </c>
      <c r="Q58" s="2210" t="e">
        <f ca="1">L60</f>
        <v>#VALUE!</v>
      </c>
      <c r="R58" s="2213" t="s">
        <v>2200</v>
      </c>
    </row>
    <row r="59" spans="1:18" s="1897" customFormat="1" ht="28.5" customHeight="1" thickBot="1">
      <c r="A59" s="1532" t="s">
        <v>1630</v>
      </c>
      <c r="B59" s="757" t="s">
        <v>642</v>
      </c>
      <c r="C59" s="53">
        <f ca="1">ROUND(C47*F59/1.05,1)</f>
        <v>0</v>
      </c>
      <c r="D59" s="2404" t="s">
        <v>1555</v>
      </c>
      <c r="E59" s="757" t="s">
        <v>1546</v>
      </c>
      <c r="F59" s="782">
        <f t="shared" ref="F59:F65" si="0">F32</f>
        <v>0</v>
      </c>
      <c r="I59" s="2738" t="s">
        <v>2146</v>
      </c>
      <c r="J59" s="2739" t="str">
        <f ca="1">IF(OR(M47="住宅",J51&lt;L48,J56="是"),"——",ROUND(C29*J58,0))</f>
        <v>——</v>
      </c>
      <c r="K59" s="2718"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2"/>
      <c r="O59" s="2211" t="s">
        <v>2169</v>
      </c>
      <c r="P59" s="2209" t="s">
        <v>2199</v>
      </c>
      <c r="Q59" s="2210">
        <f>IF(L55="比较法",L49,IF(L55="基准地价",L50,0))</f>
        <v>0</v>
      </c>
      <c r="R59" s="2209" t="s">
        <v>2166</v>
      </c>
    </row>
    <row r="60" spans="1:18" s="1897" customFormat="1" ht="18" customHeight="1" thickBot="1">
      <c r="A60" s="1532" t="s">
        <v>1631</v>
      </c>
      <c r="B60" s="757" t="s">
        <v>1557</v>
      </c>
      <c r="C60" s="53" t="e">
        <f ca="1">IF(D60="按租金收入计税",ROUND(C48*F60/(1+'数据-取费表'!C42),1),IF(D60="按房产原值计税",ROUND(C56*F60*0.7,1),INDIRECT("'数据-取费表'!Aj"&amp;$G$1)))</f>
        <v>#VALUE!</v>
      </c>
      <c r="D60" s="2404" t="str">
        <f>D33</f>
        <v>按房产原值计税</v>
      </c>
      <c r="E60" s="757" t="s">
        <v>1546</v>
      </c>
      <c r="F60" s="782">
        <f t="shared" si="0"/>
        <v>1.2E-2</v>
      </c>
      <c r="I60" s="2740" t="s">
        <v>2147</v>
      </c>
      <c r="J60" s="2741" t="str">
        <f ca="1">IF(OR(M47="住宅",J51&lt;L48,J56="是"),"0",ROUND(J59/(1+J52)^J53,0))</f>
        <v>0</v>
      </c>
      <c r="K60" s="2742" t="s">
        <v>2152</v>
      </c>
      <c r="L60" s="2741" t="e">
        <f ca="1">IF(OR(M47="住宅",L48&lt;J51),0,ROUND(L57*(L58/L59-1),0))</f>
        <v>#VALUE!</v>
      </c>
      <c r="M60" s="3172"/>
      <c r="O60" s="2211" t="s">
        <v>2170</v>
      </c>
      <c r="P60" s="2209" t="s">
        <v>2179</v>
      </c>
      <c r="Q60" s="2212">
        <f>L52</f>
        <v>0</v>
      </c>
      <c r="R60" s="2213"/>
    </row>
    <row r="61" spans="1:18" s="1897" customFormat="1" ht="18" customHeight="1" thickBot="1">
      <c r="A61" s="1535" t="s">
        <v>1632</v>
      </c>
      <c r="B61" s="339" t="s">
        <v>650</v>
      </c>
      <c r="C61" s="54">
        <f ca="1">ROUND(F61*F62/10000,1)</f>
        <v>0</v>
      </c>
      <c r="D61" s="786" t="s">
        <v>651</v>
      </c>
      <c r="E61" s="757" t="s">
        <v>652</v>
      </c>
      <c r="F61" s="615">
        <f t="shared" si="0"/>
        <v>0</v>
      </c>
      <c r="K61" s="1923"/>
      <c r="O61" s="2211" t="s">
        <v>2172</v>
      </c>
      <c r="P61" s="2209" t="s">
        <v>2180</v>
      </c>
      <c r="Q61" s="2210" t="e">
        <f ca="1">L58</f>
        <v>#DIV/0!</v>
      </c>
      <c r="R61" s="2213" t="s">
        <v>2181</v>
      </c>
    </row>
    <row r="62" spans="1:18" s="1897" customFormat="1" ht="15.75" thickBot="1">
      <c r="A62" s="787"/>
      <c r="B62" s="766"/>
      <c r="C62" s="69"/>
      <c r="D62" s="788"/>
      <c r="E62" s="757" t="s">
        <v>656</v>
      </c>
      <c r="F62" s="758">
        <f t="shared" ca="1" si="0"/>
        <v>0</v>
      </c>
      <c r="I62" s="2743" t="s">
        <v>2153</v>
      </c>
      <c r="J62" s="2744" t="s">
        <v>2154</v>
      </c>
      <c r="K62" s="2744" t="s">
        <v>2155</v>
      </c>
      <c r="L62" s="2744" t="s">
        <v>2136</v>
      </c>
      <c r="M62" s="2745" t="s">
        <v>2643</v>
      </c>
      <c r="O62" s="2211" t="s">
        <v>2174</v>
      </c>
      <c r="P62" s="2209" t="str">
        <f>K59</f>
        <v>建筑物剩余耐用年限下的土地年期修正系数Kn</v>
      </c>
      <c r="Q62" s="2210" t="e">
        <f ca="1">L59</f>
        <v>#DIV/0!</v>
      </c>
      <c r="R62" s="2213" t="s">
        <v>2183</v>
      </c>
    </row>
    <row r="63" spans="1:18" s="1897" customFormat="1" ht="15.75" thickBot="1">
      <c r="A63" s="1533" t="s">
        <v>1684</v>
      </c>
      <c r="B63" s="757" t="s">
        <v>658</v>
      </c>
      <c r="C63" s="53" t="e">
        <f ca="1">ROUND(C56*F63,1)</f>
        <v>#VALUE!</v>
      </c>
      <c r="D63" s="2404" t="s">
        <v>1602</v>
      </c>
      <c r="E63" s="757" t="s">
        <v>1546</v>
      </c>
      <c r="F63" s="789">
        <f t="shared" ca="1" si="0"/>
        <v>0</v>
      </c>
      <c r="I63" s="2743" t="s">
        <v>2156</v>
      </c>
      <c r="J63" s="2744">
        <v>70</v>
      </c>
      <c r="K63" s="2744">
        <v>50</v>
      </c>
      <c r="L63" s="2744">
        <v>80</v>
      </c>
      <c r="M63" s="2746">
        <v>0.02</v>
      </c>
      <c r="O63" s="2208" t="s">
        <v>2177</v>
      </c>
      <c r="P63" s="2209" t="s">
        <v>2194</v>
      </c>
      <c r="Q63" s="2210" t="e">
        <f ca="1">Q57+Q58</f>
        <v>#VALUE!</v>
      </c>
      <c r="R63" s="2213" t="s">
        <v>2178</v>
      </c>
    </row>
    <row r="64" spans="1:18" s="1897" customFormat="1" ht="16.5" thickBot="1">
      <c r="A64" s="1533" t="s">
        <v>1685</v>
      </c>
      <c r="B64" s="757" t="s">
        <v>661</v>
      </c>
      <c r="C64" s="53" t="e">
        <f ca="1">ROUND(C55*F64,1)</f>
        <v>#VALUE!</v>
      </c>
      <c r="D64" s="2404" t="s">
        <v>662</v>
      </c>
      <c r="E64" s="757" t="s">
        <v>1546</v>
      </c>
      <c r="F64" s="790">
        <f t="shared" ca="1" si="0"/>
        <v>0</v>
      </c>
      <c r="I64" s="2743" t="s">
        <v>2157</v>
      </c>
      <c r="J64" s="2744">
        <v>50</v>
      </c>
      <c r="K64" s="2744">
        <v>35</v>
      </c>
      <c r="L64" s="2744">
        <v>60</v>
      </c>
      <c r="M64" s="818">
        <v>0</v>
      </c>
      <c r="O64" s="2214" t="s">
        <v>2201</v>
      </c>
      <c r="P64" s="1483"/>
      <c r="Q64" s="1491"/>
      <c r="R64" s="1483"/>
    </row>
    <row r="65" spans="1:18" s="1897" customFormat="1" ht="15.75" thickBot="1">
      <c r="A65" s="1533" t="s">
        <v>1686</v>
      </c>
      <c r="B65" s="757" t="s">
        <v>648</v>
      </c>
      <c r="C65" s="53">
        <f ca="1">ROUND(C47*F65,1)</f>
        <v>0</v>
      </c>
      <c r="D65" s="2404" t="s">
        <v>665</v>
      </c>
      <c r="E65" s="757" t="s">
        <v>1546</v>
      </c>
      <c r="F65" s="767">
        <f t="shared" ca="1" si="0"/>
        <v>0</v>
      </c>
      <c r="I65" s="2743" t="s">
        <v>2158</v>
      </c>
      <c r="J65" s="2744">
        <v>40</v>
      </c>
      <c r="K65" s="2744">
        <v>30</v>
      </c>
      <c r="L65" s="2744">
        <v>50</v>
      </c>
      <c r="M65" s="2746">
        <v>0.02</v>
      </c>
      <c r="O65" s="2205" t="s">
        <v>2161</v>
      </c>
      <c r="P65" s="2206" t="s">
        <v>2162</v>
      </c>
      <c r="Q65" s="2207" t="s">
        <v>2163</v>
      </c>
      <c r="R65" s="2206" t="s">
        <v>2164</v>
      </c>
    </row>
    <row r="66" spans="1:18" s="1897" customFormat="1" ht="24.75" thickBot="1">
      <c r="A66" s="770" t="s">
        <v>1575</v>
      </c>
      <c r="B66" s="2646" t="s">
        <v>2537</v>
      </c>
      <c r="C66" s="772" t="e">
        <f ca="1">C47-C57</f>
        <v>#VALUE!</v>
      </c>
      <c r="D66" s="2403" t="s">
        <v>682</v>
      </c>
      <c r="E66" s="2402"/>
      <c r="F66" s="792"/>
      <c r="K66" s="1923"/>
      <c r="O66" s="2208" t="s">
        <v>2165</v>
      </c>
      <c r="P66" s="2209" t="s">
        <v>2195</v>
      </c>
      <c r="Q66" s="2210" t="e">
        <f ca="1">C40+J29</f>
        <v>#VALUE!</v>
      </c>
      <c r="R66" s="2209" t="s">
        <v>2166</v>
      </c>
    </row>
    <row r="67" spans="1:18" s="1897" customFormat="1" ht="20.25" thickBot="1">
      <c r="A67" s="754" t="s">
        <v>1579</v>
      </c>
      <c r="B67" s="2067" t="s">
        <v>2090</v>
      </c>
      <c r="C67" s="756" t="e">
        <f ca="1">ROUND(C66*(1-((1+F69)/(1+F67))^F68)/(F67-F69),0)</f>
        <v>#VALUE!</v>
      </c>
      <c r="D67" s="786" t="s">
        <v>686</v>
      </c>
      <c r="E67" s="757" t="s">
        <v>687</v>
      </c>
      <c r="F67" s="767">
        <f ca="1">F40</f>
        <v>0</v>
      </c>
      <c r="K67" s="1923"/>
      <c r="O67" s="2208" t="s">
        <v>2167</v>
      </c>
      <c r="P67" s="2209" t="s">
        <v>2198</v>
      </c>
      <c r="Q67" s="2210" t="e">
        <f ca="1">L60</f>
        <v>#VALUE!</v>
      </c>
      <c r="R67" s="2213" t="s">
        <v>2200</v>
      </c>
    </row>
    <row r="68" spans="1:18" ht="21.75" thickBot="1">
      <c r="A68" s="759"/>
      <c r="B68" s="760"/>
      <c r="C68" s="761"/>
      <c r="D68" s="793" t="s">
        <v>1607</v>
      </c>
      <c r="E68" s="757" t="s">
        <v>1583</v>
      </c>
      <c r="F68" s="794">
        <f ca="1">F41</f>
        <v>0</v>
      </c>
      <c r="O68" s="2211" t="s">
        <v>2169</v>
      </c>
      <c r="P68" s="2209" t="s">
        <v>2199</v>
      </c>
      <c r="Q68" s="2215" t="e">
        <f ca="1">L51</f>
        <v>#VALUE!</v>
      </c>
      <c r="R68" s="2216" t="s">
        <v>2202</v>
      </c>
    </row>
    <row r="69" spans="1:18" ht="20.25" thickBot="1">
      <c r="A69" s="763"/>
      <c r="B69" s="764"/>
      <c r="C69" s="765"/>
      <c r="D69" s="788"/>
      <c r="E69" s="757" t="s">
        <v>692</v>
      </c>
      <c r="F69" s="2181"/>
      <c r="O69" s="2211" t="s">
        <v>2170</v>
      </c>
      <c r="P69" s="2217" t="s">
        <v>2184</v>
      </c>
      <c r="Q69" s="2210" t="e">
        <f ca="1">ROUND(Q70-Q71*Q72,0)</f>
        <v>#VALUE!</v>
      </c>
      <c r="R69" s="2213"/>
    </row>
    <row r="70" spans="1:18" ht="15.75" thickBot="1">
      <c r="A70" s="795" t="s">
        <v>1586</v>
      </c>
      <c r="B70" s="796" t="s">
        <v>1609</v>
      </c>
      <c r="C70" s="797" t="e">
        <f ca="1">ROUND(C67*10000/F70,0)</f>
        <v>#VALUE!</v>
      </c>
      <c r="D70" s="798" t="s">
        <v>1610</v>
      </c>
      <c r="E70" s="799" t="s">
        <v>1611</v>
      </c>
      <c r="F70" s="800">
        <f ca="1">F43</f>
        <v>0</v>
      </c>
      <c r="O70" s="2211" t="s">
        <v>2185</v>
      </c>
      <c r="P70" s="2217" t="s">
        <v>2186</v>
      </c>
      <c r="Q70" s="2210" t="e">
        <f ca="1">C39</f>
        <v>#VALUE!</v>
      </c>
      <c r="R70" s="2209" t="s">
        <v>2166</v>
      </c>
    </row>
    <row r="71" spans="1:18" ht="15.75" thickBot="1">
      <c r="O71" s="2211" t="s">
        <v>2187</v>
      </c>
      <c r="P71" s="2217" t="s">
        <v>2188</v>
      </c>
      <c r="Q71" s="2210" t="e">
        <f ca="1">C13</f>
        <v>#VALUE!</v>
      </c>
      <c r="R71" s="2209" t="s">
        <v>2166</v>
      </c>
    </row>
    <row r="72" spans="1:18" ht="15.75" thickBot="1">
      <c r="O72" s="2211" t="s">
        <v>2189</v>
      </c>
      <c r="P72" s="2217" t="s">
        <v>2190</v>
      </c>
      <c r="Q72" s="2212">
        <f ca="1">J36</f>
        <v>0</v>
      </c>
      <c r="R72" s="2213"/>
    </row>
    <row r="73" spans="1:18" ht="15.75" thickBot="1">
      <c r="O73" s="2211" t="s">
        <v>2172</v>
      </c>
      <c r="P73" s="2209" t="s">
        <v>2179</v>
      </c>
      <c r="Q73" s="2212">
        <f>L52</f>
        <v>0</v>
      </c>
      <c r="R73" s="2213"/>
    </row>
    <row r="74" spans="1:18" ht="20.25" thickBot="1">
      <c r="O74" s="2211" t="s">
        <v>2174</v>
      </c>
      <c r="P74" s="2209" t="s">
        <v>2180</v>
      </c>
      <c r="Q74" s="2210" t="e">
        <f ca="1">L58</f>
        <v>#DIV/0!</v>
      </c>
      <c r="R74" s="2213" t="s">
        <v>2181</v>
      </c>
    </row>
    <row r="75" spans="1:18" ht="15.75" thickBot="1">
      <c r="O75" s="2211" t="s">
        <v>2203</v>
      </c>
      <c r="P75" s="2209" t="str">
        <f>K59</f>
        <v>建筑物剩余耐用年限下的土地年期修正系数Kn</v>
      </c>
      <c r="Q75" s="2210" t="e">
        <f ca="1">L59</f>
        <v>#DIV/0!</v>
      </c>
      <c r="R75" s="2213" t="s">
        <v>2183</v>
      </c>
    </row>
    <row r="76" spans="1:18" ht="15.75" thickBot="1">
      <c r="O76" s="2208" t="s">
        <v>2177</v>
      </c>
      <c r="P76" s="2209" t="s">
        <v>2194</v>
      </c>
      <c r="Q76" s="2210" t="e">
        <f ca="1">Q66+Q67</f>
        <v>#VALUE!</v>
      </c>
      <c r="R76" s="2213"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37" t="s">
        <v>2745</v>
      </c>
      <c r="K2" s="3738"/>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39" t="s">
        <v>2755</v>
      </c>
      <c r="K3" s="3740"/>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39" t="s">
        <v>2757</v>
      </c>
      <c r="K4" s="3740"/>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41" t="s">
        <v>2761</v>
      </c>
      <c r="B6" s="3742"/>
      <c r="C6" s="3743"/>
      <c r="D6" s="3265"/>
      <c r="E6" s="3266"/>
      <c r="F6" s="3267"/>
      <c r="G6" s="3268"/>
      <c r="H6" s="3243"/>
      <c r="I6" s="3244"/>
      <c r="J6" s="3744">
        <v>1</v>
      </c>
      <c r="K6" s="3745"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44"/>
      <c r="K7" s="3746"/>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48" t="s">
        <v>2775</v>
      </c>
      <c r="C8" s="3749"/>
      <c r="D8" s="3284" t="s">
        <v>2776</v>
      </c>
      <c r="E8" s="3285" t="s">
        <v>2777</v>
      </c>
      <c r="F8" s="3286" t="s">
        <v>2778</v>
      </c>
      <c r="G8" s="3287"/>
      <c r="H8" s="3243"/>
      <c r="I8" s="3244"/>
      <c r="J8" s="3744"/>
      <c r="K8" s="3746"/>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48" t="s">
        <v>2781</v>
      </c>
      <c r="C9" s="3749"/>
      <c r="D9" s="3284">
        <f>ROUND(D6*E9,0)</f>
        <v>0</v>
      </c>
      <c r="E9" s="3288"/>
      <c r="F9" s="3289" t="s">
        <v>2782</v>
      </c>
      <c r="G9" s="3268"/>
      <c r="H9" s="3243"/>
      <c r="I9" s="3244"/>
      <c r="J9" s="3744"/>
      <c r="K9" s="3746"/>
      <c r="L9" s="3278" t="s">
        <v>2783</v>
      </c>
      <c r="M9" s="3279"/>
      <c r="N9" s="3255"/>
      <c r="O9" s="3280"/>
      <c r="P9" s="3280"/>
      <c r="Q9" s="3281">
        <v>365</v>
      </c>
      <c r="R9" s="3282">
        <f t="shared" si="0"/>
        <v>0</v>
      </c>
      <c r="S9" s="3235"/>
      <c r="T9" s="3235"/>
      <c r="U9" s="3235"/>
      <c r="V9" s="3244"/>
    </row>
    <row r="10" spans="1:22" s="3248" customFormat="1" ht="13.15" customHeight="1">
      <c r="A10" s="3283">
        <v>2</v>
      </c>
      <c r="B10" s="3748" t="s">
        <v>2784</v>
      </c>
      <c r="C10" s="3749"/>
      <c r="D10" s="3284">
        <f>ROUND(D6*E10,0)</f>
        <v>0</v>
      </c>
      <c r="E10" s="3288"/>
      <c r="F10" s="3289" t="s">
        <v>2785</v>
      </c>
      <c r="G10" s="3268"/>
      <c r="H10" s="3243"/>
      <c r="I10" s="3244"/>
      <c r="J10" s="3744"/>
      <c r="K10" s="3746"/>
      <c r="L10" s="3278" t="s">
        <v>2786</v>
      </c>
      <c r="M10" s="3279"/>
      <c r="N10" s="3255"/>
      <c r="O10" s="3280"/>
      <c r="P10" s="3280"/>
      <c r="Q10" s="3281">
        <v>365</v>
      </c>
      <c r="R10" s="3282">
        <f t="shared" si="0"/>
        <v>0</v>
      </c>
      <c r="S10" s="3235"/>
      <c r="T10" s="3235"/>
      <c r="U10" s="3235"/>
      <c r="V10" s="3244"/>
    </row>
    <row r="11" spans="1:22" s="3248" customFormat="1" ht="13.15" customHeight="1">
      <c r="A11" s="3283">
        <v>3</v>
      </c>
      <c r="B11" s="3748" t="s">
        <v>2787</v>
      </c>
      <c r="C11" s="3749"/>
      <c r="D11" s="3284">
        <f>D12+D14+D15+D16</f>
        <v>0</v>
      </c>
      <c r="E11" s="3290" t="e">
        <f>D11/D6</f>
        <v>#DIV/0!</v>
      </c>
      <c r="F11" s="3286"/>
      <c r="G11" s="3287"/>
      <c r="H11" s="3243"/>
      <c r="I11" s="3244"/>
      <c r="J11" s="3744"/>
      <c r="K11" s="3746"/>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50" t="s">
        <v>2790</v>
      </c>
      <c r="C12" s="3751"/>
      <c r="D12" s="3292">
        <f>ROUND(D13*1.2%*(1-30%),0)</f>
        <v>0</v>
      </c>
      <c r="E12" s="3293">
        <v>1.2E-2</v>
      </c>
      <c r="F12" s="3286" t="s">
        <v>2791</v>
      </c>
      <c r="G12" s="3287"/>
      <c r="H12" s="3243"/>
      <c r="I12" s="3244"/>
      <c r="J12" s="3744"/>
      <c r="K12" s="3746"/>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44"/>
      <c r="K13" s="3746"/>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50" t="s">
        <v>2796</v>
      </c>
      <c r="C14" s="3751"/>
      <c r="D14" s="3292">
        <f>ROUND(E14*B5/10000,0)</f>
        <v>0</v>
      </c>
      <c r="E14" s="3281"/>
      <c r="F14" s="3286" t="s">
        <v>2797</v>
      </c>
      <c r="G14" s="3287"/>
      <c r="H14" s="3243"/>
      <c r="I14" s="3244"/>
      <c r="J14" s="3744"/>
      <c r="K14" s="3747"/>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50" t="s">
        <v>2800</v>
      </c>
      <c r="C15" s="3751"/>
      <c r="D15" s="3292">
        <f>ROUND(D6*E15,0)</f>
        <v>0</v>
      </c>
      <c r="E15" s="3293">
        <v>5.5E-2</v>
      </c>
      <c r="F15" s="3286" t="s">
        <v>2801</v>
      </c>
      <c r="G15" s="3268"/>
      <c r="H15" s="3243"/>
      <c r="I15" s="3244"/>
      <c r="J15" s="3744">
        <v>2</v>
      </c>
      <c r="K15" s="3745"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50" t="s">
        <v>2811</v>
      </c>
      <c r="C16" s="3751"/>
      <c r="D16" s="3303">
        <f>D6*E16</f>
        <v>0</v>
      </c>
      <c r="E16" s="3304"/>
      <c r="F16" s="3289" t="s">
        <v>2812</v>
      </c>
      <c r="G16" s="3268"/>
      <c r="H16" s="3243"/>
      <c r="I16" s="3244"/>
      <c r="J16" s="3744"/>
      <c r="K16" s="3746"/>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52" t="s">
        <v>2814</v>
      </c>
      <c r="C17" s="3753"/>
      <c r="D17" s="3306">
        <f>ROUND(D6*E17,0)</f>
        <v>0</v>
      </c>
      <c r="E17" s="3307"/>
      <c r="F17" s="3308" t="s">
        <v>2815</v>
      </c>
      <c r="G17" s="3268"/>
      <c r="H17" s="3243"/>
      <c r="I17" s="3244"/>
      <c r="J17" s="3744"/>
      <c r="K17" s="3746"/>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44"/>
      <c r="K18" s="3746"/>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44"/>
      <c r="K19" s="3747"/>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44">
        <v>3</v>
      </c>
      <c r="K20" s="3745"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44"/>
      <c r="K21" s="3746"/>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44"/>
      <c r="K22" s="3746"/>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44"/>
      <c r="K23" s="3746"/>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44"/>
      <c r="K24" s="3747"/>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54">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55"/>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37" t="s">
        <v>2857</v>
      </c>
      <c r="K32" s="3738"/>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39" t="s">
        <v>2861</v>
      </c>
      <c r="K33" s="3740"/>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39" t="s">
        <v>2863</v>
      </c>
      <c r="K34" s="3740"/>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44">
        <v>1</v>
      </c>
      <c r="K36" s="3745"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44"/>
      <c r="K37" s="3746"/>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44"/>
      <c r="K38" s="3746"/>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44"/>
      <c r="K39" s="3746"/>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44"/>
      <c r="K40" s="3747"/>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54">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55"/>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t="e">
        <f ca="1">C23</f>
        <v>#DIV/0!</v>
      </c>
      <c r="C2" s="3177"/>
      <c r="D2" s="3177"/>
      <c r="E2" s="3177"/>
      <c r="F2" s="3177"/>
      <c r="G2" s="3177"/>
    </row>
    <row r="3" spans="1:25" s="1897" customFormat="1" ht="18" customHeight="1">
      <c r="A3" s="1287" t="s">
        <v>1484</v>
      </c>
      <c r="B3" s="419" t="e">
        <f ca="1">ROUND(B2*10000/'数据-汇总表'!E3,0)</f>
        <v>#DIV/0!</v>
      </c>
      <c r="C3" s="3177"/>
      <c r="D3" s="3177"/>
      <c r="E3" s="3177"/>
      <c r="F3" s="3177"/>
      <c r="G3" s="3177"/>
    </row>
    <row r="4" spans="1:25" s="1897" customFormat="1" ht="18" customHeight="1">
      <c r="A4" s="420" t="s">
        <v>462</v>
      </c>
      <c r="B4" s="421" t="e">
        <f ca="1">ROUND(B2*10000/'数据-汇总表'!D3,0)</f>
        <v>#DIV/0!</v>
      </c>
      <c r="C4" s="3130"/>
      <c r="D4" s="3177"/>
      <c r="E4" s="3177"/>
      <c r="F4" s="3177"/>
      <c r="G4" s="3177"/>
    </row>
    <row r="5" spans="1:25" s="1897" customFormat="1" ht="18" customHeight="1" thickBot="1">
      <c r="A5" s="423"/>
      <c r="B5" s="424" t="e">
        <f ca="1">ROUND(B2/('数据-汇总表'!D3/666.67),0)</f>
        <v>#DIV/0!</v>
      </c>
      <c r="C5" s="425" t="s">
        <v>463</v>
      </c>
      <c r="D5" s="3177"/>
      <c r="E5" s="3177"/>
      <c r="F5" s="3177"/>
      <c r="G5" s="3177"/>
    </row>
    <row r="6" spans="1:25" s="2019" customFormat="1" ht="13.5" customHeight="1">
      <c r="A6" s="718"/>
      <c r="B6" s="719" t="s">
        <v>586</v>
      </c>
      <c r="C6" s="720" t="s">
        <v>587</v>
      </c>
      <c r="D6" s="720" t="s">
        <v>588</v>
      </c>
      <c r="E6" s="721" t="s">
        <v>589</v>
      </c>
      <c r="F6" s="721" t="s">
        <v>590</v>
      </c>
      <c r="G6" s="3176" t="s">
        <v>2726</v>
      </c>
    </row>
    <row r="7" spans="1:25" s="2019" customFormat="1" ht="13.5" customHeight="1">
      <c r="A7" s="2278">
        <v>1</v>
      </c>
      <c r="B7" s="722" t="s">
        <v>591</v>
      </c>
      <c r="C7" s="723">
        <f>C8+C9</f>
        <v>0</v>
      </c>
      <c r="D7" s="723"/>
      <c r="E7" s="724"/>
      <c r="F7" s="724"/>
      <c r="G7" s="2287"/>
    </row>
    <row r="8" spans="1:25" s="2019" customFormat="1" ht="13.5" customHeight="1">
      <c r="A8" s="2278" t="s">
        <v>2220</v>
      </c>
      <c r="B8" s="2281" t="s">
        <v>2222</v>
      </c>
      <c r="C8" s="3180">
        <f t="shared" ref="C8:C9" si="0">ROUND(D8*E8/10000,0)</f>
        <v>0</v>
      </c>
      <c r="D8" s="3180">
        <v>0</v>
      </c>
      <c r="E8" s="3181">
        <v>0</v>
      </c>
      <c r="F8" s="724"/>
      <c r="G8" s="725"/>
    </row>
    <row r="9" spans="1:25" s="2019" customFormat="1" ht="13.5" customHeight="1">
      <c r="A9" s="2278" t="s">
        <v>2221</v>
      </c>
      <c r="B9" s="2281" t="s">
        <v>2223</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2220</v>
      </c>
      <c r="B11" s="726" t="s">
        <v>592</v>
      </c>
      <c r="C11" s="727">
        <f>'数据-取费表'!B29</f>
        <v>0</v>
      </c>
      <c r="D11" s="728"/>
      <c r="E11" s="727"/>
      <c r="F11" s="729"/>
      <c r="G11" s="2286" t="s">
        <v>2231</v>
      </c>
    </row>
    <row r="12" spans="1:25" s="2019" customFormat="1" ht="13.5" customHeight="1">
      <c r="A12" s="2284" t="s">
        <v>2228</v>
      </c>
      <c r="B12" s="730" t="s">
        <v>593</v>
      </c>
      <c r="C12" s="731">
        <f>ROUND(D12*E12/10000,0)</f>
        <v>0</v>
      </c>
      <c r="D12" s="3180">
        <f>'数据-汇总表'!E5</f>
        <v>0</v>
      </c>
      <c r="E12" s="3180">
        <f>'数据-取费表'!B27</f>
        <v>0</v>
      </c>
      <c r="F12" s="729"/>
      <c r="G12" s="732"/>
    </row>
    <row r="13" spans="1:25" s="2019" customFormat="1" ht="13.5" customHeight="1">
      <c r="A13" s="2284" t="s">
        <v>2227</v>
      </c>
      <c r="B13" s="730" t="s">
        <v>594</v>
      </c>
      <c r="C13" s="731">
        <f>ROUND(D13*E13/10000,0)</f>
        <v>0</v>
      </c>
      <c r="D13" s="3180">
        <f>'数据-汇总表'!E6</f>
        <v>0</v>
      </c>
      <c r="E13" s="3180">
        <f>'数据-取费表'!B28</f>
        <v>0</v>
      </c>
      <c r="F13" s="729"/>
      <c r="G13" s="732"/>
    </row>
    <row r="14" spans="1:25" s="2019" customFormat="1" ht="13.5" customHeight="1">
      <c r="A14" s="2278" t="s">
        <v>2221</v>
      </c>
      <c r="B14" s="2283" t="s">
        <v>2224</v>
      </c>
      <c r="C14" s="3182">
        <f t="shared" ref="C14:C15" si="1">ROUND(D14*E14/10000,0)</f>
        <v>0</v>
      </c>
      <c r="D14" s="3180">
        <v>0</v>
      </c>
      <c r="E14" s="3181">
        <v>0</v>
      </c>
      <c r="F14" s="2282"/>
      <c r="G14" s="2285" t="s">
        <v>2229</v>
      </c>
    </row>
    <row r="15" spans="1:25" s="2019" customFormat="1" ht="13.5" customHeight="1">
      <c r="A15" s="2278" t="s">
        <v>2226</v>
      </c>
      <c r="B15" s="2283" t="s">
        <v>2225</v>
      </c>
      <c r="C15" s="3182">
        <f t="shared" si="1"/>
        <v>0</v>
      </c>
      <c r="D15" s="3180">
        <v>0</v>
      </c>
      <c r="E15" s="3181">
        <v>0</v>
      </c>
      <c r="F15" s="2282"/>
      <c r="G15" s="2285" t="s">
        <v>2230</v>
      </c>
    </row>
    <row r="16" spans="1:25" s="2020" customFormat="1" ht="48">
      <c r="A16" s="2278">
        <v>3</v>
      </c>
      <c r="B16" s="722" t="s">
        <v>597</v>
      </c>
      <c r="C16" s="3182">
        <f t="shared" ref="C16" si="2">ROUND(D16*E16/10000,0)</f>
        <v>0</v>
      </c>
      <c r="D16" s="3180">
        <v>0</v>
      </c>
      <c r="E16" s="3181">
        <v>0</v>
      </c>
      <c r="F16" s="734"/>
      <c r="G16" s="732" t="s">
        <v>2232</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t="e">
        <f ca="1">ROUND(C21*F22,0)</f>
        <v>#DIV/0!</v>
      </c>
      <c r="D22" s="733"/>
      <c r="E22" s="723"/>
      <c r="F22" s="739" t="e">
        <f>'数据-取费表'!AP16</f>
        <v>#DIV/0!</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t="e">
        <f ca="1">C22</f>
        <v>#DIV/0!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35" t="s">
        <v>505</v>
      </c>
      <c r="D4" s="3636"/>
      <c r="E4" s="3670" t="s">
        <v>506</v>
      </c>
      <c r="F4" s="3671"/>
      <c r="G4" s="3635" t="s">
        <v>507</v>
      </c>
      <c r="H4" s="3636"/>
      <c r="I4" s="3635" t="s">
        <v>508</v>
      </c>
      <c r="J4" s="3636"/>
      <c r="K4" s="825" t="s">
        <v>509</v>
      </c>
      <c r="L4" s="1970"/>
      <c r="M4" s="1971"/>
      <c r="N4" s="1971"/>
      <c r="O4" s="1971"/>
      <c r="P4" s="3637" t="s">
        <v>510</v>
      </c>
      <c r="Q4" s="3638"/>
      <c r="R4" s="3643" t="s">
        <v>506</v>
      </c>
      <c r="S4" s="3644"/>
      <c r="T4" s="3643" t="s">
        <v>507</v>
      </c>
      <c r="U4" s="3644"/>
      <c r="V4" s="3630" t="s">
        <v>508</v>
      </c>
      <c r="W4" s="3630"/>
      <c r="X4" s="1458"/>
      <c r="Y4" s="3643" t="s">
        <v>510</v>
      </c>
      <c r="Z4" s="3644"/>
      <c r="AA4" s="3632" t="s">
        <v>506</v>
      </c>
      <c r="AB4" s="3632" t="s">
        <v>507</v>
      </c>
      <c r="AC4" s="3632" t="s">
        <v>508</v>
      </c>
    </row>
    <row r="5" spans="1:29" ht="15">
      <c r="A5" s="492"/>
      <c r="B5" s="493"/>
      <c r="C5" s="3651" t="s">
        <v>2630</v>
      </c>
      <c r="D5" s="3652"/>
      <c r="E5" s="3672" t="s">
        <v>2631</v>
      </c>
      <c r="F5" s="3673"/>
      <c r="G5" s="3651" t="s">
        <v>2632</v>
      </c>
      <c r="H5" s="3652"/>
      <c r="I5" s="3651" t="s">
        <v>2633</v>
      </c>
      <c r="J5" s="3652"/>
      <c r="K5" s="826"/>
      <c r="L5" s="1970"/>
      <c r="M5" s="1971"/>
      <c r="N5" s="1971"/>
      <c r="O5" s="1971"/>
      <c r="P5" s="3639"/>
      <c r="Q5" s="3640"/>
      <c r="R5" s="3645"/>
      <c r="S5" s="3646"/>
      <c r="T5" s="3645"/>
      <c r="U5" s="3646"/>
      <c r="V5" s="3630"/>
      <c r="W5" s="3630"/>
      <c r="X5" s="1458"/>
      <c r="Y5" s="3645"/>
      <c r="Z5" s="3646"/>
      <c r="AA5" s="3633"/>
      <c r="AB5" s="3633"/>
      <c r="AC5" s="3633"/>
    </row>
    <row r="6" spans="1:29" ht="15.75" thickBot="1">
      <c r="A6" s="494"/>
      <c r="B6" s="495"/>
      <c r="C6" s="3649" t="s">
        <v>2634</v>
      </c>
      <c r="D6" s="3650"/>
      <c r="E6" s="3668" t="s">
        <v>2634</v>
      </c>
      <c r="F6" s="3669"/>
      <c r="G6" s="3649" t="s">
        <v>2634</v>
      </c>
      <c r="H6" s="3650"/>
      <c r="I6" s="3649" t="s">
        <v>2634</v>
      </c>
      <c r="J6" s="3650"/>
      <c r="K6" s="826" t="s">
        <v>511</v>
      </c>
      <c r="L6" s="1970"/>
      <c r="M6" s="1971"/>
      <c r="N6" s="1971"/>
      <c r="O6" s="1971"/>
      <c r="P6" s="3641"/>
      <c r="Q6" s="3642"/>
      <c r="R6" s="3645"/>
      <c r="S6" s="3646"/>
      <c r="T6" s="3647"/>
      <c r="U6" s="3648"/>
      <c r="V6" s="3630"/>
      <c r="W6" s="3630"/>
      <c r="X6" s="1458"/>
      <c r="Y6" s="3647"/>
      <c r="Z6" s="3648"/>
      <c r="AA6" s="3634"/>
      <c r="AB6" s="3634"/>
      <c r="AC6" s="3634"/>
    </row>
    <row r="7" spans="1:29" s="1167" customFormat="1" ht="15.75" thickBot="1">
      <c r="A7" s="2552"/>
      <c r="B7" s="2559" t="s">
        <v>512</v>
      </c>
      <c r="C7" s="496">
        <f>'数据-取费表'!B2</f>
        <v>43923</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59" t="s">
        <v>513</v>
      </c>
      <c r="Q7" s="3661"/>
      <c r="R7" s="1459" t="s">
        <v>13</v>
      </c>
      <c r="S7" s="1460">
        <f t="shared" ref="S7:S15" si="0">F7</f>
        <v>0</v>
      </c>
      <c r="T7" s="1459" t="s">
        <v>13</v>
      </c>
      <c r="U7" s="1460">
        <f t="shared" ref="U7:U15" si="1">H7</f>
        <v>0</v>
      </c>
      <c r="V7" s="1459" t="s">
        <v>13</v>
      </c>
      <c r="W7" s="1460">
        <f t="shared" ref="W7:W15"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59" t="s">
        <v>516</v>
      </c>
      <c r="Q8" s="3660"/>
      <c r="R8" s="1459" t="s">
        <v>13</v>
      </c>
      <c r="S8" s="1460">
        <f t="shared" si="0"/>
        <v>0</v>
      </c>
      <c r="T8" s="1459" t="s">
        <v>13</v>
      </c>
      <c r="U8" s="1460">
        <f t="shared" si="1"/>
        <v>0</v>
      </c>
      <c r="V8" s="1459" t="s">
        <v>13</v>
      </c>
      <c r="W8" s="1460">
        <f t="shared" si="2"/>
        <v>0</v>
      </c>
      <c r="X8" s="1461"/>
      <c r="Y8" s="3659" t="s">
        <v>516</v>
      </c>
      <c r="Z8" s="3660"/>
      <c r="AA8" s="1462" t="e">
        <f t="shared" ref="AA8:AA46" si="3">D8/F8</f>
        <v>#DIV/0!</v>
      </c>
      <c r="AB8" s="1462" t="e">
        <f t="shared" ref="AB8:AB46" si="4">D8/H8</f>
        <v>#DIV/0!</v>
      </c>
      <c r="AC8" s="1462" t="e">
        <f t="shared" ref="AC8:AC46" si="5">D8/J8</f>
        <v>#DIV/0!</v>
      </c>
    </row>
    <row r="9" spans="1:29" s="1167" customFormat="1" ht="15">
      <c r="A9" s="2554"/>
      <c r="B9" s="2561" t="s">
        <v>2472</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29" t="s">
        <v>518</v>
      </c>
      <c r="Q9" s="1098" t="str">
        <f t="shared" ref="Q9:Q15" si="6">B9</f>
        <v>用途</v>
      </c>
      <c r="R9" s="1459" t="s">
        <v>8</v>
      </c>
      <c r="S9" s="1460">
        <f t="shared" si="0"/>
        <v>100</v>
      </c>
      <c r="T9" s="1459" t="s">
        <v>8</v>
      </c>
      <c r="U9" s="1460">
        <f t="shared" si="1"/>
        <v>100</v>
      </c>
      <c r="V9" s="1459" t="s">
        <v>8</v>
      </c>
      <c r="W9" s="1460">
        <f t="shared" si="2"/>
        <v>100</v>
      </c>
      <c r="X9" s="1461"/>
      <c r="Y9" s="3573"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6"/>
      <c r="B11" s="2560" t="s">
        <v>2474</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29"/>
      <c r="Q11" s="1098" t="str">
        <f t="shared" si="6"/>
        <v>容积率</v>
      </c>
      <c r="R11" s="1459" t="s">
        <v>11</v>
      </c>
      <c r="S11" s="1460" t="e">
        <f t="shared" si="0"/>
        <v>#N/A</v>
      </c>
      <c r="T11" s="1459" t="s">
        <v>11</v>
      </c>
      <c r="U11" s="1460" t="e">
        <f t="shared" si="1"/>
        <v>#N/A</v>
      </c>
      <c r="V11" s="1459" t="s">
        <v>11</v>
      </c>
      <c r="W11" s="1460" t="e">
        <f t="shared" si="2"/>
        <v>#N/A</v>
      </c>
      <c r="X11" s="1461"/>
      <c r="Y11" s="3573"/>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29"/>
      <c r="Q12" s="1098">
        <f t="shared" si="6"/>
        <v>111</v>
      </c>
      <c r="R12" s="1459" t="s">
        <v>11</v>
      </c>
      <c r="S12" s="1460">
        <f t="shared" si="0"/>
        <v>100</v>
      </c>
      <c r="T12" s="1459" t="s">
        <v>11</v>
      </c>
      <c r="U12" s="1460">
        <f t="shared" si="1"/>
        <v>100</v>
      </c>
      <c r="V12" s="1459" t="s">
        <v>11</v>
      </c>
      <c r="W12" s="1460">
        <f t="shared" si="2"/>
        <v>100</v>
      </c>
      <c r="X12" s="1461"/>
      <c r="Y12" s="3573"/>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29"/>
      <c r="Q13" s="1098">
        <f t="shared" si="6"/>
        <v>111</v>
      </c>
      <c r="R13" s="1459" t="s">
        <v>11</v>
      </c>
      <c r="S13" s="1460">
        <f t="shared" si="0"/>
        <v>100</v>
      </c>
      <c r="T13" s="1459" t="s">
        <v>11</v>
      </c>
      <c r="U13" s="1460">
        <f t="shared" si="1"/>
        <v>100</v>
      </c>
      <c r="V13" s="1459" t="s">
        <v>11</v>
      </c>
      <c r="W13" s="1460">
        <f t="shared" si="2"/>
        <v>100</v>
      </c>
      <c r="X13" s="1461"/>
      <c r="Y13" s="3573"/>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29"/>
      <c r="Q14" s="1098">
        <f t="shared" si="6"/>
        <v>111</v>
      </c>
      <c r="R14" s="1459" t="s">
        <v>11</v>
      </c>
      <c r="S14" s="1460">
        <f t="shared" si="0"/>
        <v>100</v>
      </c>
      <c r="T14" s="1459" t="s">
        <v>11</v>
      </c>
      <c r="U14" s="1460">
        <f t="shared" si="1"/>
        <v>100</v>
      </c>
      <c r="V14" s="1459" t="s">
        <v>11</v>
      </c>
      <c r="W14" s="1460">
        <f t="shared" si="2"/>
        <v>100</v>
      </c>
      <c r="X14" s="1461"/>
      <c r="Y14" s="3573"/>
      <c r="Z14" s="1097">
        <f t="shared" si="7"/>
        <v>111</v>
      </c>
      <c r="AA14" s="1462">
        <f t="shared" si="3"/>
        <v>1</v>
      </c>
      <c r="AB14" s="1462">
        <f t="shared" si="4"/>
        <v>1</v>
      </c>
      <c r="AC14" s="1462">
        <f t="shared" si="5"/>
        <v>1</v>
      </c>
    </row>
    <row r="15" spans="1:29" ht="99.75">
      <c r="A15" s="2550"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62" t="s">
        <v>523</v>
      </c>
      <c r="Q15" s="1463" t="str">
        <f t="shared" si="6"/>
        <v>居住社区成熟度</v>
      </c>
      <c r="R15" s="1464" t="s">
        <v>11</v>
      </c>
      <c r="S15" s="1465">
        <f t="shared" si="0"/>
        <v>100</v>
      </c>
      <c r="T15" s="1464" t="s">
        <v>11</v>
      </c>
      <c r="U15" s="1465">
        <f t="shared" si="1"/>
        <v>100</v>
      </c>
      <c r="V15" s="1464" t="s">
        <v>11</v>
      </c>
      <c r="W15" s="1465">
        <f t="shared" si="2"/>
        <v>100</v>
      </c>
      <c r="X15" s="1458"/>
      <c r="Y15" s="3662"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63"/>
      <c r="Q16" s="1463"/>
      <c r="R16" s="1464"/>
      <c r="S16" s="1465"/>
      <c r="T16" s="1464"/>
      <c r="U16" s="1465"/>
      <c r="V16" s="1464"/>
      <c r="W16" s="1465"/>
      <c r="X16" s="1458"/>
      <c r="Y16" s="3663"/>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63"/>
      <c r="Q17" s="1463" t="str">
        <f>B17</f>
        <v>交通便捷度</v>
      </c>
      <c r="R17" s="1464" t="s">
        <v>11</v>
      </c>
      <c r="S17" s="1465">
        <f>F17</f>
        <v>100</v>
      </c>
      <c r="T17" s="1464" t="s">
        <v>11</v>
      </c>
      <c r="U17" s="1465">
        <f>H17</f>
        <v>100</v>
      </c>
      <c r="V17" s="1464" t="s">
        <v>11</v>
      </c>
      <c r="W17" s="1465">
        <f>J17</f>
        <v>100</v>
      </c>
      <c r="X17" s="1458"/>
      <c r="Y17" s="3663"/>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63"/>
      <c r="Q18" s="1463"/>
      <c r="R18" s="1464"/>
      <c r="S18" s="1465"/>
      <c r="T18" s="1464"/>
      <c r="U18" s="1465"/>
      <c r="V18" s="1464"/>
      <c r="W18" s="1465"/>
      <c r="X18" s="1458"/>
      <c r="Y18" s="3663"/>
      <c r="Z18" s="1466"/>
      <c r="AA18" s="1467">
        <v>1</v>
      </c>
      <c r="AB18" s="1467">
        <v>1</v>
      </c>
      <c r="AC18" s="1467">
        <v>1</v>
      </c>
    </row>
    <row r="19" spans="1:29" ht="42.75">
      <c r="A19" s="509"/>
      <c r="B19" s="2367"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63"/>
      <c r="Q19" s="1463" t="str">
        <f>B19</f>
        <v>公共配套设施</v>
      </c>
      <c r="R19" s="1464" t="s">
        <v>11</v>
      </c>
      <c r="S19" s="1465">
        <f>F19</f>
        <v>100</v>
      </c>
      <c r="T19" s="1464" t="s">
        <v>11</v>
      </c>
      <c r="U19" s="1465">
        <f>H19</f>
        <v>100</v>
      </c>
      <c r="V19" s="1464" t="s">
        <v>11</v>
      </c>
      <c r="W19" s="1465">
        <f>J19</f>
        <v>100</v>
      </c>
      <c r="X19" s="1458"/>
      <c r="Y19" s="3663"/>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63"/>
      <c r="Q20" s="1463"/>
      <c r="R20" s="1464"/>
      <c r="S20" s="1465"/>
      <c r="T20" s="1464"/>
      <c r="U20" s="1465"/>
      <c r="V20" s="1464"/>
      <c r="W20" s="1465"/>
      <c r="X20" s="1458"/>
      <c r="Y20" s="3663"/>
      <c r="Z20" s="1466"/>
      <c r="AA20" s="1467">
        <v>1</v>
      </c>
      <c r="AB20" s="1467">
        <v>1</v>
      </c>
      <c r="AC20" s="1467">
        <v>1</v>
      </c>
    </row>
    <row r="21" spans="1:29" ht="28.5">
      <c r="A21" s="509"/>
      <c r="B21" s="2360"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63"/>
      <c r="Q21" s="2352" t="str">
        <f>B21</f>
        <v>基础设施水平</v>
      </c>
      <c r="R21" s="1464" t="s">
        <v>11</v>
      </c>
      <c r="S21" s="1465">
        <f>F21</f>
        <v>100</v>
      </c>
      <c r="T21" s="1464" t="s">
        <v>11</v>
      </c>
      <c r="U21" s="1465">
        <f>H21</f>
        <v>100</v>
      </c>
      <c r="V21" s="1464" t="s">
        <v>11</v>
      </c>
      <c r="W21" s="1465">
        <f>J21</f>
        <v>100</v>
      </c>
      <c r="X21" s="2354"/>
      <c r="Y21" s="3663"/>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63"/>
      <c r="Q22" s="2352"/>
      <c r="R22" s="1464"/>
      <c r="S22" s="1465"/>
      <c r="T22" s="1464"/>
      <c r="U22" s="1465"/>
      <c r="V22" s="1464"/>
      <c r="W22" s="1465"/>
      <c r="X22" s="2354"/>
      <c r="Y22" s="3663"/>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63"/>
      <c r="Q23" s="1463" t="str">
        <f>B23</f>
        <v>自然及人文环境</v>
      </c>
      <c r="R23" s="1464" t="s">
        <v>11</v>
      </c>
      <c r="S23" s="1465">
        <f>F23</f>
        <v>100</v>
      </c>
      <c r="T23" s="1464" t="s">
        <v>11</v>
      </c>
      <c r="U23" s="1465">
        <f>H23</f>
        <v>100</v>
      </c>
      <c r="V23" s="1464" t="s">
        <v>11</v>
      </c>
      <c r="W23" s="1465">
        <f>J23</f>
        <v>100</v>
      </c>
      <c r="X23" s="1458"/>
      <c r="Y23" s="3663"/>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63"/>
      <c r="Q24" s="1463"/>
      <c r="R24" s="1464"/>
      <c r="S24" s="1465"/>
      <c r="T24" s="1464"/>
      <c r="U24" s="1465"/>
      <c r="V24" s="1464"/>
      <c r="W24" s="1465"/>
      <c r="X24" s="1458"/>
      <c r="Y24" s="3663"/>
      <c r="Z24" s="1466"/>
      <c r="AA24" s="1467">
        <v>1</v>
      </c>
      <c r="AB24" s="1467">
        <v>1</v>
      </c>
      <c r="AC24" s="1467">
        <v>1</v>
      </c>
    </row>
    <row r="25" spans="1:29" ht="15">
      <c r="A25" s="509"/>
      <c r="B25" s="1765" t="s">
        <v>2047</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63"/>
      <c r="Q25" s="1463" t="str">
        <f t="shared" ref="Q25:Q46" si="11">B25</f>
        <v>楼层-1</v>
      </c>
      <c r="R25" s="1464" t="s">
        <v>11</v>
      </c>
      <c r="S25" s="1465">
        <f>F25</f>
        <v>100</v>
      </c>
      <c r="T25" s="1464" t="s">
        <v>11</v>
      </c>
      <c r="U25" s="1465">
        <f>H25</f>
        <v>100</v>
      </c>
      <c r="V25" s="1464" t="s">
        <v>11</v>
      </c>
      <c r="W25" s="1465">
        <f>J25</f>
        <v>100</v>
      </c>
      <c r="X25" s="1458"/>
      <c r="Y25" s="3663"/>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63"/>
      <c r="Q26" s="1463" t="str">
        <f t="shared" si="11"/>
        <v>朝向</v>
      </c>
      <c r="R26" s="1464" t="s">
        <v>11</v>
      </c>
      <c r="S26" s="1465">
        <f>F26</f>
        <v>100</v>
      </c>
      <c r="T26" s="1464" t="s">
        <v>11</v>
      </c>
      <c r="U26" s="1465">
        <f>H26</f>
        <v>100</v>
      </c>
      <c r="V26" s="1464" t="s">
        <v>11</v>
      </c>
      <c r="W26" s="1465">
        <f>J26</f>
        <v>100</v>
      </c>
      <c r="X26" s="1458"/>
      <c r="Y26" s="3663"/>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63"/>
      <c r="Q27" s="1098" t="str">
        <f t="shared" si="11"/>
        <v>道路级别</v>
      </c>
      <c r="R27" s="1459" t="s">
        <v>11</v>
      </c>
      <c r="S27" s="1460">
        <f>F27</f>
        <v>100</v>
      </c>
      <c r="T27" s="1459" t="s">
        <v>11</v>
      </c>
      <c r="U27" s="1460">
        <f>H27</f>
        <v>100</v>
      </c>
      <c r="V27" s="1459" t="s">
        <v>11</v>
      </c>
      <c r="W27" s="1460">
        <f>J27</f>
        <v>100</v>
      </c>
      <c r="X27" s="1461"/>
      <c r="Y27" s="3663"/>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63"/>
      <c r="Q28" s="1463">
        <f t="shared" si="11"/>
        <v>111</v>
      </c>
      <c r="R28" s="1464" t="s">
        <v>11</v>
      </c>
      <c r="S28" s="1465">
        <f t="shared" ref="S28:S46" si="12">F28</f>
        <v>100</v>
      </c>
      <c r="T28" s="1464" t="s">
        <v>11</v>
      </c>
      <c r="U28" s="1465">
        <f t="shared" ref="U28:U46" si="13">H28</f>
        <v>100</v>
      </c>
      <c r="V28" s="1464" t="s">
        <v>11</v>
      </c>
      <c r="W28" s="1465">
        <f t="shared" ref="W28:W46" si="14">J28</f>
        <v>100</v>
      </c>
      <c r="X28" s="1458"/>
      <c r="Y28" s="3663"/>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63"/>
      <c r="Q29" s="1463">
        <f t="shared" si="11"/>
        <v>111</v>
      </c>
      <c r="R29" s="1464" t="s">
        <v>11</v>
      </c>
      <c r="S29" s="1465">
        <f t="shared" si="12"/>
        <v>100</v>
      </c>
      <c r="T29" s="1464" t="s">
        <v>11</v>
      </c>
      <c r="U29" s="1465">
        <f t="shared" si="13"/>
        <v>100</v>
      </c>
      <c r="V29" s="1464" t="s">
        <v>11</v>
      </c>
      <c r="W29" s="1465">
        <f t="shared" si="14"/>
        <v>100</v>
      </c>
      <c r="X29" s="1458"/>
      <c r="Y29" s="3663"/>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63"/>
      <c r="Q30" s="1463">
        <f t="shared" si="11"/>
        <v>111</v>
      </c>
      <c r="R30" s="1464" t="s">
        <v>11</v>
      </c>
      <c r="S30" s="1465">
        <f t="shared" si="12"/>
        <v>100</v>
      </c>
      <c r="T30" s="1464" t="s">
        <v>11</v>
      </c>
      <c r="U30" s="1465">
        <f t="shared" si="13"/>
        <v>100</v>
      </c>
      <c r="V30" s="1464" t="s">
        <v>11</v>
      </c>
      <c r="W30" s="1465">
        <f t="shared" si="14"/>
        <v>100</v>
      </c>
      <c r="X30" s="1458"/>
      <c r="Y30" s="3663"/>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63"/>
      <c r="Q31" s="1463">
        <f t="shared" si="11"/>
        <v>111</v>
      </c>
      <c r="R31" s="1464" t="s">
        <v>11</v>
      </c>
      <c r="S31" s="1465">
        <f t="shared" si="12"/>
        <v>100</v>
      </c>
      <c r="T31" s="1464" t="s">
        <v>11</v>
      </c>
      <c r="U31" s="1465">
        <f t="shared" si="13"/>
        <v>100</v>
      </c>
      <c r="V31" s="1464" t="s">
        <v>11</v>
      </c>
      <c r="W31" s="1465">
        <f t="shared" si="14"/>
        <v>100</v>
      </c>
      <c r="X31" s="1458"/>
      <c r="Y31" s="3663"/>
      <c r="Z31" s="1466">
        <f t="shared" si="15"/>
        <v>111</v>
      </c>
      <c r="AA31" s="1467">
        <f t="shared" si="3"/>
        <v>1</v>
      </c>
      <c r="AB31" s="1467">
        <f t="shared" si="4"/>
        <v>1</v>
      </c>
      <c r="AC31" s="1467">
        <f t="shared" si="5"/>
        <v>1</v>
      </c>
    </row>
    <row r="32" spans="1:29" ht="15">
      <c r="A32" s="2547" t="s">
        <v>2471</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64" t="s">
        <v>533</v>
      </c>
      <c r="Q32" s="1463" t="str">
        <f t="shared" si="11"/>
        <v>建筑类型</v>
      </c>
      <c r="R32" s="1464" t="s">
        <v>11</v>
      </c>
      <c r="S32" s="1465">
        <f t="shared" si="12"/>
        <v>100</v>
      </c>
      <c r="T32" s="1464" t="s">
        <v>11</v>
      </c>
      <c r="U32" s="1465">
        <f t="shared" si="13"/>
        <v>100</v>
      </c>
      <c r="V32" s="1464" t="s">
        <v>11</v>
      </c>
      <c r="W32" s="1465">
        <f t="shared" si="14"/>
        <v>100</v>
      </c>
      <c r="X32" s="1458"/>
      <c r="Y32" s="3665"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65"/>
      <c r="Q33" s="1492" t="str">
        <f t="shared" si="11"/>
        <v>项目建筑规模</v>
      </c>
      <c r="R33" s="1468" t="s">
        <v>11</v>
      </c>
      <c r="S33" s="1469" t="e">
        <f t="shared" si="12"/>
        <v>#N/A</v>
      </c>
      <c r="T33" s="1468" t="s">
        <v>11</v>
      </c>
      <c r="U33" s="1469" t="e">
        <f t="shared" si="13"/>
        <v>#N/A</v>
      </c>
      <c r="V33" s="1468" t="s">
        <v>11</v>
      </c>
      <c r="W33" s="1469" t="e">
        <f t="shared" si="14"/>
        <v>#N/A</v>
      </c>
      <c r="X33" s="1470"/>
      <c r="Y33" s="3665"/>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65"/>
      <c r="Q34" s="1463" t="str">
        <f t="shared" si="11"/>
        <v>建筑结构</v>
      </c>
      <c r="R34" s="1464" t="s">
        <v>11</v>
      </c>
      <c r="S34" s="1465">
        <f t="shared" si="12"/>
        <v>100</v>
      </c>
      <c r="T34" s="1464" t="s">
        <v>11</v>
      </c>
      <c r="U34" s="1465">
        <f t="shared" si="13"/>
        <v>100</v>
      </c>
      <c r="V34" s="1464" t="s">
        <v>11</v>
      </c>
      <c r="W34" s="1465">
        <f t="shared" si="14"/>
        <v>100</v>
      </c>
      <c r="X34" s="1458"/>
      <c r="Y34" s="3665"/>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65"/>
      <c r="Q35" s="1463" t="str">
        <f t="shared" si="11"/>
        <v>建筑品质</v>
      </c>
      <c r="R35" s="1464" t="s">
        <v>11</v>
      </c>
      <c r="S35" s="1465">
        <f t="shared" si="12"/>
        <v>100</v>
      </c>
      <c r="T35" s="1464" t="s">
        <v>11</v>
      </c>
      <c r="U35" s="1465">
        <f t="shared" si="13"/>
        <v>100</v>
      </c>
      <c r="V35" s="1464" t="s">
        <v>11</v>
      </c>
      <c r="W35" s="1465">
        <f t="shared" si="14"/>
        <v>100</v>
      </c>
      <c r="X35" s="1458"/>
      <c r="Y35" s="3665"/>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65"/>
      <c r="Q36" s="1463" t="str">
        <f t="shared" si="11"/>
        <v>公共部分装修</v>
      </c>
      <c r="R36" s="1464" t="s">
        <v>11</v>
      </c>
      <c r="S36" s="1465">
        <f t="shared" si="12"/>
        <v>100</v>
      </c>
      <c r="T36" s="1464" t="s">
        <v>11</v>
      </c>
      <c r="U36" s="1465">
        <f t="shared" si="13"/>
        <v>100</v>
      </c>
      <c r="V36" s="1464" t="s">
        <v>11</v>
      </c>
      <c r="W36" s="1465">
        <f t="shared" si="14"/>
        <v>100</v>
      </c>
      <c r="X36" s="1458"/>
      <c r="Y36" s="3665"/>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65"/>
      <c r="Q37" s="1098" t="str">
        <f t="shared" si="11"/>
        <v>成新度</v>
      </c>
      <c r="R37" s="1459" t="s">
        <v>11</v>
      </c>
      <c r="S37" s="1460" t="e">
        <f t="shared" si="12"/>
        <v>#N/A</v>
      </c>
      <c r="T37" s="1459" t="s">
        <v>11</v>
      </c>
      <c r="U37" s="1460" t="e">
        <f t="shared" si="13"/>
        <v>#N/A</v>
      </c>
      <c r="V37" s="1459" t="s">
        <v>11</v>
      </c>
      <c r="W37" s="1460" t="e">
        <f t="shared" si="14"/>
        <v>#N/A</v>
      </c>
      <c r="X37" s="1461"/>
      <c r="Y37" s="3665"/>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65" t="s">
        <v>533</v>
      </c>
      <c r="Q38" s="1463" t="str">
        <f t="shared" si="11"/>
        <v>物业管理</v>
      </c>
      <c r="R38" s="1464" t="s">
        <v>11</v>
      </c>
      <c r="S38" s="1465">
        <f t="shared" si="12"/>
        <v>100</v>
      </c>
      <c r="T38" s="1464" t="s">
        <v>11</v>
      </c>
      <c r="U38" s="1465">
        <f t="shared" si="13"/>
        <v>100</v>
      </c>
      <c r="V38" s="1464" t="s">
        <v>11</v>
      </c>
      <c r="W38" s="1465">
        <f t="shared" si="14"/>
        <v>100</v>
      </c>
      <c r="X38" s="1458"/>
      <c r="Y38" s="3665" t="s">
        <v>533</v>
      </c>
      <c r="Z38" s="1466" t="str">
        <f t="shared" si="15"/>
        <v>物业管理</v>
      </c>
      <c r="AA38" s="1467">
        <f t="shared" si="3"/>
        <v>1</v>
      </c>
      <c r="AB38" s="1467">
        <f t="shared" si="4"/>
        <v>1</v>
      </c>
      <c r="AC38" s="1467">
        <f t="shared" si="5"/>
        <v>1</v>
      </c>
    </row>
    <row r="39" spans="1:29" ht="15">
      <c r="A39" s="571"/>
      <c r="B39" s="1765"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65"/>
      <c r="Q39" s="1463" t="str">
        <f t="shared" si="11"/>
        <v>市政基础设施</v>
      </c>
      <c r="R39" s="1464" t="s">
        <v>11</v>
      </c>
      <c r="S39" s="1465">
        <f t="shared" si="12"/>
        <v>100</v>
      </c>
      <c r="T39" s="1464" t="s">
        <v>11</v>
      </c>
      <c r="U39" s="1465">
        <f t="shared" si="13"/>
        <v>100</v>
      </c>
      <c r="V39" s="1464" t="s">
        <v>11</v>
      </c>
      <c r="W39" s="1465">
        <f t="shared" si="14"/>
        <v>100</v>
      </c>
      <c r="X39" s="1458"/>
      <c r="Y39" s="3665"/>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65"/>
      <c r="Q40" s="1463" t="str">
        <f t="shared" si="11"/>
        <v>房型</v>
      </c>
      <c r="R40" s="1464" t="s">
        <v>11</v>
      </c>
      <c r="S40" s="1465">
        <f t="shared" si="12"/>
        <v>100</v>
      </c>
      <c r="T40" s="1464" t="s">
        <v>11</v>
      </c>
      <c r="U40" s="1465">
        <f t="shared" si="13"/>
        <v>100</v>
      </c>
      <c r="V40" s="1464" t="s">
        <v>11</v>
      </c>
      <c r="W40" s="1465">
        <f t="shared" si="14"/>
        <v>100</v>
      </c>
      <c r="X40" s="1458"/>
      <c r="Y40" s="3665"/>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65"/>
      <c r="Q41" s="1492" t="str">
        <f t="shared" si="11"/>
        <v>单套/主力户型建筑面积</v>
      </c>
      <c r="R41" s="1468" t="s">
        <v>11</v>
      </c>
      <c r="S41" s="1469">
        <f t="shared" si="12"/>
        <v>100</v>
      </c>
      <c r="T41" s="1468" t="s">
        <v>11</v>
      </c>
      <c r="U41" s="1469">
        <f t="shared" si="13"/>
        <v>100</v>
      </c>
      <c r="V41" s="1468" t="s">
        <v>11</v>
      </c>
      <c r="W41" s="1469">
        <f t="shared" si="14"/>
        <v>100</v>
      </c>
      <c r="X41" s="1470"/>
      <c r="Y41" s="3665"/>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65"/>
      <c r="Q42" s="1463" t="str">
        <f t="shared" si="11"/>
        <v>内部装修</v>
      </c>
      <c r="R42" s="1464" t="s">
        <v>11</v>
      </c>
      <c r="S42" s="1465">
        <f t="shared" si="12"/>
        <v>100</v>
      </c>
      <c r="T42" s="1464" t="s">
        <v>11</v>
      </c>
      <c r="U42" s="1465">
        <f t="shared" si="13"/>
        <v>100</v>
      </c>
      <c r="V42" s="1464" t="s">
        <v>11</v>
      </c>
      <c r="W42" s="1465">
        <f t="shared" si="14"/>
        <v>100</v>
      </c>
      <c r="X42" s="1458"/>
      <c r="Y42" s="3665"/>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65"/>
      <c r="Q43" s="1463" t="str">
        <f t="shared" si="11"/>
        <v>内部装修维护情况</v>
      </c>
      <c r="R43" s="1464" t="s">
        <v>11</v>
      </c>
      <c r="S43" s="1465">
        <f t="shared" si="12"/>
        <v>100</v>
      </c>
      <c r="T43" s="1464" t="s">
        <v>11</v>
      </c>
      <c r="U43" s="1465">
        <f t="shared" si="13"/>
        <v>100</v>
      </c>
      <c r="V43" s="1464" t="s">
        <v>11</v>
      </c>
      <c r="W43" s="1465">
        <f t="shared" si="14"/>
        <v>100</v>
      </c>
      <c r="X43" s="1458"/>
      <c r="Y43" s="3665"/>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65"/>
      <c r="Q44" s="1098">
        <f t="shared" si="11"/>
        <v>111</v>
      </c>
      <c r="R44" s="1459" t="s">
        <v>11</v>
      </c>
      <c r="S44" s="1460">
        <f t="shared" si="12"/>
        <v>100</v>
      </c>
      <c r="T44" s="1459" t="s">
        <v>11</v>
      </c>
      <c r="U44" s="1460">
        <f t="shared" si="13"/>
        <v>100</v>
      </c>
      <c r="V44" s="1459" t="s">
        <v>11</v>
      </c>
      <c r="W44" s="1460">
        <f t="shared" si="14"/>
        <v>100</v>
      </c>
      <c r="X44" s="1461"/>
      <c r="Y44" s="3665"/>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65"/>
      <c r="Q45" s="1463">
        <f t="shared" si="11"/>
        <v>111</v>
      </c>
      <c r="R45" s="1464" t="s">
        <v>11</v>
      </c>
      <c r="S45" s="1465">
        <f t="shared" si="12"/>
        <v>100</v>
      </c>
      <c r="T45" s="1464" t="s">
        <v>11</v>
      </c>
      <c r="U45" s="1465">
        <f t="shared" si="13"/>
        <v>100</v>
      </c>
      <c r="V45" s="1464" t="s">
        <v>11</v>
      </c>
      <c r="W45" s="1465">
        <f t="shared" si="14"/>
        <v>100</v>
      </c>
      <c r="X45" s="1458"/>
      <c r="Y45" s="3665"/>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8"/>
      <c r="Q46" s="1463">
        <f t="shared" si="11"/>
        <v>111</v>
      </c>
      <c r="R46" s="1464" t="s">
        <v>10</v>
      </c>
      <c r="S46" s="1465">
        <f t="shared" si="12"/>
        <v>100</v>
      </c>
      <c r="T46" s="1464" t="s">
        <v>10</v>
      </c>
      <c r="U46" s="1465">
        <f t="shared" si="13"/>
        <v>100</v>
      </c>
      <c r="V46" s="1464" t="s">
        <v>10</v>
      </c>
      <c r="W46" s="1465">
        <f t="shared" si="14"/>
        <v>100</v>
      </c>
      <c r="X46" s="1458"/>
      <c r="Y46" s="3758"/>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29" t="str">
        <f>A47</f>
        <v>成交单价（元/平方米）</v>
      </c>
      <c r="Q47" s="3629"/>
      <c r="R47" s="3757">
        <f>E47</f>
        <v>0</v>
      </c>
      <c r="S47" s="3757"/>
      <c r="T47" s="3757">
        <f>G47</f>
        <v>0</v>
      </c>
      <c r="U47" s="3757"/>
      <c r="V47" s="3757">
        <f>I47</f>
        <v>0</v>
      </c>
      <c r="W47" s="3757"/>
      <c r="X47" s="1453"/>
      <c r="Y47" s="1472"/>
      <c r="Z47" s="1453"/>
      <c r="AA47" s="1453"/>
      <c r="AB47" s="1453"/>
      <c r="AC47" s="1453"/>
    </row>
    <row r="48" spans="1:29" ht="15.75" thickBot="1">
      <c r="A48" s="592" t="s">
        <v>2476</v>
      </c>
      <c r="B48" s="860"/>
      <c r="C48" s="2399" t="e">
        <f>R49</f>
        <v>#DIV/0!</v>
      </c>
      <c r="D48" s="2923" t="s">
        <v>2701</v>
      </c>
      <c r="E48" s="2400" t="e">
        <f>R48</f>
        <v>#DIV/0!</v>
      </c>
      <c r="F48" s="2924"/>
      <c r="G48" s="2399" t="e">
        <f>T48</f>
        <v>#DIV/0!</v>
      </c>
      <c r="H48" s="2924"/>
      <c r="I48" s="2400" t="e">
        <f>V48</f>
        <v>#DIV/0!</v>
      </c>
      <c r="J48" s="2924"/>
      <c r="K48" s="2932">
        <f>F48+H48+J48</f>
        <v>0</v>
      </c>
      <c r="L48" s="1981"/>
      <c r="M48" s="1982"/>
      <c r="N48" s="1982"/>
      <c r="O48" s="1982"/>
      <c r="P48" s="3629" t="str">
        <f>A48</f>
        <v>比较价格（元/平方米）</v>
      </c>
      <c r="Q48" s="3629"/>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1453"/>
      <c r="Y48" s="1453"/>
      <c r="Z48" s="1453"/>
      <c r="AA48" s="1453"/>
      <c r="AB48" s="1453"/>
      <c r="AC48" s="1453"/>
    </row>
    <row r="49" spans="1:29" ht="15.75" thickBot="1">
      <c r="A49" s="596" t="s">
        <v>2636</v>
      </c>
      <c r="B49" s="597"/>
      <c r="C49" s="2401" t="e">
        <f>R49</f>
        <v>#DIV/0!</v>
      </c>
      <c r="D49" s="2401"/>
      <c r="E49" s="2401"/>
      <c r="F49" s="2401"/>
      <c r="G49" s="2401"/>
      <c r="H49" s="2401"/>
      <c r="I49" s="2401"/>
      <c r="J49" s="2401"/>
      <c r="K49" s="1494"/>
      <c r="L49" s="1981"/>
      <c r="M49" s="1982"/>
      <c r="N49" s="1982"/>
      <c r="O49" s="1982"/>
      <c r="P49" s="3666" t="str">
        <f>A49</f>
        <v>估价对象XX用房的比较价格（楼面单价，元/平方米）</v>
      </c>
      <c r="Q49" s="3667"/>
      <c r="R49" s="3756" t="e">
        <f>IF(F1="售价",ROUND(IF(D48="简单平均",AVERAGE(R48:V48),R48*F48+T48*H48+V48*J48),0),ROUND(IF(D48="简单平均",AVERAGE(R48:V48),R48*F48+T48*H48+V48*J48),1))</f>
        <v>#DIV/0!</v>
      </c>
      <c r="S49" s="3756"/>
      <c r="T49" s="3756"/>
      <c r="U49" s="3756"/>
      <c r="V49" s="3756"/>
      <c r="W49" s="3756"/>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2274</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2275</v>
      </c>
      <c r="C82" s="2365" t="s">
        <v>2276</v>
      </c>
      <c r="D82" s="2365" t="s">
        <v>2277</v>
      </c>
      <c r="E82" s="2365" t="s">
        <v>2278</v>
      </c>
      <c r="F82" s="2365" t="s">
        <v>2279</v>
      </c>
      <c r="G82" s="2365" t="s">
        <v>2280</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2048</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2273</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2049</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2050</v>
      </c>
      <c r="C137" s="1789"/>
      <c r="D137" s="1789"/>
      <c r="E137" s="1789"/>
      <c r="F137" s="1789"/>
      <c r="G137" s="1790"/>
      <c r="H137" s="1791"/>
      <c r="I137" s="1792" t="s">
        <v>2051</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2052</v>
      </c>
      <c r="D138" s="1795" t="s">
        <v>2053</v>
      </c>
      <c r="E138" s="1796" t="s">
        <v>2054</v>
      </c>
      <c r="F138" s="1797" t="s">
        <v>2055</v>
      </c>
      <c r="G138" s="1795" t="s">
        <v>2056</v>
      </c>
      <c r="H138" s="1798" t="s">
        <v>2057</v>
      </c>
      <c r="I138" s="1799"/>
      <c r="J138" s="1795" t="s">
        <v>2058</v>
      </c>
      <c r="K138" s="1798" t="s">
        <v>2059</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2060</v>
      </c>
      <c r="E139" s="1769">
        <v>100</v>
      </c>
      <c r="F139" s="1770">
        <v>102.5</v>
      </c>
      <c r="G139" s="1800" t="s">
        <v>2061</v>
      </c>
      <c r="H139" s="1771">
        <v>105</v>
      </c>
      <c r="I139" s="1801" t="s">
        <v>2062</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2063</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2064</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2065</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2066</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2067</v>
      </c>
      <c r="E144" s="1775">
        <v>102</v>
      </c>
      <c r="F144" s="1781">
        <v>100</v>
      </c>
      <c r="G144" s="1804" t="s">
        <v>2067</v>
      </c>
      <c r="H144" s="1777">
        <v>105</v>
      </c>
      <c r="I144" s="1803" t="s">
        <v>2066</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2068</v>
      </c>
      <c r="C145" s="1782">
        <f>ROUND(MAX(C139:C144)/MIN(C139:C144)-1,3)</f>
        <v>7.2999999999999995E-2</v>
      </c>
      <c r="D145" s="1806"/>
      <c r="E145" s="1806"/>
      <c r="F145" s="1807" t="s">
        <v>2069</v>
      </c>
      <c r="G145" s="1808"/>
      <c r="H145" s="1809"/>
      <c r="I145" s="1810" t="s">
        <v>2066</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2077</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2078</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35" t="s">
        <v>505</v>
      </c>
      <c r="D4" s="3636"/>
      <c r="E4" s="3670" t="s">
        <v>506</v>
      </c>
      <c r="F4" s="3671"/>
      <c r="G4" s="3635" t="s">
        <v>507</v>
      </c>
      <c r="H4" s="3636"/>
      <c r="I4" s="3635" t="s">
        <v>508</v>
      </c>
      <c r="J4" s="3636"/>
      <c r="K4" s="491" t="s">
        <v>509</v>
      </c>
      <c r="L4" s="1970"/>
      <c r="M4" s="1971"/>
      <c r="N4" s="1971"/>
      <c r="O4" s="1971"/>
      <c r="P4" s="3637" t="s">
        <v>510</v>
      </c>
      <c r="Q4" s="3638"/>
      <c r="R4" s="3643" t="s">
        <v>506</v>
      </c>
      <c r="S4" s="3644"/>
      <c r="T4" s="3643" t="s">
        <v>507</v>
      </c>
      <c r="U4" s="3644"/>
      <c r="V4" s="3630" t="s">
        <v>508</v>
      </c>
      <c r="W4" s="3630"/>
      <c r="X4" s="1458"/>
      <c r="Y4" s="3643" t="s">
        <v>510</v>
      </c>
      <c r="Z4" s="3644"/>
      <c r="AA4" s="3632" t="s">
        <v>506</v>
      </c>
      <c r="AB4" s="3630" t="s">
        <v>507</v>
      </c>
      <c r="AC4" s="3632" t="s">
        <v>508</v>
      </c>
    </row>
    <row r="5" spans="1:29" ht="15">
      <c r="A5" s="492"/>
      <c r="B5" s="493"/>
      <c r="C5" s="3651" t="s">
        <v>2630</v>
      </c>
      <c r="D5" s="3652"/>
      <c r="E5" s="3672" t="s">
        <v>2631</v>
      </c>
      <c r="F5" s="3673"/>
      <c r="G5" s="3651" t="s">
        <v>2632</v>
      </c>
      <c r="H5" s="3652"/>
      <c r="I5" s="3651" t="s">
        <v>2633</v>
      </c>
      <c r="J5" s="3652"/>
      <c r="K5" s="491"/>
      <c r="L5" s="1970"/>
      <c r="M5" s="1971"/>
      <c r="N5" s="1971"/>
      <c r="O5" s="1971"/>
      <c r="P5" s="3639"/>
      <c r="Q5" s="3640"/>
      <c r="R5" s="3645"/>
      <c r="S5" s="3646"/>
      <c r="T5" s="3645"/>
      <c r="U5" s="3646"/>
      <c r="V5" s="3630"/>
      <c r="W5" s="3630"/>
      <c r="X5" s="1458"/>
      <c r="Y5" s="3645"/>
      <c r="Z5" s="3646"/>
      <c r="AA5" s="3633"/>
      <c r="AB5" s="3630"/>
      <c r="AC5" s="3633"/>
    </row>
    <row r="6" spans="1:29" ht="15.75" thickBot="1">
      <c r="A6" s="494"/>
      <c r="B6" s="495"/>
      <c r="C6" s="3649" t="s">
        <v>2634</v>
      </c>
      <c r="D6" s="3650"/>
      <c r="E6" s="3668" t="s">
        <v>2634</v>
      </c>
      <c r="F6" s="3669"/>
      <c r="G6" s="3649" t="s">
        <v>2634</v>
      </c>
      <c r="H6" s="3650"/>
      <c r="I6" s="3649" t="s">
        <v>2634</v>
      </c>
      <c r="J6" s="3650"/>
      <c r="K6" s="491" t="s">
        <v>511</v>
      </c>
      <c r="L6" s="1970"/>
      <c r="M6" s="1971"/>
      <c r="N6" s="1971"/>
      <c r="O6" s="1971"/>
      <c r="P6" s="3641"/>
      <c r="Q6" s="3642"/>
      <c r="R6" s="3645"/>
      <c r="S6" s="3646"/>
      <c r="T6" s="3647"/>
      <c r="U6" s="3648"/>
      <c r="V6" s="3630"/>
      <c r="W6" s="3630"/>
      <c r="X6" s="1458"/>
      <c r="Y6" s="3647"/>
      <c r="Z6" s="3648"/>
      <c r="AA6" s="3634"/>
      <c r="AB6" s="3630"/>
      <c r="AC6" s="3634"/>
    </row>
    <row r="7" spans="1:29" s="1167" customFormat="1" ht="15.75" thickBot="1">
      <c r="A7" s="2552"/>
      <c r="B7" s="2559" t="s">
        <v>512</v>
      </c>
      <c r="C7" s="496">
        <f>'数据-取费表'!B2</f>
        <v>43923</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59" t="s">
        <v>513</v>
      </c>
      <c r="Q7" s="3661"/>
      <c r="R7" s="1459" t="s">
        <v>8</v>
      </c>
      <c r="S7" s="1460">
        <f t="shared" ref="S7:S15" si="0">F7</f>
        <v>0</v>
      </c>
      <c r="T7" s="1459" t="s">
        <v>8</v>
      </c>
      <c r="U7" s="1460">
        <f t="shared" ref="U7:U15" si="1">H7</f>
        <v>0</v>
      </c>
      <c r="V7" s="1459" t="s">
        <v>8</v>
      </c>
      <c r="W7" s="1460">
        <f t="shared" ref="W7:W15"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59" t="s">
        <v>516</v>
      </c>
      <c r="Q8" s="3660"/>
      <c r="R8" s="1459" t="s">
        <v>8</v>
      </c>
      <c r="S8" s="1460">
        <f t="shared" si="0"/>
        <v>0</v>
      </c>
      <c r="T8" s="1459" t="s">
        <v>8</v>
      </c>
      <c r="U8" s="1460">
        <f t="shared" si="1"/>
        <v>0</v>
      </c>
      <c r="V8" s="1459" t="s">
        <v>8</v>
      </c>
      <c r="W8" s="1460">
        <f t="shared" si="2"/>
        <v>0</v>
      </c>
      <c r="X8" s="1461"/>
      <c r="Y8" s="3659" t="s">
        <v>516</v>
      </c>
      <c r="Z8" s="3660"/>
      <c r="AA8" s="1462" t="e">
        <f t="shared" ref="AA8:AA46" si="3">D8/F8</f>
        <v>#DIV/0!</v>
      </c>
      <c r="AB8" s="1462" t="e">
        <f t="shared" ref="AB8:AB46" si="4">D8/H8</f>
        <v>#DIV/0!</v>
      </c>
      <c r="AC8" s="1462" t="e">
        <f t="shared" ref="AC8:AC46" si="5">D8/J8</f>
        <v>#DIV/0!</v>
      </c>
    </row>
    <row r="9" spans="1:29" s="1167" customFormat="1" ht="15">
      <c r="A9" s="2554"/>
      <c r="B9" s="2561" t="s">
        <v>2472</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29" t="s">
        <v>518</v>
      </c>
      <c r="Q9" s="1098" t="str">
        <f t="shared" ref="Q9:Q15" si="6">B9</f>
        <v>用途</v>
      </c>
      <c r="R9" s="1459" t="s">
        <v>8</v>
      </c>
      <c r="S9" s="1460">
        <f t="shared" si="0"/>
        <v>100</v>
      </c>
      <c r="T9" s="1459" t="s">
        <v>8</v>
      </c>
      <c r="U9" s="1460">
        <f t="shared" si="1"/>
        <v>100</v>
      </c>
      <c r="V9" s="1459" t="s">
        <v>8</v>
      </c>
      <c r="W9" s="1460">
        <f t="shared" si="2"/>
        <v>100</v>
      </c>
      <c r="X9" s="1461"/>
      <c r="Y9" s="3573"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29"/>
      <c r="Q11" s="1098" t="str">
        <f t="shared" si="6"/>
        <v>容积率</v>
      </c>
      <c r="R11" s="1459" t="s">
        <v>8</v>
      </c>
      <c r="S11" s="1460" t="e">
        <f t="shared" si="0"/>
        <v>#N/A</v>
      </c>
      <c r="T11" s="1459" t="s">
        <v>8</v>
      </c>
      <c r="U11" s="1460" t="e">
        <f t="shared" si="1"/>
        <v>#N/A</v>
      </c>
      <c r="V11" s="1459" t="s">
        <v>8</v>
      </c>
      <c r="W11" s="1460" t="e">
        <f t="shared" si="2"/>
        <v>#N/A</v>
      </c>
      <c r="X11" s="1461"/>
      <c r="Y11" s="3573"/>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29"/>
      <c r="Q12" s="1098">
        <f t="shared" si="6"/>
        <v>111</v>
      </c>
      <c r="R12" s="1459" t="s">
        <v>8</v>
      </c>
      <c r="S12" s="1460">
        <f t="shared" si="0"/>
        <v>100</v>
      </c>
      <c r="T12" s="1459" t="s">
        <v>8</v>
      </c>
      <c r="U12" s="1460">
        <f t="shared" si="1"/>
        <v>100</v>
      </c>
      <c r="V12" s="1459" t="s">
        <v>8</v>
      </c>
      <c r="W12" s="1460">
        <f t="shared" si="2"/>
        <v>100</v>
      </c>
      <c r="X12" s="1461"/>
      <c r="Y12" s="3573"/>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29"/>
      <c r="Q13" s="1098">
        <f t="shared" si="6"/>
        <v>111</v>
      </c>
      <c r="R13" s="1459" t="s">
        <v>8</v>
      </c>
      <c r="S13" s="1460">
        <f t="shared" si="0"/>
        <v>100</v>
      </c>
      <c r="T13" s="1459" t="s">
        <v>8</v>
      </c>
      <c r="U13" s="1460">
        <f t="shared" si="1"/>
        <v>100</v>
      </c>
      <c r="V13" s="1459" t="s">
        <v>8</v>
      </c>
      <c r="W13" s="1460">
        <f t="shared" si="2"/>
        <v>100</v>
      </c>
      <c r="X13" s="1461"/>
      <c r="Y13" s="3573"/>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29"/>
      <c r="Q14" s="1098">
        <f t="shared" si="6"/>
        <v>111</v>
      </c>
      <c r="R14" s="1459" t="s">
        <v>8</v>
      </c>
      <c r="S14" s="1460">
        <f t="shared" si="0"/>
        <v>100</v>
      </c>
      <c r="T14" s="1459" t="s">
        <v>8</v>
      </c>
      <c r="U14" s="1460">
        <f t="shared" si="1"/>
        <v>100</v>
      </c>
      <c r="V14" s="1459" t="s">
        <v>8</v>
      </c>
      <c r="W14" s="1460">
        <f t="shared" si="2"/>
        <v>100</v>
      </c>
      <c r="X14" s="1461"/>
      <c r="Y14" s="3573"/>
      <c r="Z14" s="1097">
        <f t="shared" si="7"/>
        <v>111</v>
      </c>
      <c r="AA14" s="1462">
        <f t="shared" si="3"/>
        <v>1</v>
      </c>
      <c r="AB14" s="1462">
        <f t="shared" si="4"/>
        <v>1</v>
      </c>
      <c r="AC14" s="1462">
        <f t="shared" si="5"/>
        <v>1</v>
      </c>
    </row>
    <row r="15" spans="1:29" ht="71.25">
      <c r="A15" s="2550"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62" t="s">
        <v>523</v>
      </c>
      <c r="Q15" s="1463" t="str">
        <f t="shared" si="6"/>
        <v>商业繁华度</v>
      </c>
      <c r="R15" s="1464" t="s">
        <v>8</v>
      </c>
      <c r="S15" s="1465">
        <f t="shared" si="0"/>
        <v>100</v>
      </c>
      <c r="T15" s="1464" t="s">
        <v>8</v>
      </c>
      <c r="U15" s="1465">
        <f t="shared" si="1"/>
        <v>100</v>
      </c>
      <c r="V15" s="1464" t="s">
        <v>8</v>
      </c>
      <c r="W15" s="1465">
        <f t="shared" si="2"/>
        <v>100</v>
      </c>
      <c r="X15" s="1458"/>
      <c r="Y15" s="3662"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3"/>
      <c r="Q16" s="1463"/>
      <c r="R16" s="1464"/>
      <c r="S16" s="1465"/>
      <c r="T16" s="1464"/>
      <c r="U16" s="1465"/>
      <c r="V16" s="1464"/>
      <c r="W16" s="1465"/>
      <c r="X16" s="1458"/>
      <c r="Y16" s="3663"/>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63"/>
      <c r="Q17" s="1463" t="str">
        <f>B17</f>
        <v>交通便捷度</v>
      </c>
      <c r="R17" s="1464" t="s">
        <v>8</v>
      </c>
      <c r="S17" s="1465">
        <f>F17</f>
        <v>100</v>
      </c>
      <c r="T17" s="1464" t="s">
        <v>8</v>
      </c>
      <c r="U17" s="1465">
        <f>H17</f>
        <v>100</v>
      </c>
      <c r="V17" s="1464" t="s">
        <v>8</v>
      </c>
      <c r="W17" s="1465">
        <f>J17</f>
        <v>100</v>
      </c>
      <c r="X17" s="1458"/>
      <c r="Y17" s="3663"/>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3"/>
      <c r="Q18" s="1463"/>
      <c r="R18" s="1464"/>
      <c r="S18" s="1465"/>
      <c r="T18" s="1464"/>
      <c r="U18" s="1465"/>
      <c r="V18" s="1464"/>
      <c r="W18" s="1465"/>
      <c r="X18" s="1458"/>
      <c r="Y18" s="3663"/>
      <c r="Z18" s="1466"/>
      <c r="AA18" s="1467">
        <v>1</v>
      </c>
      <c r="AB18" s="1467">
        <v>1</v>
      </c>
      <c r="AC18" s="1467">
        <v>1</v>
      </c>
    </row>
    <row r="19" spans="1:29" ht="42.75">
      <c r="A19" s="509"/>
      <c r="B19" s="2367"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63"/>
      <c r="Q19" s="1463" t="str">
        <f>B19</f>
        <v>公共配套设施</v>
      </c>
      <c r="R19" s="1464" t="s">
        <v>8</v>
      </c>
      <c r="S19" s="1465">
        <f>F19</f>
        <v>100</v>
      </c>
      <c r="T19" s="1464" t="s">
        <v>8</v>
      </c>
      <c r="U19" s="1465">
        <f>H19</f>
        <v>100</v>
      </c>
      <c r="V19" s="1464" t="s">
        <v>8</v>
      </c>
      <c r="W19" s="1465">
        <f>J19</f>
        <v>100</v>
      </c>
      <c r="X19" s="1458"/>
      <c r="Y19" s="3663"/>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63"/>
      <c r="Q20" s="1463"/>
      <c r="R20" s="1464"/>
      <c r="S20" s="1465"/>
      <c r="T20" s="1464"/>
      <c r="U20" s="1465"/>
      <c r="V20" s="1464"/>
      <c r="W20" s="1465"/>
      <c r="X20" s="1458"/>
      <c r="Y20" s="3663"/>
      <c r="Z20" s="1466"/>
      <c r="AA20" s="1467">
        <v>1</v>
      </c>
      <c r="AB20" s="1467">
        <v>1</v>
      </c>
      <c r="AC20" s="1467">
        <v>1</v>
      </c>
    </row>
    <row r="21" spans="1:29" ht="28.5">
      <c r="A21" s="509"/>
      <c r="B21" s="2360"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63"/>
      <c r="Q21" s="2352" t="str">
        <f>B21</f>
        <v>基础设施水平</v>
      </c>
      <c r="R21" s="1464" t="s">
        <v>8</v>
      </c>
      <c r="S21" s="1465">
        <f>F21</f>
        <v>100</v>
      </c>
      <c r="T21" s="1464" t="s">
        <v>8</v>
      </c>
      <c r="U21" s="1465">
        <f>H21</f>
        <v>100</v>
      </c>
      <c r="V21" s="1464" t="s">
        <v>8</v>
      </c>
      <c r="W21" s="1465">
        <f>J21</f>
        <v>100</v>
      </c>
      <c r="X21" s="2354"/>
      <c r="Y21" s="3663"/>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63"/>
      <c r="Q22" s="2352"/>
      <c r="R22" s="1464"/>
      <c r="S22" s="1465"/>
      <c r="T22" s="1464"/>
      <c r="U22" s="1465"/>
      <c r="V22" s="1464"/>
      <c r="W22" s="1465"/>
      <c r="X22" s="2354"/>
      <c r="Y22" s="3663"/>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63"/>
      <c r="Q23" s="1463" t="str">
        <f>B23</f>
        <v>自然及人文环境</v>
      </c>
      <c r="R23" s="1464" t="s">
        <v>8</v>
      </c>
      <c r="S23" s="1465">
        <f>F23</f>
        <v>100</v>
      </c>
      <c r="T23" s="1464" t="s">
        <v>8</v>
      </c>
      <c r="U23" s="1465">
        <f>H23</f>
        <v>100</v>
      </c>
      <c r="V23" s="1464" t="s">
        <v>8</v>
      </c>
      <c r="W23" s="1465">
        <f>J23</f>
        <v>100</v>
      </c>
      <c r="X23" s="1458"/>
      <c r="Y23" s="3663"/>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63"/>
      <c r="Q24" s="1463"/>
      <c r="R24" s="1464"/>
      <c r="S24" s="1465"/>
      <c r="T24" s="1464"/>
      <c r="U24" s="1465"/>
      <c r="V24" s="1464"/>
      <c r="W24" s="1465"/>
      <c r="X24" s="1458"/>
      <c r="Y24" s="3663"/>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63"/>
      <c r="Q25" s="1463" t="str">
        <f t="shared" ref="Q25:Q46" si="11">B25</f>
        <v>临街状况</v>
      </c>
      <c r="R25" s="1464" t="s">
        <v>8</v>
      </c>
      <c r="S25" s="1465">
        <f>F25</f>
        <v>100</v>
      </c>
      <c r="T25" s="1464" t="s">
        <v>8</v>
      </c>
      <c r="U25" s="1465">
        <f>H25</f>
        <v>100</v>
      </c>
      <c r="V25" s="1464" t="s">
        <v>8</v>
      </c>
      <c r="W25" s="1465">
        <f>J25</f>
        <v>100</v>
      </c>
      <c r="X25" s="1458"/>
      <c r="Y25" s="3663"/>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63"/>
      <c r="Q26" s="1463" t="str">
        <f t="shared" si="11"/>
        <v>平面位置/可视性</v>
      </c>
      <c r="R26" s="1464" t="s">
        <v>8</v>
      </c>
      <c r="S26" s="1465">
        <f>F26</f>
        <v>100</v>
      </c>
      <c r="T26" s="1464" t="s">
        <v>8</v>
      </c>
      <c r="U26" s="1465">
        <f>H26</f>
        <v>100</v>
      </c>
      <c r="V26" s="1464" t="s">
        <v>8</v>
      </c>
      <c r="W26" s="1465">
        <f>J26</f>
        <v>100</v>
      </c>
      <c r="X26" s="1458"/>
      <c r="Y26" s="3663"/>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63"/>
      <c r="Q27" s="1098" t="str">
        <f t="shared" si="11"/>
        <v>人流量</v>
      </c>
      <c r="R27" s="1459" t="s">
        <v>8</v>
      </c>
      <c r="S27" s="1460">
        <f>F27</f>
        <v>100</v>
      </c>
      <c r="T27" s="1459" t="s">
        <v>8</v>
      </c>
      <c r="U27" s="1460">
        <f>H27</f>
        <v>100</v>
      </c>
      <c r="V27" s="1459" t="s">
        <v>8</v>
      </c>
      <c r="W27" s="1460">
        <f>J27</f>
        <v>100</v>
      </c>
      <c r="X27" s="1461"/>
      <c r="Y27" s="3663"/>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63"/>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63"/>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63"/>
      <c r="Q29" s="1463">
        <f t="shared" si="11"/>
        <v>111</v>
      </c>
      <c r="R29" s="1464" t="s">
        <v>8</v>
      </c>
      <c r="S29" s="1465">
        <f t="shared" si="12"/>
        <v>100</v>
      </c>
      <c r="T29" s="1464" t="s">
        <v>8</v>
      </c>
      <c r="U29" s="1465">
        <f t="shared" si="13"/>
        <v>100</v>
      </c>
      <c r="V29" s="1464" t="s">
        <v>8</v>
      </c>
      <c r="W29" s="1465">
        <f t="shared" si="14"/>
        <v>100</v>
      </c>
      <c r="X29" s="1458"/>
      <c r="Y29" s="3663"/>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63"/>
      <c r="Q30" s="1463">
        <f t="shared" si="11"/>
        <v>111</v>
      </c>
      <c r="R30" s="1464" t="s">
        <v>8</v>
      </c>
      <c r="S30" s="1465">
        <f t="shared" si="12"/>
        <v>100</v>
      </c>
      <c r="T30" s="1464" t="s">
        <v>8</v>
      </c>
      <c r="U30" s="1465">
        <f t="shared" si="13"/>
        <v>100</v>
      </c>
      <c r="V30" s="1464" t="s">
        <v>8</v>
      </c>
      <c r="W30" s="1465">
        <f t="shared" si="14"/>
        <v>100</v>
      </c>
      <c r="X30" s="1458"/>
      <c r="Y30" s="3663"/>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63"/>
      <c r="Q31" s="1463">
        <f t="shared" si="11"/>
        <v>111</v>
      </c>
      <c r="R31" s="1464" t="s">
        <v>8</v>
      </c>
      <c r="S31" s="1465">
        <f t="shared" si="12"/>
        <v>100</v>
      </c>
      <c r="T31" s="1464" t="s">
        <v>8</v>
      </c>
      <c r="U31" s="1465">
        <f t="shared" si="13"/>
        <v>100</v>
      </c>
      <c r="V31" s="1464" t="s">
        <v>8</v>
      </c>
      <c r="W31" s="1465">
        <f t="shared" si="14"/>
        <v>100</v>
      </c>
      <c r="X31" s="1458"/>
      <c r="Y31" s="3663"/>
      <c r="Z31" s="1466">
        <f t="shared" si="15"/>
        <v>111</v>
      </c>
      <c r="AA31" s="1467">
        <f t="shared" si="3"/>
        <v>1</v>
      </c>
      <c r="AB31" s="1467">
        <f t="shared" si="4"/>
        <v>1</v>
      </c>
      <c r="AC31" s="1467">
        <f t="shared" si="5"/>
        <v>1</v>
      </c>
    </row>
    <row r="32" spans="1:29" ht="15">
      <c r="A32" s="2547"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64" t="s">
        <v>533</v>
      </c>
      <c r="Q32" s="1463" t="str">
        <f t="shared" si="11"/>
        <v>商业类型</v>
      </c>
      <c r="R32" s="1464" t="s">
        <v>8</v>
      </c>
      <c r="S32" s="1465">
        <f t="shared" si="12"/>
        <v>100</v>
      </c>
      <c r="T32" s="1464" t="s">
        <v>8</v>
      </c>
      <c r="U32" s="1465">
        <f t="shared" si="13"/>
        <v>100</v>
      </c>
      <c r="V32" s="1464" t="s">
        <v>8</v>
      </c>
      <c r="W32" s="1465">
        <f t="shared" si="14"/>
        <v>100</v>
      </c>
      <c r="X32" s="1458"/>
      <c r="Y32" s="3665"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65"/>
      <c r="Q33" s="1492" t="str">
        <f t="shared" si="11"/>
        <v>项目建筑规模</v>
      </c>
      <c r="R33" s="1468" t="s">
        <v>8</v>
      </c>
      <c r="S33" s="1469" t="e">
        <f t="shared" si="12"/>
        <v>#N/A</v>
      </c>
      <c r="T33" s="1468" t="s">
        <v>8</v>
      </c>
      <c r="U33" s="1469" t="e">
        <f t="shared" si="13"/>
        <v>#N/A</v>
      </c>
      <c r="V33" s="1468" t="s">
        <v>8</v>
      </c>
      <c r="W33" s="1469" t="e">
        <f t="shared" si="14"/>
        <v>#N/A</v>
      </c>
      <c r="X33" s="1470"/>
      <c r="Y33" s="3665"/>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65"/>
      <c r="Q34" s="1463" t="str">
        <f t="shared" si="11"/>
        <v>建筑结构</v>
      </c>
      <c r="R34" s="1464" t="s">
        <v>8</v>
      </c>
      <c r="S34" s="1465">
        <f t="shared" si="12"/>
        <v>100</v>
      </c>
      <c r="T34" s="1464" t="s">
        <v>8</v>
      </c>
      <c r="U34" s="1465">
        <f t="shared" si="13"/>
        <v>100</v>
      </c>
      <c r="V34" s="1464" t="s">
        <v>8</v>
      </c>
      <c r="W34" s="1465">
        <f t="shared" si="14"/>
        <v>100</v>
      </c>
      <c r="X34" s="1458"/>
      <c r="Y34" s="3665"/>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65"/>
      <c r="Q35" s="1463" t="str">
        <f t="shared" si="11"/>
        <v>公共部分装修</v>
      </c>
      <c r="R35" s="1464" t="s">
        <v>8</v>
      </c>
      <c r="S35" s="1465">
        <f t="shared" si="12"/>
        <v>100</v>
      </c>
      <c r="T35" s="1464" t="s">
        <v>8</v>
      </c>
      <c r="U35" s="1465">
        <f t="shared" si="13"/>
        <v>100</v>
      </c>
      <c r="V35" s="1464" t="s">
        <v>8</v>
      </c>
      <c r="W35" s="1465">
        <f t="shared" si="14"/>
        <v>100</v>
      </c>
      <c r="X35" s="1458"/>
      <c r="Y35" s="3665"/>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65"/>
      <c r="Q36" s="1463" t="str">
        <f t="shared" si="11"/>
        <v>成新度</v>
      </c>
      <c r="R36" s="1464" t="s">
        <v>8</v>
      </c>
      <c r="S36" s="1465" t="e">
        <f t="shared" si="12"/>
        <v>#N/A</v>
      </c>
      <c r="T36" s="1464" t="s">
        <v>8</v>
      </c>
      <c r="U36" s="1465" t="e">
        <f t="shared" si="13"/>
        <v>#N/A</v>
      </c>
      <c r="V36" s="1464" t="s">
        <v>8</v>
      </c>
      <c r="W36" s="1465" t="e">
        <f t="shared" si="14"/>
        <v>#N/A</v>
      </c>
      <c r="X36" s="1458"/>
      <c r="Y36" s="3665"/>
      <c r="Z36" s="1466" t="str">
        <f t="shared" si="15"/>
        <v>成新度</v>
      </c>
      <c r="AA36" s="1467" t="e">
        <f t="shared" si="3"/>
        <v>#N/A</v>
      </c>
      <c r="AB36" s="1467" t="e">
        <f t="shared" si="4"/>
        <v>#N/A</v>
      </c>
      <c r="AC36" s="1467" t="e">
        <f t="shared" si="5"/>
        <v>#N/A</v>
      </c>
    </row>
    <row r="37" spans="1:29" s="1167" customFormat="1" ht="15">
      <c r="A37" s="577"/>
      <c r="B37" s="1765"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65"/>
      <c r="Q37" s="1098" t="str">
        <f t="shared" si="11"/>
        <v>市政基础设施</v>
      </c>
      <c r="R37" s="1459" t="s">
        <v>8</v>
      </c>
      <c r="S37" s="1460">
        <f t="shared" si="12"/>
        <v>100</v>
      </c>
      <c r="T37" s="1459" t="s">
        <v>8</v>
      </c>
      <c r="U37" s="1460">
        <f t="shared" si="13"/>
        <v>100</v>
      </c>
      <c r="V37" s="1459" t="s">
        <v>8</v>
      </c>
      <c r="W37" s="1460">
        <f t="shared" si="14"/>
        <v>100</v>
      </c>
      <c r="X37" s="1461"/>
      <c r="Y37" s="3665"/>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65" t="s">
        <v>748</v>
      </c>
      <c r="Q38" s="1463" t="str">
        <f t="shared" si="11"/>
        <v>业态</v>
      </c>
      <c r="R38" s="1464" t="s">
        <v>8</v>
      </c>
      <c r="S38" s="1465">
        <f t="shared" si="12"/>
        <v>100</v>
      </c>
      <c r="T38" s="1464" t="s">
        <v>8</v>
      </c>
      <c r="U38" s="1465">
        <f t="shared" si="13"/>
        <v>100</v>
      </c>
      <c r="V38" s="1464" t="s">
        <v>8</v>
      </c>
      <c r="W38" s="1465">
        <f t="shared" si="14"/>
        <v>100</v>
      </c>
      <c r="X38" s="1458"/>
      <c r="Y38" s="3665"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65"/>
      <c r="Q39" s="1463" t="str">
        <f t="shared" si="11"/>
        <v>层高</v>
      </c>
      <c r="R39" s="1464" t="s">
        <v>8</v>
      </c>
      <c r="S39" s="1465">
        <f t="shared" si="12"/>
        <v>100</v>
      </c>
      <c r="T39" s="1464" t="s">
        <v>8</v>
      </c>
      <c r="U39" s="1465">
        <f t="shared" si="13"/>
        <v>100</v>
      </c>
      <c r="V39" s="1464" t="s">
        <v>8</v>
      </c>
      <c r="W39" s="1465">
        <f t="shared" si="14"/>
        <v>100</v>
      </c>
      <c r="X39" s="1458"/>
      <c r="Y39" s="3665"/>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65"/>
      <c r="Q40" s="1463" t="str">
        <f t="shared" si="11"/>
        <v>单套建筑面积</v>
      </c>
      <c r="R40" s="1464" t="s">
        <v>8</v>
      </c>
      <c r="S40" s="1465">
        <f t="shared" si="12"/>
        <v>100</v>
      </c>
      <c r="T40" s="1464" t="s">
        <v>8</v>
      </c>
      <c r="U40" s="1465">
        <f t="shared" si="13"/>
        <v>100</v>
      </c>
      <c r="V40" s="1464" t="s">
        <v>8</v>
      </c>
      <c r="W40" s="1465">
        <f t="shared" si="14"/>
        <v>100</v>
      </c>
      <c r="X40" s="1458"/>
      <c r="Y40" s="3665"/>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65"/>
      <c r="Q41" s="1492" t="str">
        <f t="shared" si="11"/>
        <v>进深比</v>
      </c>
      <c r="R41" s="1468" t="s">
        <v>8</v>
      </c>
      <c r="S41" s="1469">
        <f t="shared" si="12"/>
        <v>100</v>
      </c>
      <c r="T41" s="1468" t="s">
        <v>8</v>
      </c>
      <c r="U41" s="1469">
        <f t="shared" si="13"/>
        <v>100</v>
      </c>
      <c r="V41" s="1468" t="s">
        <v>8</v>
      </c>
      <c r="W41" s="1469">
        <f t="shared" si="14"/>
        <v>100</v>
      </c>
      <c r="X41" s="1470"/>
      <c r="Y41" s="3665"/>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65"/>
      <c r="Q42" s="1463" t="str">
        <f t="shared" si="11"/>
        <v>内部装修</v>
      </c>
      <c r="R42" s="1464" t="s">
        <v>8</v>
      </c>
      <c r="S42" s="1465">
        <f t="shared" si="12"/>
        <v>100</v>
      </c>
      <c r="T42" s="1464" t="s">
        <v>8</v>
      </c>
      <c r="U42" s="1465">
        <f t="shared" si="13"/>
        <v>100</v>
      </c>
      <c r="V42" s="1464" t="s">
        <v>8</v>
      </c>
      <c r="W42" s="1465">
        <f t="shared" si="14"/>
        <v>100</v>
      </c>
      <c r="X42" s="1458"/>
      <c r="Y42" s="3665"/>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65"/>
      <c r="Q43" s="1463" t="str">
        <f t="shared" si="11"/>
        <v>内部装修维护情况</v>
      </c>
      <c r="R43" s="1464" t="s">
        <v>8</v>
      </c>
      <c r="S43" s="1465">
        <f t="shared" si="12"/>
        <v>100</v>
      </c>
      <c r="T43" s="1464" t="s">
        <v>8</v>
      </c>
      <c r="U43" s="1465">
        <f t="shared" si="13"/>
        <v>100</v>
      </c>
      <c r="V43" s="1464" t="s">
        <v>8</v>
      </c>
      <c r="W43" s="1465">
        <f t="shared" si="14"/>
        <v>100</v>
      </c>
      <c r="X43" s="1458"/>
      <c r="Y43" s="3665"/>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65"/>
      <c r="Q44" s="1098">
        <f t="shared" si="11"/>
        <v>111</v>
      </c>
      <c r="R44" s="1459" t="s">
        <v>8</v>
      </c>
      <c r="S44" s="1460">
        <f t="shared" si="12"/>
        <v>100</v>
      </c>
      <c r="T44" s="1459" t="s">
        <v>8</v>
      </c>
      <c r="U44" s="1460">
        <f t="shared" si="13"/>
        <v>100</v>
      </c>
      <c r="V44" s="1459" t="s">
        <v>8</v>
      </c>
      <c r="W44" s="1460">
        <f t="shared" si="14"/>
        <v>100</v>
      </c>
      <c r="X44" s="1461"/>
      <c r="Y44" s="3665"/>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65"/>
      <c r="Q45" s="1463">
        <f t="shared" si="11"/>
        <v>111</v>
      </c>
      <c r="R45" s="1464" t="s">
        <v>8</v>
      </c>
      <c r="S45" s="1465">
        <f t="shared" si="12"/>
        <v>100</v>
      </c>
      <c r="T45" s="1464" t="s">
        <v>8</v>
      </c>
      <c r="U45" s="1465">
        <f t="shared" si="13"/>
        <v>100</v>
      </c>
      <c r="V45" s="1464" t="s">
        <v>8</v>
      </c>
      <c r="W45" s="1465">
        <f t="shared" si="14"/>
        <v>100</v>
      </c>
      <c r="X45" s="1458"/>
      <c r="Y45" s="3665"/>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8"/>
      <c r="Q46" s="1463">
        <f t="shared" si="11"/>
        <v>111</v>
      </c>
      <c r="R46" s="1464" t="s">
        <v>8</v>
      </c>
      <c r="S46" s="1465">
        <f t="shared" si="12"/>
        <v>100</v>
      </c>
      <c r="T46" s="1464" t="s">
        <v>8</v>
      </c>
      <c r="U46" s="1465">
        <f t="shared" si="13"/>
        <v>100</v>
      </c>
      <c r="V46" s="1464" t="s">
        <v>8</v>
      </c>
      <c r="W46" s="1465">
        <f t="shared" si="14"/>
        <v>100</v>
      </c>
      <c r="X46" s="1458"/>
      <c r="Y46" s="3758"/>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29" t="str">
        <f>A47</f>
        <v>成交单价（元/平方米）</v>
      </c>
      <c r="Q47" s="3629"/>
      <c r="R47" s="3757">
        <f>E47</f>
        <v>0</v>
      </c>
      <c r="S47" s="3757"/>
      <c r="T47" s="3757">
        <f>G47</f>
        <v>0</v>
      </c>
      <c r="U47" s="3757"/>
      <c r="V47" s="3757">
        <f>I47</f>
        <v>0</v>
      </c>
      <c r="W47" s="3757"/>
      <c r="X47" s="1453"/>
      <c r="Y47" s="1472"/>
      <c r="Z47" s="1453"/>
      <c r="AA47" s="1453"/>
      <c r="AB47" s="1453"/>
      <c r="AC47" s="1453"/>
    </row>
    <row r="48" spans="1:29" ht="15.75" thickBot="1">
      <c r="A48" s="592" t="s">
        <v>2476</v>
      </c>
      <c r="B48" s="860"/>
      <c r="C48" s="2399" t="e">
        <f>R49</f>
        <v>#DIV/0!</v>
      </c>
      <c r="D48" s="2923" t="s">
        <v>2701</v>
      </c>
      <c r="E48" s="2400" t="e">
        <f>R48</f>
        <v>#DIV/0!</v>
      </c>
      <c r="F48" s="2924"/>
      <c r="G48" s="2399" t="e">
        <f>T48</f>
        <v>#DIV/0!</v>
      </c>
      <c r="H48" s="2924"/>
      <c r="I48" s="2400" t="e">
        <f>V48</f>
        <v>#DIV/0!</v>
      </c>
      <c r="J48" s="2924"/>
      <c r="K48" s="2932">
        <f>F48+H48+J48</f>
        <v>0</v>
      </c>
      <c r="L48" s="1981"/>
      <c r="M48" s="1982"/>
      <c r="N48" s="1971"/>
      <c r="O48" s="1982"/>
      <c r="P48" s="3629" t="str">
        <f>A48</f>
        <v>比较价格（元/平方米）</v>
      </c>
      <c r="Q48" s="3629"/>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1453"/>
      <c r="Y48" s="1453"/>
      <c r="Z48" s="1453"/>
      <c r="AA48" s="1453"/>
      <c r="AB48" s="1453"/>
      <c r="AC48" s="1453"/>
    </row>
    <row r="49" spans="1:29" ht="15.75" thickBot="1">
      <c r="A49" s="596" t="s">
        <v>2636</v>
      </c>
      <c r="B49" s="597"/>
      <c r="C49" s="2401" t="e">
        <f>R49</f>
        <v>#DIV/0!</v>
      </c>
      <c r="D49" s="2401"/>
      <c r="E49" s="2401"/>
      <c r="F49" s="2401"/>
      <c r="G49" s="2401"/>
      <c r="H49" s="2401"/>
      <c r="I49" s="2401"/>
      <c r="J49" s="2401"/>
      <c r="K49" s="1498"/>
      <c r="L49" s="1981"/>
      <c r="M49" s="1982"/>
      <c r="N49" s="1971"/>
      <c r="O49" s="1982"/>
      <c r="P49" s="3666" t="str">
        <f>A49</f>
        <v>估价对象XX用房的比较价格（楼面单价，元/平方米）</v>
      </c>
      <c r="Q49" s="3667"/>
      <c r="R49" s="3756" t="e">
        <f>IF(F1="售价",ROUND(IF(D48="简单平均",AVERAGE(R48:V48),R48*F48+T48*H48+V48*J48),0),ROUND(IF(D48="简单平均",AVERAGE(R48:V48),R48*F48+T48*H48+V48*J48),1))</f>
        <v>#DIV/0!</v>
      </c>
      <c r="S49" s="3756"/>
      <c r="T49" s="3756"/>
      <c r="U49" s="3756"/>
      <c r="V49" s="3756"/>
      <c r="W49" s="3756"/>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2274</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2275</v>
      </c>
      <c r="C82" s="2365" t="s">
        <v>2276</v>
      </c>
      <c r="D82" s="2365" t="s">
        <v>2277</v>
      </c>
      <c r="E82" s="2365" t="s">
        <v>2278</v>
      </c>
      <c r="F82" s="2365" t="s">
        <v>2279</v>
      </c>
      <c r="G82" s="2365" t="s">
        <v>2280</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2273</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35" t="s">
        <v>505</v>
      </c>
      <c r="D4" s="3636"/>
      <c r="E4" s="3670" t="s">
        <v>506</v>
      </c>
      <c r="F4" s="3671"/>
      <c r="G4" s="3635" t="s">
        <v>507</v>
      </c>
      <c r="H4" s="3636"/>
      <c r="I4" s="3635" t="s">
        <v>508</v>
      </c>
      <c r="J4" s="3636"/>
      <c r="K4" s="491" t="s">
        <v>509</v>
      </c>
      <c r="L4" s="1970"/>
      <c r="M4" s="1971"/>
      <c r="N4" s="1971"/>
      <c r="O4" s="1971"/>
      <c r="P4" s="3760" t="s">
        <v>510</v>
      </c>
      <c r="Q4" s="3638"/>
      <c r="R4" s="3643" t="s">
        <v>506</v>
      </c>
      <c r="S4" s="3644"/>
      <c r="T4" s="3643" t="s">
        <v>507</v>
      </c>
      <c r="U4" s="3644"/>
      <c r="V4" s="3630" t="s">
        <v>508</v>
      </c>
      <c r="W4" s="3630"/>
      <c r="X4" s="1458"/>
      <c r="Y4" s="3643" t="s">
        <v>510</v>
      </c>
      <c r="Z4" s="3644"/>
      <c r="AA4" s="3632" t="s">
        <v>506</v>
      </c>
      <c r="AB4" s="3632" t="s">
        <v>507</v>
      </c>
      <c r="AC4" s="3632" t="s">
        <v>508</v>
      </c>
    </row>
    <row r="5" spans="1:29" ht="15">
      <c r="A5" s="492"/>
      <c r="B5" s="493"/>
      <c r="C5" s="3651" t="s">
        <v>2630</v>
      </c>
      <c r="D5" s="3652"/>
      <c r="E5" s="3672" t="s">
        <v>2631</v>
      </c>
      <c r="F5" s="3673"/>
      <c r="G5" s="3651" t="s">
        <v>2632</v>
      </c>
      <c r="H5" s="3652"/>
      <c r="I5" s="3651" t="s">
        <v>2633</v>
      </c>
      <c r="J5" s="3652"/>
      <c r="K5" s="491"/>
      <c r="L5" s="1970"/>
      <c r="M5" s="1971"/>
      <c r="N5" s="1971"/>
      <c r="O5" s="1971"/>
      <c r="P5" s="3761"/>
      <c r="Q5" s="3640"/>
      <c r="R5" s="3645"/>
      <c r="S5" s="3646"/>
      <c r="T5" s="3645"/>
      <c r="U5" s="3646"/>
      <c r="V5" s="3630"/>
      <c r="W5" s="3630"/>
      <c r="X5" s="1458"/>
      <c r="Y5" s="3645"/>
      <c r="Z5" s="3646"/>
      <c r="AA5" s="3633"/>
      <c r="AB5" s="3633"/>
      <c r="AC5" s="3633"/>
    </row>
    <row r="6" spans="1:29" ht="15.75" thickBot="1">
      <c r="A6" s="494"/>
      <c r="B6" s="495"/>
      <c r="C6" s="3649" t="s">
        <v>2634</v>
      </c>
      <c r="D6" s="3650"/>
      <c r="E6" s="3668" t="s">
        <v>2634</v>
      </c>
      <c r="F6" s="3669"/>
      <c r="G6" s="3649" t="s">
        <v>2634</v>
      </c>
      <c r="H6" s="3650"/>
      <c r="I6" s="3649" t="s">
        <v>2634</v>
      </c>
      <c r="J6" s="3650"/>
      <c r="K6" s="491" t="s">
        <v>511</v>
      </c>
      <c r="L6" s="1970"/>
      <c r="M6" s="1971"/>
      <c r="N6" s="1971"/>
      <c r="O6" s="1971"/>
      <c r="P6" s="3762"/>
      <c r="Q6" s="3642"/>
      <c r="R6" s="3645"/>
      <c r="S6" s="3646"/>
      <c r="T6" s="3647"/>
      <c r="U6" s="3648"/>
      <c r="V6" s="3630"/>
      <c r="W6" s="3630"/>
      <c r="X6" s="1458"/>
      <c r="Y6" s="3647"/>
      <c r="Z6" s="3648"/>
      <c r="AA6" s="3634"/>
      <c r="AB6" s="3634"/>
      <c r="AC6" s="3634"/>
    </row>
    <row r="7" spans="1:29" s="1167" customFormat="1" ht="15.75" thickBot="1">
      <c r="A7" s="2552"/>
      <c r="B7" s="2559" t="s">
        <v>512</v>
      </c>
      <c r="C7" s="496">
        <f>'数据-取费表'!B2</f>
        <v>43923</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61" t="s">
        <v>513</v>
      </c>
      <c r="Q7" s="3661"/>
      <c r="R7" s="1459" t="s">
        <v>8</v>
      </c>
      <c r="S7" s="1460">
        <f t="shared" ref="S7:S15" si="0">F7</f>
        <v>0</v>
      </c>
      <c r="T7" s="1459" t="s">
        <v>8</v>
      </c>
      <c r="U7" s="1460">
        <f t="shared" ref="U7:U15" si="1">H7</f>
        <v>0</v>
      </c>
      <c r="V7" s="1459" t="s">
        <v>8</v>
      </c>
      <c r="W7" s="1460">
        <f t="shared" ref="W7:W15"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61" t="s">
        <v>516</v>
      </c>
      <c r="Q8" s="3660"/>
      <c r="R8" s="1459" t="s">
        <v>8</v>
      </c>
      <c r="S8" s="1460">
        <f t="shared" si="0"/>
        <v>0</v>
      </c>
      <c r="T8" s="1459" t="s">
        <v>8</v>
      </c>
      <c r="U8" s="1460">
        <f t="shared" si="1"/>
        <v>0</v>
      </c>
      <c r="V8" s="1459" t="s">
        <v>8</v>
      </c>
      <c r="W8" s="1460">
        <f t="shared" si="2"/>
        <v>0</v>
      </c>
      <c r="X8" s="1461"/>
      <c r="Y8" s="3659" t="s">
        <v>516</v>
      </c>
      <c r="Z8" s="3660"/>
      <c r="AA8" s="1462" t="e">
        <f t="shared" ref="AA8:AA47" si="3">D8/F8</f>
        <v>#DIV/0!</v>
      </c>
      <c r="AB8" s="1462" t="e">
        <f t="shared" ref="AB8:AB47" si="4">D8/H8</f>
        <v>#DIV/0!</v>
      </c>
      <c r="AC8" s="1462" t="e">
        <f t="shared" ref="AC8:AC47" si="5">D8/J8</f>
        <v>#DIV/0!</v>
      </c>
    </row>
    <row r="9" spans="1:29" s="1167" customFormat="1" ht="15">
      <c r="A9" s="2554"/>
      <c r="B9" s="2561" t="s">
        <v>2472</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29" t="s">
        <v>518</v>
      </c>
      <c r="Q9" s="1098" t="str">
        <f t="shared" ref="Q9:Q15" si="6">B9</f>
        <v>用途</v>
      </c>
      <c r="R9" s="1459" t="s">
        <v>8</v>
      </c>
      <c r="S9" s="1460">
        <f t="shared" si="0"/>
        <v>100</v>
      </c>
      <c r="T9" s="1459" t="s">
        <v>8</v>
      </c>
      <c r="U9" s="1460">
        <f t="shared" si="1"/>
        <v>100</v>
      </c>
      <c r="V9" s="1459" t="s">
        <v>8</v>
      </c>
      <c r="W9" s="1460">
        <f t="shared" si="2"/>
        <v>100</v>
      </c>
      <c r="X9" s="1461"/>
      <c r="Y9" s="3573"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29"/>
      <c r="Q11" s="1098" t="str">
        <f t="shared" si="6"/>
        <v>容积率</v>
      </c>
      <c r="R11" s="1459" t="s">
        <v>8</v>
      </c>
      <c r="S11" s="1460" t="e">
        <f t="shared" si="0"/>
        <v>#N/A</v>
      </c>
      <c r="T11" s="1459" t="s">
        <v>8</v>
      </c>
      <c r="U11" s="1460" t="e">
        <f t="shared" si="1"/>
        <v>#N/A</v>
      </c>
      <c r="V11" s="1459" t="s">
        <v>8</v>
      </c>
      <c r="W11" s="1460" t="e">
        <f t="shared" si="2"/>
        <v>#N/A</v>
      </c>
      <c r="X11" s="1461"/>
      <c r="Y11" s="3573"/>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29"/>
      <c r="Q12" s="1098">
        <f t="shared" si="6"/>
        <v>111</v>
      </c>
      <c r="R12" s="1459" t="s">
        <v>8</v>
      </c>
      <c r="S12" s="1460">
        <f t="shared" si="0"/>
        <v>100</v>
      </c>
      <c r="T12" s="1459" t="s">
        <v>8</v>
      </c>
      <c r="U12" s="1460">
        <f t="shared" si="1"/>
        <v>100</v>
      </c>
      <c r="V12" s="1459" t="s">
        <v>8</v>
      </c>
      <c r="W12" s="1460">
        <f t="shared" si="2"/>
        <v>100</v>
      </c>
      <c r="X12" s="1461"/>
      <c r="Y12" s="3573"/>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29"/>
      <c r="Q13" s="1098">
        <f t="shared" si="6"/>
        <v>111</v>
      </c>
      <c r="R13" s="1459" t="s">
        <v>8</v>
      </c>
      <c r="S13" s="1460">
        <f t="shared" si="0"/>
        <v>100</v>
      </c>
      <c r="T13" s="1459" t="s">
        <v>8</v>
      </c>
      <c r="U13" s="1460">
        <f t="shared" si="1"/>
        <v>100</v>
      </c>
      <c r="V13" s="1459" t="s">
        <v>8</v>
      </c>
      <c r="W13" s="1460">
        <f t="shared" si="2"/>
        <v>100</v>
      </c>
      <c r="X13" s="1461"/>
      <c r="Y13" s="3573"/>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29"/>
      <c r="Q14" s="1098">
        <f t="shared" si="6"/>
        <v>111</v>
      </c>
      <c r="R14" s="1459" t="s">
        <v>8</v>
      </c>
      <c r="S14" s="1460">
        <f t="shared" si="0"/>
        <v>100</v>
      </c>
      <c r="T14" s="1459" t="s">
        <v>8</v>
      </c>
      <c r="U14" s="1460">
        <f t="shared" si="1"/>
        <v>100</v>
      </c>
      <c r="V14" s="1459" t="s">
        <v>8</v>
      </c>
      <c r="W14" s="1460">
        <f t="shared" si="2"/>
        <v>100</v>
      </c>
      <c r="X14" s="1461"/>
      <c r="Y14" s="3573"/>
      <c r="Z14" s="1097">
        <f t="shared" si="7"/>
        <v>111</v>
      </c>
      <c r="AA14" s="1462">
        <f t="shared" si="3"/>
        <v>1</v>
      </c>
      <c r="AB14" s="1462">
        <f t="shared" si="4"/>
        <v>1</v>
      </c>
      <c r="AC14" s="1462">
        <f t="shared" si="5"/>
        <v>1</v>
      </c>
    </row>
    <row r="15" spans="1:29" ht="71.25">
      <c r="A15" s="2550"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62" t="s">
        <v>523</v>
      </c>
      <c r="Q15" s="1463" t="str">
        <f t="shared" si="6"/>
        <v>办公集聚程度</v>
      </c>
      <c r="R15" s="1464" t="s">
        <v>8</v>
      </c>
      <c r="S15" s="1465">
        <f t="shared" si="0"/>
        <v>100</v>
      </c>
      <c r="T15" s="1464" t="s">
        <v>8</v>
      </c>
      <c r="U15" s="1465">
        <f t="shared" si="1"/>
        <v>100</v>
      </c>
      <c r="V15" s="1464" t="s">
        <v>8</v>
      </c>
      <c r="W15" s="1465">
        <f t="shared" si="2"/>
        <v>100</v>
      </c>
      <c r="X15" s="1458"/>
      <c r="Y15" s="3662"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63"/>
      <c r="Q16" s="1463"/>
      <c r="R16" s="1464"/>
      <c r="S16" s="1465"/>
      <c r="T16" s="1464"/>
      <c r="U16" s="1465"/>
      <c r="V16" s="1464"/>
      <c r="W16" s="1465"/>
      <c r="X16" s="1458"/>
      <c r="Y16" s="3663"/>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63"/>
      <c r="Q17" s="1463" t="str">
        <f>B17</f>
        <v>交通便捷度</v>
      </c>
      <c r="R17" s="1464" t="s">
        <v>8</v>
      </c>
      <c r="S17" s="1465">
        <f>F17</f>
        <v>100</v>
      </c>
      <c r="T17" s="1464" t="s">
        <v>8</v>
      </c>
      <c r="U17" s="1465">
        <f>H17</f>
        <v>100</v>
      </c>
      <c r="V17" s="1464" t="s">
        <v>8</v>
      </c>
      <c r="W17" s="1465">
        <f>J17</f>
        <v>100</v>
      </c>
      <c r="X17" s="1458"/>
      <c r="Y17" s="3663"/>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63"/>
      <c r="Q18" s="1463"/>
      <c r="R18" s="1464"/>
      <c r="S18" s="1465"/>
      <c r="T18" s="1464"/>
      <c r="U18" s="1465"/>
      <c r="V18" s="1464"/>
      <c r="W18" s="1465"/>
      <c r="X18" s="1458"/>
      <c r="Y18" s="3663"/>
      <c r="Z18" s="1466"/>
      <c r="AA18" s="1467">
        <v>1</v>
      </c>
      <c r="AB18" s="1467">
        <v>1</v>
      </c>
      <c r="AC18" s="1467">
        <v>1</v>
      </c>
    </row>
    <row r="19" spans="1:29" ht="42.75">
      <c r="A19" s="509"/>
      <c r="B19" s="2370"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63"/>
      <c r="Q19" s="1463" t="str">
        <f>B19</f>
        <v>公共配套设施</v>
      </c>
      <c r="R19" s="1464" t="s">
        <v>8</v>
      </c>
      <c r="S19" s="1465">
        <f>F19</f>
        <v>100</v>
      </c>
      <c r="T19" s="1464" t="s">
        <v>8</v>
      </c>
      <c r="U19" s="1465">
        <f>H19</f>
        <v>100</v>
      </c>
      <c r="V19" s="1464" t="s">
        <v>8</v>
      </c>
      <c r="W19" s="1465">
        <f>J19</f>
        <v>100</v>
      </c>
      <c r="X19" s="1458"/>
      <c r="Y19" s="3663"/>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63"/>
      <c r="Q20" s="1463"/>
      <c r="R20" s="1464"/>
      <c r="S20" s="1465"/>
      <c r="T20" s="1464"/>
      <c r="U20" s="1465"/>
      <c r="V20" s="1464"/>
      <c r="W20" s="1465"/>
      <c r="X20" s="1458"/>
      <c r="Y20" s="3663"/>
      <c r="Z20" s="1466"/>
      <c r="AA20" s="1467">
        <v>1</v>
      </c>
      <c r="AB20" s="1467">
        <v>1</v>
      </c>
      <c r="AC20" s="1467">
        <v>1</v>
      </c>
    </row>
    <row r="21" spans="1:29" ht="28.5">
      <c r="A21" s="509"/>
      <c r="B21" s="2358"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63"/>
      <c r="Q21" s="2352" t="str">
        <f>B21</f>
        <v>基础设施水平</v>
      </c>
      <c r="R21" s="1464" t="s">
        <v>8</v>
      </c>
      <c r="S21" s="1465">
        <f>F21</f>
        <v>100</v>
      </c>
      <c r="T21" s="1464" t="s">
        <v>8</v>
      </c>
      <c r="U21" s="1465">
        <f>H21</f>
        <v>100</v>
      </c>
      <c r="V21" s="1464" t="s">
        <v>8</v>
      </c>
      <c r="W21" s="1465">
        <f>J21</f>
        <v>100</v>
      </c>
      <c r="X21" s="2354"/>
      <c r="Y21" s="3663"/>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63"/>
      <c r="Q22" s="2352"/>
      <c r="R22" s="1464"/>
      <c r="S22" s="1465"/>
      <c r="T22" s="1464"/>
      <c r="U22" s="1465"/>
      <c r="V22" s="1464"/>
      <c r="W22" s="1465"/>
      <c r="X22" s="2354"/>
      <c r="Y22" s="3663"/>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63"/>
      <c r="Q23" s="1463" t="str">
        <f>B23</f>
        <v>环境质量</v>
      </c>
      <c r="R23" s="1464" t="s">
        <v>8</v>
      </c>
      <c r="S23" s="1465">
        <f>F23</f>
        <v>100</v>
      </c>
      <c r="T23" s="1464" t="s">
        <v>8</v>
      </c>
      <c r="U23" s="1465">
        <f>H23</f>
        <v>100</v>
      </c>
      <c r="V23" s="1464" t="s">
        <v>8</v>
      </c>
      <c r="W23" s="1465">
        <f>J23</f>
        <v>100</v>
      </c>
      <c r="X23" s="1458"/>
      <c r="Y23" s="3663"/>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63"/>
      <c r="Q24" s="1463"/>
      <c r="R24" s="1464"/>
      <c r="S24" s="1465"/>
      <c r="T24" s="1464"/>
      <c r="U24" s="1465"/>
      <c r="V24" s="1464"/>
      <c r="W24" s="1465"/>
      <c r="X24" s="1458"/>
      <c r="Y24" s="3663"/>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63"/>
      <c r="Q25" s="1463" t="str">
        <f>B25</f>
        <v>毗邻道路的类型与等级</v>
      </c>
      <c r="R25" s="1464" t="s">
        <v>8</v>
      </c>
      <c r="S25" s="1465">
        <f>F25</f>
        <v>100</v>
      </c>
      <c r="T25" s="1464" t="s">
        <v>8</v>
      </c>
      <c r="U25" s="1465">
        <f>H25</f>
        <v>100</v>
      </c>
      <c r="V25" s="1464" t="s">
        <v>8</v>
      </c>
      <c r="W25" s="1465">
        <f>J25</f>
        <v>100</v>
      </c>
      <c r="X25" s="1458"/>
      <c r="Y25" s="3663"/>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63"/>
      <c r="Q26" s="1463"/>
      <c r="R26" s="1464"/>
      <c r="S26" s="1465"/>
      <c r="T26" s="1464"/>
      <c r="U26" s="1465"/>
      <c r="V26" s="1464"/>
      <c r="W26" s="1465"/>
      <c r="X26" s="1458"/>
      <c r="Y26" s="3663"/>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63"/>
      <c r="Q27" s="1463" t="str">
        <f t="shared" ref="Q27:Q47" si="11">B27</f>
        <v>楼层</v>
      </c>
      <c r="R27" s="1464" t="s">
        <v>8</v>
      </c>
      <c r="S27" s="1465">
        <f>F27</f>
        <v>100</v>
      </c>
      <c r="T27" s="1464" t="s">
        <v>8</v>
      </c>
      <c r="U27" s="1465">
        <f>H27</f>
        <v>100</v>
      </c>
      <c r="V27" s="1464" t="s">
        <v>8</v>
      </c>
      <c r="W27" s="1465">
        <f>J27</f>
        <v>100</v>
      </c>
      <c r="X27" s="1458"/>
      <c r="Y27" s="3663"/>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63"/>
      <c r="Q28" s="1098" t="str">
        <f t="shared" si="11"/>
        <v>朝向</v>
      </c>
      <c r="R28" s="1459" t="s">
        <v>8</v>
      </c>
      <c r="S28" s="1460">
        <f>F28</f>
        <v>100</v>
      </c>
      <c r="T28" s="1459" t="s">
        <v>8</v>
      </c>
      <c r="U28" s="1460">
        <f>H28</f>
        <v>100</v>
      </c>
      <c r="V28" s="1459" t="s">
        <v>8</v>
      </c>
      <c r="W28" s="1460">
        <f>J28</f>
        <v>100</v>
      </c>
      <c r="X28" s="1461"/>
      <c r="Y28" s="3663"/>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63"/>
      <c r="Q29" s="1463">
        <f t="shared" si="11"/>
        <v>111</v>
      </c>
      <c r="R29" s="1464" t="s">
        <v>8</v>
      </c>
      <c r="S29" s="1465">
        <f t="shared" ref="S29:S47" si="12">F29</f>
        <v>100</v>
      </c>
      <c r="T29" s="1464" t="s">
        <v>8</v>
      </c>
      <c r="U29" s="1465">
        <f t="shared" ref="U29:U47" si="13">H29</f>
        <v>100</v>
      </c>
      <c r="V29" s="1464" t="s">
        <v>8</v>
      </c>
      <c r="W29" s="1465">
        <f t="shared" ref="W29:W47" si="14">J29</f>
        <v>100</v>
      </c>
      <c r="X29" s="1458"/>
      <c r="Y29" s="3663"/>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63"/>
      <c r="Q30" s="1463">
        <f t="shared" si="11"/>
        <v>111</v>
      </c>
      <c r="R30" s="1464" t="s">
        <v>8</v>
      </c>
      <c r="S30" s="1465">
        <f t="shared" si="12"/>
        <v>100</v>
      </c>
      <c r="T30" s="1464" t="s">
        <v>8</v>
      </c>
      <c r="U30" s="1465">
        <f t="shared" si="13"/>
        <v>100</v>
      </c>
      <c r="V30" s="1464" t="s">
        <v>8</v>
      </c>
      <c r="W30" s="1465">
        <f t="shared" si="14"/>
        <v>100</v>
      </c>
      <c r="X30" s="1458"/>
      <c r="Y30" s="3663"/>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63"/>
      <c r="Q31" s="1463">
        <f t="shared" si="11"/>
        <v>111</v>
      </c>
      <c r="R31" s="1464" t="s">
        <v>8</v>
      </c>
      <c r="S31" s="1465">
        <f t="shared" si="12"/>
        <v>100</v>
      </c>
      <c r="T31" s="1464" t="s">
        <v>8</v>
      </c>
      <c r="U31" s="1465">
        <f t="shared" si="13"/>
        <v>100</v>
      </c>
      <c r="V31" s="1464" t="s">
        <v>8</v>
      </c>
      <c r="W31" s="1465">
        <f t="shared" si="14"/>
        <v>100</v>
      </c>
      <c r="X31" s="1458"/>
      <c r="Y31" s="3663"/>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63"/>
      <c r="Q32" s="1463">
        <f t="shared" si="11"/>
        <v>111</v>
      </c>
      <c r="R32" s="1464" t="s">
        <v>8</v>
      </c>
      <c r="S32" s="1465">
        <f t="shared" si="12"/>
        <v>100</v>
      </c>
      <c r="T32" s="1464" t="s">
        <v>8</v>
      </c>
      <c r="U32" s="1465">
        <f t="shared" si="13"/>
        <v>100</v>
      </c>
      <c r="V32" s="1464" t="s">
        <v>8</v>
      </c>
      <c r="W32" s="1465">
        <f t="shared" si="14"/>
        <v>100</v>
      </c>
      <c r="X32" s="1458"/>
      <c r="Y32" s="3663"/>
      <c r="Z32" s="1466">
        <f t="shared" si="15"/>
        <v>111</v>
      </c>
      <c r="AA32" s="1467">
        <f t="shared" si="3"/>
        <v>1</v>
      </c>
      <c r="AB32" s="1467">
        <f t="shared" si="4"/>
        <v>1</v>
      </c>
      <c r="AC32" s="1467">
        <f t="shared" si="5"/>
        <v>1</v>
      </c>
    </row>
    <row r="33" spans="1:29" ht="15">
      <c r="A33" s="2547" t="s">
        <v>2471</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64" t="s">
        <v>533</v>
      </c>
      <c r="Q33" s="1463" t="str">
        <f t="shared" si="11"/>
        <v>建筑类型</v>
      </c>
      <c r="R33" s="1464" t="s">
        <v>8</v>
      </c>
      <c r="S33" s="1465">
        <f t="shared" si="12"/>
        <v>100</v>
      </c>
      <c r="T33" s="1464" t="s">
        <v>8</v>
      </c>
      <c r="U33" s="1465">
        <f t="shared" si="13"/>
        <v>100</v>
      </c>
      <c r="V33" s="1464" t="s">
        <v>8</v>
      </c>
      <c r="W33" s="1465">
        <f t="shared" si="14"/>
        <v>100</v>
      </c>
      <c r="X33" s="1458"/>
      <c r="Y33" s="3665"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65"/>
      <c r="Q34" s="1492" t="str">
        <f t="shared" si="11"/>
        <v>项目建筑规模</v>
      </c>
      <c r="R34" s="1468" t="s">
        <v>8</v>
      </c>
      <c r="S34" s="1469" t="e">
        <f t="shared" si="12"/>
        <v>#N/A</v>
      </c>
      <c r="T34" s="1468" t="s">
        <v>8</v>
      </c>
      <c r="U34" s="1469" t="e">
        <f t="shared" si="13"/>
        <v>#N/A</v>
      </c>
      <c r="V34" s="1468" t="s">
        <v>8</v>
      </c>
      <c r="W34" s="1469" t="e">
        <f t="shared" si="14"/>
        <v>#N/A</v>
      </c>
      <c r="X34" s="1470"/>
      <c r="Y34" s="3665"/>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65"/>
      <c r="Q35" s="1463" t="str">
        <f t="shared" si="11"/>
        <v>建筑结构</v>
      </c>
      <c r="R35" s="1464" t="s">
        <v>8</v>
      </c>
      <c r="S35" s="1465">
        <f t="shared" si="12"/>
        <v>100</v>
      </c>
      <c r="T35" s="1464" t="s">
        <v>8</v>
      </c>
      <c r="U35" s="1465">
        <f t="shared" si="13"/>
        <v>100</v>
      </c>
      <c r="V35" s="1464" t="s">
        <v>8</v>
      </c>
      <c r="W35" s="1465">
        <f t="shared" si="14"/>
        <v>100</v>
      </c>
      <c r="X35" s="1458"/>
      <c r="Y35" s="3665"/>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65"/>
      <c r="Q36" s="1463" t="str">
        <f t="shared" si="11"/>
        <v>公共部分装修</v>
      </c>
      <c r="R36" s="1464" t="s">
        <v>8</v>
      </c>
      <c r="S36" s="1465">
        <f t="shared" si="12"/>
        <v>100</v>
      </c>
      <c r="T36" s="1464" t="s">
        <v>8</v>
      </c>
      <c r="U36" s="1465">
        <f t="shared" si="13"/>
        <v>100</v>
      </c>
      <c r="V36" s="1464" t="s">
        <v>8</v>
      </c>
      <c r="W36" s="1465">
        <f t="shared" si="14"/>
        <v>100</v>
      </c>
      <c r="X36" s="1458"/>
      <c r="Y36" s="3665"/>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65"/>
      <c r="Q37" s="1463" t="str">
        <f t="shared" si="11"/>
        <v>成新度</v>
      </c>
      <c r="R37" s="1464" t="s">
        <v>8</v>
      </c>
      <c r="S37" s="1465" t="e">
        <f t="shared" si="12"/>
        <v>#N/A</v>
      </c>
      <c r="T37" s="1464" t="s">
        <v>8</v>
      </c>
      <c r="U37" s="1465" t="e">
        <f t="shared" si="13"/>
        <v>#N/A</v>
      </c>
      <c r="V37" s="1464" t="s">
        <v>8</v>
      </c>
      <c r="W37" s="1465" t="e">
        <f t="shared" si="14"/>
        <v>#N/A</v>
      </c>
      <c r="X37" s="1458"/>
      <c r="Y37" s="3665"/>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65"/>
      <c r="Q38" s="1098" t="str">
        <f t="shared" si="11"/>
        <v>写字楼等级</v>
      </c>
      <c r="R38" s="1459" t="s">
        <v>8</v>
      </c>
      <c r="S38" s="1460">
        <f t="shared" si="12"/>
        <v>100</v>
      </c>
      <c r="T38" s="1459" t="s">
        <v>8</v>
      </c>
      <c r="U38" s="1460">
        <f t="shared" si="13"/>
        <v>100</v>
      </c>
      <c r="V38" s="1459" t="s">
        <v>8</v>
      </c>
      <c r="W38" s="1460">
        <f t="shared" si="14"/>
        <v>100</v>
      </c>
      <c r="X38" s="1461"/>
      <c r="Y38" s="3665"/>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65" t="s">
        <v>533</v>
      </c>
      <c r="Q39" s="1463" t="str">
        <f t="shared" si="11"/>
        <v>物业管理</v>
      </c>
      <c r="R39" s="1464" t="s">
        <v>8</v>
      </c>
      <c r="S39" s="1465">
        <f t="shared" si="12"/>
        <v>100</v>
      </c>
      <c r="T39" s="1464" t="s">
        <v>8</v>
      </c>
      <c r="U39" s="1465">
        <f t="shared" si="13"/>
        <v>100</v>
      </c>
      <c r="V39" s="1464" t="s">
        <v>8</v>
      </c>
      <c r="W39" s="1465">
        <f t="shared" si="14"/>
        <v>100</v>
      </c>
      <c r="X39" s="1458"/>
      <c r="Y39" s="3665" t="s">
        <v>533</v>
      </c>
      <c r="Z39" s="1466" t="str">
        <f t="shared" si="15"/>
        <v>物业管理</v>
      </c>
      <c r="AA39" s="1467">
        <f t="shared" si="3"/>
        <v>1</v>
      </c>
      <c r="AB39" s="1467">
        <f t="shared" si="4"/>
        <v>1</v>
      </c>
      <c r="AC39" s="1467">
        <f t="shared" si="5"/>
        <v>1</v>
      </c>
    </row>
    <row r="40" spans="1:29" ht="15">
      <c r="A40" s="571"/>
      <c r="B40" s="1765"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65"/>
      <c r="Q40" s="1463" t="str">
        <f t="shared" si="11"/>
        <v>市政基础设施</v>
      </c>
      <c r="R40" s="1464" t="s">
        <v>8</v>
      </c>
      <c r="S40" s="1465">
        <f t="shared" si="12"/>
        <v>100</v>
      </c>
      <c r="T40" s="1464" t="s">
        <v>8</v>
      </c>
      <c r="U40" s="1465">
        <f t="shared" si="13"/>
        <v>100</v>
      </c>
      <c r="V40" s="1464" t="s">
        <v>8</v>
      </c>
      <c r="W40" s="1465">
        <f t="shared" si="14"/>
        <v>100</v>
      </c>
      <c r="X40" s="1458"/>
      <c r="Y40" s="3665"/>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65"/>
      <c r="Q41" s="1463" t="str">
        <f t="shared" si="11"/>
        <v>层高</v>
      </c>
      <c r="R41" s="1464" t="s">
        <v>8</v>
      </c>
      <c r="S41" s="1465">
        <f t="shared" si="12"/>
        <v>100</v>
      </c>
      <c r="T41" s="1464" t="s">
        <v>8</v>
      </c>
      <c r="U41" s="1465">
        <f t="shared" si="13"/>
        <v>100</v>
      </c>
      <c r="V41" s="1464" t="s">
        <v>8</v>
      </c>
      <c r="W41" s="1465">
        <f t="shared" si="14"/>
        <v>100</v>
      </c>
      <c r="X41" s="1458"/>
      <c r="Y41" s="3665"/>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65"/>
      <c r="Q42" s="1492" t="str">
        <f t="shared" si="11"/>
        <v>单套建筑面积</v>
      </c>
      <c r="R42" s="1468" t="s">
        <v>8</v>
      </c>
      <c r="S42" s="1469">
        <f t="shared" si="12"/>
        <v>100</v>
      </c>
      <c r="T42" s="1468" t="s">
        <v>8</v>
      </c>
      <c r="U42" s="1469">
        <f t="shared" si="13"/>
        <v>100</v>
      </c>
      <c r="V42" s="1468" t="s">
        <v>8</v>
      </c>
      <c r="W42" s="1469">
        <f t="shared" si="14"/>
        <v>100</v>
      </c>
      <c r="X42" s="1470"/>
      <c r="Y42" s="3665"/>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65"/>
      <c r="Q43" s="1463" t="str">
        <f t="shared" si="11"/>
        <v>内部装修</v>
      </c>
      <c r="R43" s="1464" t="s">
        <v>8</v>
      </c>
      <c r="S43" s="1465">
        <f t="shared" si="12"/>
        <v>100</v>
      </c>
      <c r="T43" s="1464" t="s">
        <v>8</v>
      </c>
      <c r="U43" s="1465">
        <f t="shared" si="13"/>
        <v>100</v>
      </c>
      <c r="V43" s="1464" t="s">
        <v>8</v>
      </c>
      <c r="W43" s="1465">
        <f t="shared" si="14"/>
        <v>100</v>
      </c>
      <c r="X43" s="1458"/>
      <c r="Y43" s="3665"/>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65"/>
      <c r="Q44" s="1463" t="str">
        <f t="shared" si="11"/>
        <v>内部装修维护情况</v>
      </c>
      <c r="R44" s="1464" t="s">
        <v>8</v>
      </c>
      <c r="S44" s="1465">
        <f t="shared" si="12"/>
        <v>100</v>
      </c>
      <c r="T44" s="1464" t="s">
        <v>8</v>
      </c>
      <c r="U44" s="1465">
        <f t="shared" si="13"/>
        <v>100</v>
      </c>
      <c r="V44" s="1464" t="s">
        <v>8</v>
      </c>
      <c r="W44" s="1465">
        <f t="shared" si="14"/>
        <v>100</v>
      </c>
      <c r="X44" s="1458"/>
      <c r="Y44" s="3665"/>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65"/>
      <c r="Q45" s="1098">
        <f t="shared" si="11"/>
        <v>111</v>
      </c>
      <c r="R45" s="1459" t="s">
        <v>8</v>
      </c>
      <c r="S45" s="1460">
        <f t="shared" si="12"/>
        <v>100</v>
      </c>
      <c r="T45" s="1459" t="s">
        <v>8</v>
      </c>
      <c r="U45" s="1460">
        <f t="shared" si="13"/>
        <v>100</v>
      </c>
      <c r="V45" s="1459" t="s">
        <v>8</v>
      </c>
      <c r="W45" s="1460">
        <f t="shared" si="14"/>
        <v>100</v>
      </c>
      <c r="X45" s="1461"/>
      <c r="Y45" s="3665"/>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65"/>
      <c r="Q46" s="1463">
        <f t="shared" si="11"/>
        <v>111</v>
      </c>
      <c r="R46" s="1464" t="s">
        <v>8</v>
      </c>
      <c r="S46" s="1465">
        <f t="shared" si="12"/>
        <v>100</v>
      </c>
      <c r="T46" s="1464" t="s">
        <v>8</v>
      </c>
      <c r="U46" s="1465">
        <f t="shared" si="13"/>
        <v>100</v>
      </c>
      <c r="V46" s="1464" t="s">
        <v>8</v>
      </c>
      <c r="W46" s="1465">
        <f t="shared" si="14"/>
        <v>100</v>
      </c>
      <c r="X46" s="1458"/>
      <c r="Y46" s="3665"/>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8"/>
      <c r="Q47" s="1463">
        <f t="shared" si="11"/>
        <v>111</v>
      </c>
      <c r="R47" s="1464" t="s">
        <v>8</v>
      </c>
      <c r="S47" s="1465">
        <f t="shared" si="12"/>
        <v>100</v>
      </c>
      <c r="T47" s="1464" t="s">
        <v>8</v>
      </c>
      <c r="U47" s="1465">
        <f t="shared" si="13"/>
        <v>100</v>
      </c>
      <c r="V47" s="1464" t="s">
        <v>8</v>
      </c>
      <c r="W47" s="1465">
        <f t="shared" si="14"/>
        <v>100</v>
      </c>
      <c r="X47" s="1458"/>
      <c r="Y47" s="3758"/>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67" t="str">
        <f>A48</f>
        <v>成交单价（元/平方米）</v>
      </c>
      <c r="Q48" s="3629"/>
      <c r="R48" s="3757">
        <f>E48</f>
        <v>0</v>
      </c>
      <c r="S48" s="3757"/>
      <c r="T48" s="3757">
        <f>G48</f>
        <v>0</v>
      </c>
      <c r="U48" s="3757"/>
      <c r="V48" s="3757">
        <f>I48</f>
        <v>0</v>
      </c>
      <c r="W48" s="3757"/>
      <c r="X48" s="1453"/>
      <c r="Y48" s="1472"/>
      <c r="Z48" s="1453"/>
      <c r="AA48" s="1453"/>
      <c r="AB48" s="1453"/>
      <c r="AC48" s="1453"/>
    </row>
    <row r="49" spans="1:29" ht="15.75" thickBot="1">
      <c r="A49" s="592" t="s">
        <v>2476</v>
      </c>
      <c r="B49" s="860"/>
      <c r="C49" s="2399" t="e">
        <f>R50</f>
        <v>#DIV/0!</v>
      </c>
      <c r="D49" s="2923" t="s">
        <v>2701</v>
      </c>
      <c r="E49" s="2400" t="e">
        <f>R49</f>
        <v>#DIV/0!</v>
      </c>
      <c r="F49" s="2924"/>
      <c r="G49" s="2399" t="e">
        <f>T49</f>
        <v>#DIV/0!</v>
      </c>
      <c r="H49" s="2924"/>
      <c r="I49" s="2400" t="e">
        <f>V49</f>
        <v>#DIV/0!</v>
      </c>
      <c r="J49" s="2924"/>
      <c r="K49" s="2932">
        <f>F49+H49+J49</f>
        <v>0</v>
      </c>
      <c r="L49" s="1981"/>
      <c r="M49" s="1971"/>
      <c r="N49" s="1971"/>
      <c r="O49" s="1971"/>
      <c r="P49" s="3667" t="str">
        <f>A49</f>
        <v>比较价格（元/平方米）</v>
      </c>
      <c r="Q49" s="3629"/>
      <c r="R49" s="3757" t="e">
        <f>IF(F1="售价",ROUND(PRODUCT(R48,AA7:AA47),0),ROUND(PRODUCT(R48,AA7:AA47),1))</f>
        <v>#DIV/0!</v>
      </c>
      <c r="S49" s="3757"/>
      <c r="T49" s="3757" t="e">
        <f>IF(F1="售价",ROUND(PRODUCT(T48,AB7:AB47),0),ROUND(PRODUCT(T48,AB7:AB47),1))</f>
        <v>#DIV/0!</v>
      </c>
      <c r="U49" s="3757"/>
      <c r="V49" s="3757" t="e">
        <f>IF(F1="售价",ROUND(PRODUCT(V48,AC7:AC47),0),ROUND(PRODUCT(V48,AC7:AC47),1))</f>
        <v>#DIV/0!</v>
      </c>
      <c r="W49" s="3757"/>
      <c r="X49" s="1453"/>
      <c r="Y49" s="1453"/>
      <c r="Z49" s="1453"/>
      <c r="AA49" s="1453"/>
      <c r="AB49" s="1453"/>
      <c r="AC49" s="1453"/>
    </row>
    <row r="50" spans="1:29" ht="15.75" thickBot="1">
      <c r="A50" s="596" t="s">
        <v>2636</v>
      </c>
      <c r="B50" s="597"/>
      <c r="C50" s="2401" t="e">
        <f>R50</f>
        <v>#DIV/0!</v>
      </c>
      <c r="D50" s="2401"/>
      <c r="E50" s="2401"/>
      <c r="F50" s="2401"/>
      <c r="G50" s="2401"/>
      <c r="H50" s="2401"/>
      <c r="I50" s="2401"/>
      <c r="J50" s="2401"/>
      <c r="K50" s="1498"/>
      <c r="L50" s="1981"/>
      <c r="M50" s="1971"/>
      <c r="N50" s="1971"/>
      <c r="O50" s="1971"/>
      <c r="P50" s="3759" t="str">
        <f>A50</f>
        <v>估价对象XX用房的比较价格（楼面单价，元/平方米）</v>
      </c>
      <c r="Q50" s="3667"/>
      <c r="R50" s="3756" t="e">
        <f>IF(F1="售价",ROUND(IF(D49="简单平均",AVERAGE(R49:V49),R49*F49+T49*H49+V49*J49),0),ROUND(IF(D49="简单平均",AVERAGE(R49:V49),R49*F49+T49*H49+V49*J49),1))</f>
        <v>#DIV/0!</v>
      </c>
      <c r="S50" s="3756"/>
      <c r="T50" s="3756"/>
      <c r="U50" s="3756"/>
      <c r="V50" s="3756"/>
      <c r="W50" s="3756"/>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2020-4</v>
      </c>
      <c r="D59" s="2444">
        <f>EDATE(C59,-1)</f>
        <v>43891</v>
      </c>
      <c r="E59" s="2444">
        <f t="shared" ref="E59:O59" si="16">EDATE(D59,-1)</f>
        <v>43862</v>
      </c>
      <c r="F59" s="2444">
        <f t="shared" si="16"/>
        <v>43831</v>
      </c>
      <c r="G59" s="2444">
        <f t="shared" si="16"/>
        <v>43800</v>
      </c>
      <c r="H59" s="2444">
        <f t="shared" si="16"/>
        <v>43770</v>
      </c>
      <c r="I59" s="2444">
        <f t="shared" si="16"/>
        <v>43739</v>
      </c>
      <c r="J59" s="2444">
        <f t="shared" si="16"/>
        <v>43709</v>
      </c>
      <c r="K59" s="2444">
        <f t="shared" si="16"/>
        <v>43678</v>
      </c>
      <c r="L59" s="2444">
        <f t="shared" si="16"/>
        <v>43647</v>
      </c>
      <c r="M59" s="2444">
        <f t="shared" si="16"/>
        <v>43617</v>
      </c>
      <c r="N59" s="2444">
        <f t="shared" si="16"/>
        <v>43586</v>
      </c>
      <c r="O59" s="2444">
        <f t="shared" si="16"/>
        <v>43556</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2274</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2275</v>
      </c>
      <c r="C83" s="2365" t="s">
        <v>2276</v>
      </c>
      <c r="D83" s="2365" t="s">
        <v>2277</v>
      </c>
      <c r="E83" s="2365" t="s">
        <v>2278</v>
      </c>
      <c r="F83" s="2365" t="s">
        <v>2279</v>
      </c>
      <c r="G83" s="2365" t="s">
        <v>2280</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2273</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35" t="s">
        <v>505</v>
      </c>
      <c r="D4" s="3636"/>
      <c r="E4" s="3670" t="s">
        <v>506</v>
      </c>
      <c r="F4" s="3671"/>
      <c r="G4" s="3635" t="s">
        <v>507</v>
      </c>
      <c r="H4" s="3636"/>
      <c r="I4" s="3635" t="s">
        <v>508</v>
      </c>
      <c r="J4" s="3636"/>
      <c r="K4" s="491" t="s">
        <v>509</v>
      </c>
      <c r="L4" s="1970"/>
      <c r="M4" s="1971"/>
      <c r="N4" s="1971"/>
      <c r="O4" s="1971"/>
      <c r="P4" s="3637" t="s">
        <v>510</v>
      </c>
      <c r="Q4" s="3638"/>
      <c r="R4" s="3643" t="s">
        <v>506</v>
      </c>
      <c r="S4" s="3644"/>
      <c r="T4" s="3643" t="s">
        <v>507</v>
      </c>
      <c r="U4" s="3644"/>
      <c r="V4" s="3630" t="s">
        <v>508</v>
      </c>
      <c r="W4" s="3630"/>
      <c r="X4" s="1458"/>
      <c r="Y4" s="3643" t="s">
        <v>510</v>
      </c>
      <c r="Z4" s="3644"/>
      <c r="AA4" s="3632" t="s">
        <v>506</v>
      </c>
      <c r="AB4" s="3633" t="s">
        <v>507</v>
      </c>
      <c r="AC4" s="3632" t="s">
        <v>508</v>
      </c>
    </row>
    <row r="5" spans="1:29" ht="15">
      <c r="A5" s="492"/>
      <c r="B5" s="493"/>
      <c r="C5" s="3651" t="s">
        <v>2630</v>
      </c>
      <c r="D5" s="3652"/>
      <c r="E5" s="3672" t="s">
        <v>2631</v>
      </c>
      <c r="F5" s="3673"/>
      <c r="G5" s="3651" t="s">
        <v>2632</v>
      </c>
      <c r="H5" s="3652"/>
      <c r="I5" s="3651" t="s">
        <v>2633</v>
      </c>
      <c r="J5" s="3652"/>
      <c r="K5" s="491"/>
      <c r="L5" s="1970"/>
      <c r="M5" s="1971"/>
      <c r="N5" s="1971"/>
      <c r="O5" s="1971"/>
      <c r="P5" s="3639"/>
      <c r="Q5" s="3640"/>
      <c r="R5" s="3645"/>
      <c r="S5" s="3646"/>
      <c r="T5" s="3645"/>
      <c r="U5" s="3646"/>
      <c r="V5" s="3630"/>
      <c r="W5" s="3630"/>
      <c r="X5" s="1458"/>
      <c r="Y5" s="3645"/>
      <c r="Z5" s="3646"/>
      <c r="AA5" s="3633"/>
      <c r="AB5" s="3633"/>
      <c r="AC5" s="3633"/>
    </row>
    <row r="6" spans="1:29" ht="15.75" thickBot="1">
      <c r="A6" s="494"/>
      <c r="B6" s="495"/>
      <c r="C6" s="3649" t="s">
        <v>2634</v>
      </c>
      <c r="D6" s="3650"/>
      <c r="E6" s="3668" t="s">
        <v>2634</v>
      </c>
      <c r="F6" s="3669"/>
      <c r="G6" s="3649" t="s">
        <v>2634</v>
      </c>
      <c r="H6" s="3650"/>
      <c r="I6" s="3649" t="s">
        <v>2634</v>
      </c>
      <c r="J6" s="3650"/>
      <c r="K6" s="491" t="s">
        <v>511</v>
      </c>
      <c r="L6" s="1970"/>
      <c r="M6" s="1971"/>
      <c r="N6" s="1971"/>
      <c r="O6" s="1971"/>
      <c r="P6" s="3641"/>
      <c r="Q6" s="3642"/>
      <c r="R6" s="3645"/>
      <c r="S6" s="3646"/>
      <c r="T6" s="3647"/>
      <c r="U6" s="3648"/>
      <c r="V6" s="3630"/>
      <c r="W6" s="3630"/>
      <c r="X6" s="1458"/>
      <c r="Y6" s="3647"/>
      <c r="Z6" s="3648"/>
      <c r="AA6" s="3634"/>
      <c r="AB6" s="3634"/>
      <c r="AC6" s="3634"/>
    </row>
    <row r="7" spans="1:29" s="1167" customFormat="1" ht="15.75" thickBot="1">
      <c r="A7" s="2552"/>
      <c r="B7" s="2559" t="s">
        <v>512</v>
      </c>
      <c r="C7" s="496">
        <f>'数据-取费表'!B2</f>
        <v>43923</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59" t="s">
        <v>513</v>
      </c>
      <c r="Q7" s="3661"/>
      <c r="R7" s="1459" t="s">
        <v>8</v>
      </c>
      <c r="S7" s="1460">
        <f t="shared" ref="S7:S15" si="0">F7</f>
        <v>0</v>
      </c>
      <c r="T7" s="1459" t="s">
        <v>8</v>
      </c>
      <c r="U7" s="1460">
        <f t="shared" ref="U7:U15" si="1">H7</f>
        <v>0</v>
      </c>
      <c r="V7" s="1459" t="s">
        <v>8</v>
      </c>
      <c r="W7" s="1460">
        <f t="shared" ref="W7:W15"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59" t="s">
        <v>516</v>
      </c>
      <c r="Q8" s="3660"/>
      <c r="R8" s="1459" t="s">
        <v>8</v>
      </c>
      <c r="S8" s="1460">
        <f t="shared" si="0"/>
        <v>0</v>
      </c>
      <c r="T8" s="1459" t="s">
        <v>8</v>
      </c>
      <c r="U8" s="1460">
        <f t="shared" si="1"/>
        <v>0</v>
      </c>
      <c r="V8" s="1459" t="s">
        <v>8</v>
      </c>
      <c r="W8" s="1460">
        <f t="shared" si="2"/>
        <v>0</v>
      </c>
      <c r="X8" s="1461"/>
      <c r="Y8" s="3659" t="s">
        <v>516</v>
      </c>
      <c r="Z8" s="3660"/>
      <c r="AA8" s="1462" t="e">
        <f t="shared" ref="AA8:AA40" si="3">D8/F8</f>
        <v>#DIV/0!</v>
      </c>
      <c r="AB8" s="1462" t="e">
        <f t="shared" ref="AB8:AB40" si="4">D8/H8</f>
        <v>#DIV/0!</v>
      </c>
      <c r="AC8" s="1462" t="e">
        <f t="shared" ref="AC8:AC40" si="5">D8/J8</f>
        <v>#DIV/0!</v>
      </c>
    </row>
    <row r="9" spans="1:29" s="1167" customFormat="1" ht="15">
      <c r="A9" s="2554"/>
      <c r="B9" s="2561" t="s">
        <v>2472</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29" t="s">
        <v>518</v>
      </c>
      <c r="Q9" s="1098" t="str">
        <f t="shared" ref="Q9:Q15" si="6">B9</f>
        <v>用途</v>
      </c>
      <c r="R9" s="1459" t="s">
        <v>8</v>
      </c>
      <c r="S9" s="1460">
        <f t="shared" si="0"/>
        <v>100</v>
      </c>
      <c r="T9" s="1459" t="s">
        <v>8</v>
      </c>
      <c r="U9" s="1460">
        <f t="shared" si="1"/>
        <v>100</v>
      </c>
      <c r="V9" s="1459" t="s">
        <v>8</v>
      </c>
      <c r="W9" s="1460">
        <f t="shared" si="2"/>
        <v>100</v>
      </c>
      <c r="X9" s="1461"/>
      <c r="Y9" s="3573"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29"/>
      <c r="Q11" s="1098" t="str">
        <f t="shared" si="6"/>
        <v>容积率</v>
      </c>
      <c r="R11" s="1459" t="s">
        <v>8</v>
      </c>
      <c r="S11" s="1460" t="e">
        <f t="shared" si="0"/>
        <v>#N/A</v>
      </c>
      <c r="T11" s="1459" t="s">
        <v>8</v>
      </c>
      <c r="U11" s="1460" t="e">
        <f t="shared" si="1"/>
        <v>#N/A</v>
      </c>
      <c r="V11" s="1459" t="s">
        <v>8</v>
      </c>
      <c r="W11" s="1460" t="e">
        <f t="shared" si="2"/>
        <v>#N/A</v>
      </c>
      <c r="X11" s="1461"/>
      <c r="Y11" s="3573"/>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29"/>
      <c r="Q12" s="1098">
        <f t="shared" si="6"/>
        <v>111</v>
      </c>
      <c r="R12" s="1459" t="s">
        <v>8</v>
      </c>
      <c r="S12" s="1460">
        <f t="shared" si="0"/>
        <v>100</v>
      </c>
      <c r="T12" s="1459" t="s">
        <v>8</v>
      </c>
      <c r="U12" s="1460">
        <f t="shared" si="1"/>
        <v>100</v>
      </c>
      <c r="V12" s="1459" t="s">
        <v>8</v>
      </c>
      <c r="W12" s="1460">
        <f t="shared" si="2"/>
        <v>100</v>
      </c>
      <c r="X12" s="1461"/>
      <c r="Y12" s="3573"/>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29"/>
      <c r="Q13" s="1098">
        <f t="shared" si="6"/>
        <v>111</v>
      </c>
      <c r="R13" s="1459" t="s">
        <v>8</v>
      </c>
      <c r="S13" s="1460">
        <f t="shared" si="0"/>
        <v>100</v>
      </c>
      <c r="T13" s="1459" t="s">
        <v>8</v>
      </c>
      <c r="U13" s="1460">
        <f t="shared" si="1"/>
        <v>100</v>
      </c>
      <c r="V13" s="1459" t="s">
        <v>8</v>
      </c>
      <c r="W13" s="1460">
        <f t="shared" si="2"/>
        <v>100</v>
      </c>
      <c r="X13" s="1461"/>
      <c r="Y13" s="3573"/>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29"/>
      <c r="Q14" s="1098">
        <f t="shared" si="6"/>
        <v>111</v>
      </c>
      <c r="R14" s="1459" t="s">
        <v>8</v>
      </c>
      <c r="S14" s="1460">
        <f t="shared" si="0"/>
        <v>100</v>
      </c>
      <c r="T14" s="1459" t="s">
        <v>8</v>
      </c>
      <c r="U14" s="1460">
        <f t="shared" si="1"/>
        <v>100</v>
      </c>
      <c r="V14" s="1459" t="s">
        <v>8</v>
      </c>
      <c r="W14" s="1460">
        <f t="shared" si="2"/>
        <v>100</v>
      </c>
      <c r="X14" s="1461"/>
      <c r="Y14" s="3573"/>
      <c r="Z14" s="1097">
        <f t="shared" si="7"/>
        <v>111</v>
      </c>
      <c r="AA14" s="1462">
        <f t="shared" si="3"/>
        <v>1</v>
      </c>
      <c r="AB14" s="1462">
        <f t="shared" si="4"/>
        <v>1</v>
      </c>
      <c r="AC14" s="1462">
        <f t="shared" si="5"/>
        <v>1</v>
      </c>
    </row>
    <row r="15" spans="1:29" ht="57">
      <c r="A15" s="2550" t="s">
        <v>2470</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62" t="s">
        <v>523</v>
      </c>
      <c r="Q15" s="1463" t="str">
        <f t="shared" si="6"/>
        <v>产业集聚程度</v>
      </c>
      <c r="R15" s="1464" t="s">
        <v>8</v>
      </c>
      <c r="S15" s="1465">
        <f t="shared" si="0"/>
        <v>100</v>
      </c>
      <c r="T15" s="1464" t="s">
        <v>8</v>
      </c>
      <c r="U15" s="1465">
        <f t="shared" si="1"/>
        <v>100</v>
      </c>
      <c r="V15" s="1464" t="s">
        <v>8</v>
      </c>
      <c r="W15" s="1465">
        <f t="shared" si="2"/>
        <v>100</v>
      </c>
      <c r="X15" s="1458"/>
      <c r="Y15" s="3662"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63"/>
      <c r="Q16" s="1463"/>
      <c r="R16" s="1464"/>
      <c r="S16" s="1465"/>
      <c r="T16" s="1464"/>
      <c r="U16" s="1465"/>
      <c r="V16" s="1464"/>
      <c r="W16" s="1465"/>
      <c r="X16" s="1458"/>
      <c r="Y16" s="3663"/>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63"/>
      <c r="Q17" s="1463" t="str">
        <f>B17</f>
        <v>交通便捷度</v>
      </c>
      <c r="R17" s="1464" t="s">
        <v>8</v>
      </c>
      <c r="S17" s="1465">
        <f>F17</f>
        <v>100</v>
      </c>
      <c r="T17" s="1464" t="s">
        <v>8</v>
      </c>
      <c r="U17" s="1465">
        <f>H17</f>
        <v>100</v>
      </c>
      <c r="V17" s="1464" t="s">
        <v>8</v>
      </c>
      <c r="W17" s="1465">
        <f>J17</f>
        <v>100</v>
      </c>
      <c r="X17" s="1458"/>
      <c r="Y17" s="3663"/>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63"/>
      <c r="Q18" s="1463"/>
      <c r="R18" s="1464"/>
      <c r="S18" s="1465"/>
      <c r="T18" s="1464"/>
      <c r="U18" s="1465"/>
      <c r="V18" s="1464"/>
      <c r="W18" s="1465"/>
      <c r="X18" s="1458"/>
      <c r="Y18" s="3663"/>
      <c r="Z18" s="1466"/>
      <c r="AA18" s="1467">
        <v>1</v>
      </c>
      <c r="AB18" s="1467">
        <v>1</v>
      </c>
      <c r="AC18" s="1467">
        <v>1</v>
      </c>
    </row>
    <row r="19" spans="1:29" ht="42.75">
      <c r="A19" s="509"/>
      <c r="B19" s="2370"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63"/>
      <c r="Q19" s="1463" t="str">
        <f>B19</f>
        <v>公共配套设施</v>
      </c>
      <c r="R19" s="1464" t="s">
        <v>8</v>
      </c>
      <c r="S19" s="1465">
        <f>F19</f>
        <v>100</v>
      </c>
      <c r="T19" s="1464" t="s">
        <v>8</v>
      </c>
      <c r="U19" s="1465">
        <f>H19</f>
        <v>100</v>
      </c>
      <c r="V19" s="1464" t="s">
        <v>8</v>
      </c>
      <c r="W19" s="1465">
        <f>J19</f>
        <v>100</v>
      </c>
      <c r="X19" s="1458"/>
      <c r="Y19" s="3663"/>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63"/>
      <c r="Q20" s="1463"/>
      <c r="R20" s="1464"/>
      <c r="S20" s="1465"/>
      <c r="T20" s="1464"/>
      <c r="U20" s="1465"/>
      <c r="V20" s="1464"/>
      <c r="W20" s="1465"/>
      <c r="X20" s="1458"/>
      <c r="Y20" s="3663"/>
      <c r="Z20" s="1466"/>
      <c r="AA20" s="1467">
        <v>1</v>
      </c>
      <c r="AB20" s="1467">
        <v>1</v>
      </c>
      <c r="AC20" s="1467">
        <v>1</v>
      </c>
    </row>
    <row r="21" spans="1:29" ht="28.5">
      <c r="A21" s="509"/>
      <c r="B21" s="2358"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63"/>
      <c r="Q21" s="2352" t="str">
        <f>B21</f>
        <v>基础设施水平</v>
      </c>
      <c r="R21" s="1464" t="s">
        <v>8</v>
      </c>
      <c r="S21" s="1465">
        <f>F21</f>
        <v>100</v>
      </c>
      <c r="T21" s="1464" t="s">
        <v>8</v>
      </c>
      <c r="U21" s="1465">
        <f>H21</f>
        <v>100</v>
      </c>
      <c r="V21" s="1464" t="s">
        <v>8</v>
      </c>
      <c r="W21" s="1465">
        <f>J21</f>
        <v>100</v>
      </c>
      <c r="X21" s="2354"/>
      <c r="Y21" s="3663"/>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63"/>
      <c r="Q22" s="2352"/>
      <c r="R22" s="1464"/>
      <c r="S22" s="1465"/>
      <c r="T22" s="1464"/>
      <c r="U22" s="1465"/>
      <c r="V22" s="1464"/>
      <c r="W22" s="1465"/>
      <c r="X22" s="2354"/>
      <c r="Y22" s="3663"/>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63"/>
      <c r="Q23" s="1463" t="str">
        <f>B23</f>
        <v>环境质量</v>
      </c>
      <c r="R23" s="1464" t="s">
        <v>8</v>
      </c>
      <c r="S23" s="1465">
        <f>F23</f>
        <v>100</v>
      </c>
      <c r="T23" s="1464" t="s">
        <v>8</v>
      </c>
      <c r="U23" s="1465">
        <f>H23</f>
        <v>100</v>
      </c>
      <c r="V23" s="1464" t="s">
        <v>8</v>
      </c>
      <c r="W23" s="1465">
        <f>J23</f>
        <v>100</v>
      </c>
      <c r="X23" s="1458"/>
      <c r="Y23" s="3663"/>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63"/>
      <c r="Q24" s="1463"/>
      <c r="R24" s="1464"/>
      <c r="S24" s="1465"/>
      <c r="T24" s="1464"/>
      <c r="U24" s="1465"/>
      <c r="V24" s="1464"/>
      <c r="W24" s="1465"/>
      <c r="X24" s="1458"/>
      <c r="Y24" s="3663"/>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63"/>
      <c r="Q25" s="1463">
        <f>B25</f>
        <v>111</v>
      </c>
      <c r="R25" s="1464" t="s">
        <v>8</v>
      </c>
      <c r="S25" s="1465">
        <f>F25</f>
        <v>100</v>
      </c>
      <c r="T25" s="1464" t="s">
        <v>8</v>
      </c>
      <c r="U25" s="1465">
        <f>H25</f>
        <v>100</v>
      </c>
      <c r="V25" s="1464" t="s">
        <v>8</v>
      </c>
      <c r="W25" s="1465">
        <f>J25</f>
        <v>100</v>
      </c>
      <c r="X25" s="1458"/>
      <c r="Y25" s="3663"/>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63"/>
      <c r="Q26" s="1463">
        <f t="shared" ref="Q26:Q40" si="11">B26</f>
        <v>111</v>
      </c>
      <c r="R26" s="1464" t="s">
        <v>8</v>
      </c>
      <c r="S26" s="1465">
        <f>F26</f>
        <v>100</v>
      </c>
      <c r="T26" s="1464" t="s">
        <v>8</v>
      </c>
      <c r="U26" s="1465">
        <f>H26</f>
        <v>100</v>
      </c>
      <c r="V26" s="1464" t="s">
        <v>8</v>
      </c>
      <c r="W26" s="1465">
        <f>J26</f>
        <v>100</v>
      </c>
      <c r="X26" s="1458"/>
      <c r="Y26" s="3663"/>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63"/>
      <c r="Q27" s="1098">
        <f t="shared" si="11"/>
        <v>111</v>
      </c>
      <c r="R27" s="1459" t="s">
        <v>8</v>
      </c>
      <c r="S27" s="1460">
        <f>F27</f>
        <v>100</v>
      </c>
      <c r="T27" s="1459" t="s">
        <v>8</v>
      </c>
      <c r="U27" s="1460">
        <f>H27</f>
        <v>100</v>
      </c>
      <c r="V27" s="1459" t="s">
        <v>8</v>
      </c>
      <c r="W27" s="1460">
        <f>J27</f>
        <v>100</v>
      </c>
      <c r="X27" s="1461"/>
      <c r="Y27" s="3663"/>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63"/>
      <c r="Q28" s="1463">
        <f t="shared" si="11"/>
        <v>111</v>
      </c>
      <c r="R28" s="1464" t="s">
        <v>8</v>
      </c>
      <c r="S28" s="1465">
        <f t="shared" ref="S28:S40" si="12">F28</f>
        <v>100</v>
      </c>
      <c r="T28" s="1464" t="s">
        <v>8</v>
      </c>
      <c r="U28" s="1465">
        <f t="shared" ref="U28:U40" si="13">H28</f>
        <v>100</v>
      </c>
      <c r="V28" s="1464" t="s">
        <v>8</v>
      </c>
      <c r="W28" s="1465">
        <f t="shared" ref="W28:W40" si="14">J28</f>
        <v>100</v>
      </c>
      <c r="X28" s="1458"/>
      <c r="Y28" s="3663"/>
      <c r="Z28" s="1466">
        <f t="shared" ref="Z28:Z40" si="15">Q28</f>
        <v>111</v>
      </c>
      <c r="AA28" s="1467">
        <f t="shared" si="3"/>
        <v>1</v>
      </c>
      <c r="AB28" s="1467">
        <f t="shared" si="4"/>
        <v>1</v>
      </c>
      <c r="AC28" s="1467">
        <f t="shared" si="5"/>
        <v>1</v>
      </c>
    </row>
    <row r="29" spans="1:29" ht="15">
      <c r="A29" s="2547" t="s">
        <v>2471</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64" t="s">
        <v>533</v>
      </c>
      <c r="Q29" s="1463" t="str">
        <f t="shared" si="11"/>
        <v>建筑类型</v>
      </c>
      <c r="R29" s="1464" t="s">
        <v>8</v>
      </c>
      <c r="S29" s="1465">
        <f t="shared" si="12"/>
        <v>100</v>
      </c>
      <c r="T29" s="1464" t="s">
        <v>8</v>
      </c>
      <c r="U29" s="1465">
        <f t="shared" si="13"/>
        <v>100</v>
      </c>
      <c r="V29" s="1464" t="s">
        <v>8</v>
      </c>
      <c r="W29" s="1465">
        <f t="shared" si="14"/>
        <v>100</v>
      </c>
      <c r="X29" s="1458"/>
      <c r="Y29" s="3665"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65"/>
      <c r="Q30" s="1492" t="str">
        <f t="shared" si="11"/>
        <v>项目建筑规模</v>
      </c>
      <c r="R30" s="1468" t="s">
        <v>8</v>
      </c>
      <c r="S30" s="1469" t="e">
        <f t="shared" si="12"/>
        <v>#N/A</v>
      </c>
      <c r="T30" s="1468" t="s">
        <v>8</v>
      </c>
      <c r="U30" s="1469" t="e">
        <f t="shared" si="13"/>
        <v>#N/A</v>
      </c>
      <c r="V30" s="1468" t="s">
        <v>8</v>
      </c>
      <c r="W30" s="1469" t="e">
        <f t="shared" si="14"/>
        <v>#N/A</v>
      </c>
      <c r="X30" s="1470"/>
      <c r="Y30" s="3665"/>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65"/>
      <c r="Q31" s="1463" t="str">
        <f t="shared" si="11"/>
        <v>建筑结构</v>
      </c>
      <c r="R31" s="1464" t="s">
        <v>8</v>
      </c>
      <c r="S31" s="1465">
        <f t="shared" si="12"/>
        <v>100</v>
      </c>
      <c r="T31" s="1464" t="s">
        <v>8</v>
      </c>
      <c r="U31" s="1465">
        <f t="shared" si="13"/>
        <v>100</v>
      </c>
      <c r="V31" s="1464" t="s">
        <v>8</v>
      </c>
      <c r="W31" s="1465">
        <f t="shared" si="14"/>
        <v>100</v>
      </c>
      <c r="X31" s="1458"/>
      <c r="Y31" s="3665"/>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65"/>
      <c r="Q32" s="1463" t="str">
        <f t="shared" si="11"/>
        <v>公共部分装修</v>
      </c>
      <c r="R32" s="1464" t="s">
        <v>8</v>
      </c>
      <c r="S32" s="1465">
        <f t="shared" si="12"/>
        <v>100</v>
      </c>
      <c r="T32" s="1464" t="s">
        <v>8</v>
      </c>
      <c r="U32" s="1465">
        <f t="shared" si="13"/>
        <v>100</v>
      </c>
      <c r="V32" s="1464" t="s">
        <v>8</v>
      </c>
      <c r="W32" s="1465">
        <f t="shared" si="14"/>
        <v>100</v>
      </c>
      <c r="X32" s="1458"/>
      <c r="Y32" s="3665"/>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65"/>
      <c r="Q33" s="1463" t="str">
        <f t="shared" si="11"/>
        <v>成新度</v>
      </c>
      <c r="R33" s="1464" t="s">
        <v>8</v>
      </c>
      <c r="S33" s="1465" t="e">
        <f t="shared" si="12"/>
        <v>#N/A</v>
      </c>
      <c r="T33" s="1464" t="s">
        <v>8</v>
      </c>
      <c r="U33" s="1465" t="e">
        <f t="shared" si="13"/>
        <v>#N/A</v>
      </c>
      <c r="V33" s="1464" t="s">
        <v>8</v>
      </c>
      <c r="W33" s="1465" t="e">
        <f t="shared" si="14"/>
        <v>#N/A</v>
      </c>
      <c r="X33" s="1458"/>
      <c r="Y33" s="3665"/>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65"/>
      <c r="Q34" s="1098" t="str">
        <f t="shared" si="11"/>
        <v>物业管理</v>
      </c>
      <c r="R34" s="1459" t="s">
        <v>8</v>
      </c>
      <c r="S34" s="1460">
        <f t="shared" si="12"/>
        <v>100</v>
      </c>
      <c r="T34" s="1459" t="s">
        <v>8</v>
      </c>
      <c r="U34" s="1460">
        <f t="shared" si="13"/>
        <v>100</v>
      </c>
      <c r="V34" s="1459" t="s">
        <v>8</v>
      </c>
      <c r="W34" s="1460">
        <f t="shared" si="14"/>
        <v>100</v>
      </c>
      <c r="X34" s="1461"/>
      <c r="Y34" s="3665"/>
      <c r="Z34" s="1097" t="str">
        <f t="shared" si="15"/>
        <v>物业管理</v>
      </c>
      <c r="AA34" s="1462">
        <f t="shared" si="3"/>
        <v>1</v>
      </c>
      <c r="AB34" s="1462">
        <f t="shared" si="4"/>
        <v>1</v>
      </c>
      <c r="AC34" s="1462">
        <f t="shared" si="5"/>
        <v>1</v>
      </c>
    </row>
    <row r="35" spans="1:29" ht="15">
      <c r="A35" s="571"/>
      <c r="B35" s="1765"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65" t="s">
        <v>533</v>
      </c>
      <c r="Q35" s="1463" t="str">
        <f t="shared" si="11"/>
        <v>市政基础设施</v>
      </c>
      <c r="R35" s="1464" t="s">
        <v>8</v>
      </c>
      <c r="S35" s="1465">
        <f t="shared" si="12"/>
        <v>100</v>
      </c>
      <c r="T35" s="1464" t="s">
        <v>8</v>
      </c>
      <c r="U35" s="1465">
        <f t="shared" si="13"/>
        <v>100</v>
      </c>
      <c r="V35" s="1464" t="s">
        <v>8</v>
      </c>
      <c r="W35" s="1465">
        <f t="shared" si="14"/>
        <v>100</v>
      </c>
      <c r="X35" s="1458"/>
      <c r="Y35" s="3665"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65"/>
      <c r="Q36" s="1463" t="str">
        <f t="shared" si="11"/>
        <v>内部装修</v>
      </c>
      <c r="R36" s="1464" t="s">
        <v>8</v>
      </c>
      <c r="S36" s="1465">
        <f t="shared" si="12"/>
        <v>100</v>
      </c>
      <c r="T36" s="1464" t="s">
        <v>8</v>
      </c>
      <c r="U36" s="1465">
        <f t="shared" si="13"/>
        <v>100</v>
      </c>
      <c r="V36" s="1464" t="s">
        <v>8</v>
      </c>
      <c r="W36" s="1465">
        <f t="shared" si="14"/>
        <v>100</v>
      </c>
      <c r="X36" s="1458"/>
      <c r="Y36" s="3665"/>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65"/>
      <c r="Q37" s="1463" t="str">
        <f t="shared" si="11"/>
        <v>内部装修状况</v>
      </c>
      <c r="R37" s="1464" t="s">
        <v>8</v>
      </c>
      <c r="S37" s="1465">
        <f t="shared" si="12"/>
        <v>100</v>
      </c>
      <c r="T37" s="1464" t="s">
        <v>8</v>
      </c>
      <c r="U37" s="1465">
        <f t="shared" si="13"/>
        <v>100</v>
      </c>
      <c r="V37" s="1464" t="s">
        <v>8</v>
      </c>
      <c r="W37" s="1465">
        <f t="shared" si="14"/>
        <v>100</v>
      </c>
      <c r="X37" s="1458"/>
      <c r="Y37" s="3665"/>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65"/>
      <c r="Q38" s="1492">
        <f t="shared" si="11"/>
        <v>111</v>
      </c>
      <c r="R38" s="1468" t="s">
        <v>8</v>
      </c>
      <c r="S38" s="1469">
        <f t="shared" si="12"/>
        <v>100</v>
      </c>
      <c r="T38" s="1468" t="s">
        <v>8</v>
      </c>
      <c r="U38" s="1469">
        <f t="shared" si="13"/>
        <v>100</v>
      </c>
      <c r="V38" s="1468" t="s">
        <v>8</v>
      </c>
      <c r="W38" s="1469">
        <f t="shared" si="14"/>
        <v>100</v>
      </c>
      <c r="X38" s="1470"/>
      <c r="Y38" s="3665"/>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65"/>
      <c r="Q39" s="1463">
        <f t="shared" si="11"/>
        <v>111</v>
      </c>
      <c r="R39" s="1464" t="s">
        <v>8</v>
      </c>
      <c r="S39" s="1465">
        <f t="shared" si="12"/>
        <v>100</v>
      </c>
      <c r="T39" s="1464" t="s">
        <v>8</v>
      </c>
      <c r="U39" s="1465">
        <f t="shared" si="13"/>
        <v>100</v>
      </c>
      <c r="V39" s="1464" t="s">
        <v>8</v>
      </c>
      <c r="W39" s="1465">
        <f t="shared" si="14"/>
        <v>100</v>
      </c>
      <c r="X39" s="1458"/>
      <c r="Y39" s="3665"/>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8"/>
      <c r="Q40" s="1463">
        <f t="shared" si="11"/>
        <v>111</v>
      </c>
      <c r="R40" s="1464" t="s">
        <v>8</v>
      </c>
      <c r="S40" s="1465">
        <f t="shared" si="12"/>
        <v>100</v>
      </c>
      <c r="T40" s="1464" t="s">
        <v>8</v>
      </c>
      <c r="U40" s="1465">
        <f t="shared" si="13"/>
        <v>100</v>
      </c>
      <c r="V40" s="1464" t="s">
        <v>8</v>
      </c>
      <c r="W40" s="1465">
        <f t="shared" si="14"/>
        <v>100</v>
      </c>
      <c r="X40" s="1458"/>
      <c r="Y40" s="3758"/>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29" t="str">
        <f>A41</f>
        <v>成交单价（元/平方米）</v>
      </c>
      <c r="Q41" s="3629"/>
      <c r="R41" s="3757">
        <f>E41</f>
        <v>0</v>
      </c>
      <c r="S41" s="3757"/>
      <c r="T41" s="3757">
        <f>G41</f>
        <v>0</v>
      </c>
      <c r="U41" s="3757"/>
      <c r="V41" s="3757">
        <f>I41</f>
        <v>0</v>
      </c>
      <c r="W41" s="3757"/>
      <c r="X41" s="1453"/>
      <c r="Y41" s="1472"/>
      <c r="Z41" s="1453"/>
      <c r="AA41" s="1453"/>
      <c r="AB41" s="1453"/>
      <c r="AC41" s="1453"/>
    </row>
    <row r="42" spans="1:29" ht="15.75" thickBot="1">
      <c r="A42" s="592" t="s">
        <v>2476</v>
      </c>
      <c r="B42" s="860"/>
      <c r="C42" s="2399" t="e">
        <f>R43</f>
        <v>#DIV/0!</v>
      </c>
      <c r="D42" s="2923" t="s">
        <v>2701</v>
      </c>
      <c r="E42" s="2400" t="e">
        <f>R42</f>
        <v>#DIV/0!</v>
      </c>
      <c r="F42" s="2924"/>
      <c r="G42" s="2399" t="e">
        <f>T42</f>
        <v>#DIV/0!</v>
      </c>
      <c r="H42" s="2924"/>
      <c r="I42" s="2400" t="e">
        <f>V42</f>
        <v>#DIV/0!</v>
      </c>
      <c r="J42" s="2924"/>
      <c r="K42" s="2932">
        <f>F42+H42+J42</f>
        <v>0</v>
      </c>
      <c r="L42" s="1981"/>
      <c r="M42" s="1982"/>
      <c r="N42" s="1971"/>
      <c r="O42" s="1982"/>
      <c r="P42" s="3629" t="str">
        <f>A42</f>
        <v>比较价格（元/平方米）</v>
      </c>
      <c r="Q42" s="3629"/>
      <c r="R42" s="3757" t="e">
        <f>IF(F1="售价",ROUND(PRODUCT(R41,AA7:AA40),0),ROUND(PRODUCT(R41,AA7:AA40),1))</f>
        <v>#DIV/0!</v>
      </c>
      <c r="S42" s="3757"/>
      <c r="T42" s="3757" t="e">
        <f>IF(F1="售价",ROUND(PRODUCT(T41,AB7:AB40),0),ROUND(PRODUCT(T41,AB7:AB40),1))</f>
        <v>#DIV/0!</v>
      </c>
      <c r="U42" s="3757"/>
      <c r="V42" s="3757" t="e">
        <f>IF(F1="售价",ROUND(PRODUCT(V41,AC7:AC40),0),ROUND(PRODUCT(V41,AC7:AC40),1))</f>
        <v>#DIV/0!</v>
      </c>
      <c r="W42" s="3757"/>
      <c r="X42" s="1453"/>
      <c r="Y42" s="1453"/>
      <c r="Z42" s="1453"/>
      <c r="AA42" s="1453"/>
      <c r="AB42" s="1453"/>
      <c r="AC42" s="1453"/>
    </row>
    <row r="43" spans="1:29" ht="15.75" thickBot="1">
      <c r="A43" s="596" t="s">
        <v>2636</v>
      </c>
      <c r="B43" s="597"/>
      <c r="C43" s="2401" t="e">
        <f>R43</f>
        <v>#DIV/0!</v>
      </c>
      <c r="D43" s="2401"/>
      <c r="E43" s="2401"/>
      <c r="F43" s="2401"/>
      <c r="G43" s="2401"/>
      <c r="H43" s="2401"/>
      <c r="I43" s="2401"/>
      <c r="J43" s="2401"/>
      <c r="K43" s="1498"/>
      <c r="L43" s="1981"/>
      <c r="M43" s="1982"/>
      <c r="N43" s="1982"/>
      <c r="O43" s="1982"/>
      <c r="P43" s="3666" t="str">
        <f>A43</f>
        <v>估价对象XX用房的比较价格（楼面单价，元/平方米）</v>
      </c>
      <c r="Q43" s="3667"/>
      <c r="R43" s="3756" t="e">
        <f>IF(F1="售价",ROUND(IF(D42="简单平均",AVERAGE(R42:V42),R42*F42+T42*H42+V42*J42),0),ROUND(IF(D42="简单平均",AVERAGE(R42:V42),R42*F42+T42*H42+V42*J42),1))</f>
        <v>#DIV/0!</v>
      </c>
      <c r="S43" s="3756"/>
      <c r="T43" s="3756"/>
      <c r="U43" s="3756"/>
      <c r="V43" s="3756"/>
      <c r="W43" s="3756"/>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2020-4</v>
      </c>
      <c r="D52" s="2444">
        <f>EDATE(C52,-1)</f>
        <v>43891</v>
      </c>
      <c r="E52" s="2444">
        <f t="shared" ref="E52:O52" si="16">EDATE(D52,-1)</f>
        <v>43862</v>
      </c>
      <c r="F52" s="2444">
        <f t="shared" si="16"/>
        <v>43831</v>
      </c>
      <c r="G52" s="2444">
        <f t="shared" si="16"/>
        <v>43800</v>
      </c>
      <c r="H52" s="2444">
        <f t="shared" si="16"/>
        <v>43770</v>
      </c>
      <c r="I52" s="2444">
        <f t="shared" si="16"/>
        <v>43739</v>
      </c>
      <c r="J52" s="2444">
        <f t="shared" si="16"/>
        <v>43709</v>
      </c>
      <c r="K52" s="2444">
        <f t="shared" si="16"/>
        <v>43678</v>
      </c>
      <c r="L52" s="2444">
        <f t="shared" si="16"/>
        <v>43647</v>
      </c>
      <c r="M52" s="2444">
        <f t="shared" si="16"/>
        <v>43617</v>
      </c>
      <c r="N52" s="2444">
        <f t="shared" si="16"/>
        <v>43586</v>
      </c>
      <c r="O52" s="2444">
        <f t="shared" si="16"/>
        <v>43556</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2274</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2275</v>
      </c>
      <c r="C76" s="2365" t="s">
        <v>2276</v>
      </c>
      <c r="D76" s="2365" t="s">
        <v>2277</v>
      </c>
      <c r="E76" s="2365" t="s">
        <v>2278</v>
      </c>
      <c r="F76" s="2365" t="s">
        <v>2279</v>
      </c>
      <c r="G76" s="2365" t="s">
        <v>2280</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2273</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1867</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35" t="s">
        <v>780</v>
      </c>
      <c r="D4" s="3636"/>
      <c r="E4" s="3635" t="s">
        <v>781</v>
      </c>
      <c r="F4" s="3636"/>
      <c r="G4" s="3635" t="s">
        <v>782</v>
      </c>
      <c r="H4" s="3636"/>
      <c r="I4" s="3635" t="s">
        <v>783</v>
      </c>
      <c r="J4" s="3636"/>
      <c r="K4" s="491" t="s">
        <v>784</v>
      </c>
      <c r="L4" s="1970"/>
      <c r="M4" s="1971"/>
      <c r="N4" s="1971"/>
      <c r="O4" s="1971"/>
      <c r="P4" s="3637" t="s">
        <v>785</v>
      </c>
      <c r="Q4" s="3638"/>
      <c r="R4" s="3643" t="s">
        <v>781</v>
      </c>
      <c r="S4" s="3644"/>
      <c r="T4" s="3643" t="s">
        <v>782</v>
      </c>
      <c r="U4" s="3644"/>
      <c r="V4" s="3630" t="s">
        <v>783</v>
      </c>
      <c r="W4" s="3630"/>
      <c r="X4" s="1458"/>
      <c r="Y4" s="3643" t="s">
        <v>785</v>
      </c>
      <c r="Z4" s="3644"/>
      <c r="AA4" s="3632" t="s">
        <v>781</v>
      </c>
      <c r="AB4" s="3633" t="s">
        <v>782</v>
      </c>
      <c r="AC4" s="3632" t="s">
        <v>783</v>
      </c>
    </row>
    <row r="5" spans="1:29" ht="15">
      <c r="A5" s="492"/>
      <c r="B5" s="493"/>
      <c r="C5" s="3651" t="s">
        <v>2630</v>
      </c>
      <c r="D5" s="3652"/>
      <c r="E5" s="3651" t="s">
        <v>2631</v>
      </c>
      <c r="F5" s="3652"/>
      <c r="G5" s="3651" t="s">
        <v>2632</v>
      </c>
      <c r="H5" s="3652"/>
      <c r="I5" s="3651" t="s">
        <v>2633</v>
      </c>
      <c r="J5" s="3652"/>
      <c r="K5" s="491"/>
      <c r="L5" s="1970"/>
      <c r="M5" s="1971"/>
      <c r="N5" s="1971"/>
      <c r="O5" s="1971"/>
      <c r="P5" s="3639"/>
      <c r="Q5" s="3640"/>
      <c r="R5" s="3645"/>
      <c r="S5" s="3646"/>
      <c r="T5" s="3645"/>
      <c r="U5" s="3646"/>
      <c r="V5" s="3630"/>
      <c r="W5" s="3630"/>
      <c r="X5" s="1458"/>
      <c r="Y5" s="3645"/>
      <c r="Z5" s="3646"/>
      <c r="AA5" s="3633"/>
      <c r="AB5" s="3633"/>
      <c r="AC5" s="3633"/>
    </row>
    <row r="6" spans="1:29" ht="15.75" thickBot="1">
      <c r="A6" s="494"/>
      <c r="B6" s="495"/>
      <c r="C6" s="3649" t="s">
        <v>2634</v>
      </c>
      <c r="D6" s="3650"/>
      <c r="E6" s="3653" t="s">
        <v>2634</v>
      </c>
      <c r="F6" s="3654"/>
      <c r="G6" s="3649" t="s">
        <v>2634</v>
      </c>
      <c r="H6" s="3650"/>
      <c r="I6" s="3649" t="s">
        <v>2634</v>
      </c>
      <c r="J6" s="3650"/>
      <c r="K6" s="491" t="s">
        <v>511</v>
      </c>
      <c r="L6" s="1970"/>
      <c r="M6" s="1971"/>
      <c r="N6" s="1971"/>
      <c r="O6" s="1971"/>
      <c r="P6" s="3641"/>
      <c r="Q6" s="3642"/>
      <c r="R6" s="3645"/>
      <c r="S6" s="3646"/>
      <c r="T6" s="3647"/>
      <c r="U6" s="3648"/>
      <c r="V6" s="3630"/>
      <c r="W6" s="3630"/>
      <c r="X6" s="1458"/>
      <c r="Y6" s="3647"/>
      <c r="Z6" s="3648"/>
      <c r="AA6" s="3634"/>
      <c r="AB6" s="3634"/>
      <c r="AC6" s="3634"/>
    </row>
    <row r="7" spans="1:29" s="1167" customFormat="1" ht="15.75" thickBot="1">
      <c r="A7" s="2552"/>
      <c r="B7" s="2559" t="s">
        <v>512</v>
      </c>
      <c r="C7" s="496">
        <f>'数据-取费表'!B2</f>
        <v>43923</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59" t="s">
        <v>513</v>
      </c>
      <c r="Q7" s="3661"/>
      <c r="R7" s="1459" t="s">
        <v>8</v>
      </c>
      <c r="S7" s="1460">
        <f t="shared" ref="S7:S14" si="0">F7</f>
        <v>0</v>
      </c>
      <c r="T7" s="1459" t="s">
        <v>8</v>
      </c>
      <c r="U7" s="1460">
        <f t="shared" ref="U7:U14" si="1">H7</f>
        <v>0</v>
      </c>
      <c r="V7" s="1459" t="s">
        <v>8</v>
      </c>
      <c r="W7" s="1460">
        <f t="shared" ref="W7:W14"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59" t="s">
        <v>516</v>
      </c>
      <c r="Q8" s="3660"/>
      <c r="R8" s="1459" t="s">
        <v>8</v>
      </c>
      <c r="S8" s="1460">
        <f t="shared" si="0"/>
        <v>0</v>
      </c>
      <c r="T8" s="1459" t="s">
        <v>8</v>
      </c>
      <c r="U8" s="1460">
        <f t="shared" si="1"/>
        <v>0</v>
      </c>
      <c r="V8" s="1459" t="s">
        <v>8</v>
      </c>
      <c r="W8" s="1460">
        <f t="shared" si="2"/>
        <v>0</v>
      </c>
      <c r="X8" s="1461"/>
      <c r="Y8" s="3659" t="s">
        <v>516</v>
      </c>
      <c r="Z8" s="3660"/>
      <c r="AA8" s="1462" t="e">
        <f t="shared" ref="AA8:AA36" si="3">D8/F8</f>
        <v>#DIV/0!</v>
      </c>
      <c r="AB8" s="1462" t="e">
        <f t="shared" ref="AB8:AB36" si="4">D8/H8</f>
        <v>#DIV/0!</v>
      </c>
      <c r="AC8" s="1462" t="e">
        <f t="shared" ref="AC8:AC36" si="5">D8/J8</f>
        <v>#DIV/0!</v>
      </c>
    </row>
    <row r="9" spans="1:29" s="1167" customFormat="1" ht="15">
      <c r="A9" s="2554"/>
      <c r="B9" s="2561" t="s">
        <v>2472</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29" t="s">
        <v>518</v>
      </c>
      <c r="Q9" s="1098" t="str">
        <f t="shared" ref="Q9:Q14" si="6">B9</f>
        <v>用途</v>
      </c>
      <c r="R9" s="1459" t="s">
        <v>8</v>
      </c>
      <c r="S9" s="1460">
        <f t="shared" si="0"/>
        <v>100</v>
      </c>
      <c r="T9" s="1459" t="s">
        <v>8</v>
      </c>
      <c r="U9" s="1460">
        <f t="shared" si="1"/>
        <v>100</v>
      </c>
      <c r="V9" s="1459" t="s">
        <v>8</v>
      </c>
      <c r="W9" s="1460">
        <f t="shared" si="2"/>
        <v>100</v>
      </c>
      <c r="X9" s="1461"/>
      <c r="Y9" s="3573" t="s">
        <v>519</v>
      </c>
      <c r="Z9" s="1097" t="str">
        <f t="shared" ref="Z9:Z14" si="7">Q9</f>
        <v>用途</v>
      </c>
      <c r="AA9" s="1462">
        <f t="shared" si="3"/>
        <v>1</v>
      </c>
      <c r="AB9" s="1462">
        <f t="shared" si="4"/>
        <v>1</v>
      </c>
      <c r="AC9" s="1462">
        <f t="shared" si="5"/>
        <v>1</v>
      </c>
    </row>
    <row r="10" spans="1:29" s="1248" customFormat="1" ht="27">
      <c r="A10" s="2555"/>
      <c r="B10" s="2560" t="s">
        <v>2473</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29"/>
      <c r="Q11" s="1098">
        <f t="shared" si="6"/>
        <v>111</v>
      </c>
      <c r="R11" s="1459" t="s">
        <v>8</v>
      </c>
      <c r="S11" s="1460">
        <f t="shared" si="0"/>
        <v>100</v>
      </c>
      <c r="T11" s="1459" t="s">
        <v>8</v>
      </c>
      <c r="U11" s="1460">
        <f t="shared" si="1"/>
        <v>100</v>
      </c>
      <c r="V11" s="1459" t="s">
        <v>8</v>
      </c>
      <c r="W11" s="1460">
        <f t="shared" si="2"/>
        <v>100</v>
      </c>
      <c r="X11" s="1461"/>
      <c r="Y11" s="3573"/>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29"/>
      <c r="Q12" s="1098">
        <f t="shared" si="6"/>
        <v>111</v>
      </c>
      <c r="R12" s="1459" t="s">
        <v>8</v>
      </c>
      <c r="S12" s="1460">
        <f t="shared" si="0"/>
        <v>100</v>
      </c>
      <c r="T12" s="1459" t="s">
        <v>8</v>
      </c>
      <c r="U12" s="1460">
        <f t="shared" si="1"/>
        <v>100</v>
      </c>
      <c r="V12" s="1459" t="s">
        <v>8</v>
      </c>
      <c r="W12" s="1460">
        <f t="shared" si="2"/>
        <v>100</v>
      </c>
      <c r="X12" s="1461"/>
      <c r="Y12" s="3573"/>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29"/>
      <c r="Q13" s="1098">
        <f t="shared" si="6"/>
        <v>111</v>
      </c>
      <c r="R13" s="1459" t="s">
        <v>8</v>
      </c>
      <c r="S13" s="1460">
        <f t="shared" si="0"/>
        <v>100</v>
      </c>
      <c r="T13" s="1459" t="s">
        <v>8</v>
      </c>
      <c r="U13" s="1460">
        <f t="shared" si="1"/>
        <v>100</v>
      </c>
      <c r="V13" s="1459" t="s">
        <v>8</v>
      </c>
      <c r="W13" s="1460">
        <f t="shared" si="2"/>
        <v>100</v>
      </c>
      <c r="X13" s="1461"/>
      <c r="Y13" s="3573"/>
      <c r="Z13" s="1097">
        <f t="shared" si="7"/>
        <v>111</v>
      </c>
      <c r="AA13" s="1462">
        <f t="shared" si="3"/>
        <v>1</v>
      </c>
      <c r="AB13" s="1462">
        <f t="shared" si="4"/>
        <v>1</v>
      </c>
      <c r="AC13" s="1462">
        <f t="shared" si="5"/>
        <v>1</v>
      </c>
    </row>
    <row r="14" spans="1:29" ht="85.5">
      <c r="A14" s="2550" t="s">
        <v>2470</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62" t="s">
        <v>523</v>
      </c>
      <c r="Q14" s="1463" t="str">
        <f t="shared" si="6"/>
        <v>交通便捷度</v>
      </c>
      <c r="R14" s="1464" t="s">
        <v>8</v>
      </c>
      <c r="S14" s="1465">
        <f t="shared" si="0"/>
        <v>100</v>
      </c>
      <c r="T14" s="1464" t="s">
        <v>8</v>
      </c>
      <c r="U14" s="1465">
        <f t="shared" si="1"/>
        <v>100</v>
      </c>
      <c r="V14" s="1464" t="s">
        <v>8</v>
      </c>
      <c r="W14" s="1465">
        <f t="shared" si="2"/>
        <v>100</v>
      </c>
      <c r="X14" s="1458"/>
      <c r="Y14" s="3662"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63"/>
      <c r="Q15" s="1463"/>
      <c r="R15" s="1464"/>
      <c r="S15" s="1465"/>
      <c r="T15" s="1464"/>
      <c r="U15" s="1465"/>
      <c r="V15" s="1464"/>
      <c r="W15" s="1465"/>
      <c r="X15" s="1458"/>
      <c r="Y15" s="3663"/>
      <c r="Z15" s="1466"/>
      <c r="AA15" s="1467">
        <v>1</v>
      </c>
      <c r="AB15" s="1467">
        <v>1</v>
      </c>
      <c r="AC15" s="1467">
        <v>1</v>
      </c>
    </row>
    <row r="16" spans="1:29" ht="42.75">
      <c r="A16" s="492"/>
      <c r="B16" s="2370"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63"/>
      <c r="Q16" s="1463" t="str">
        <f>B16</f>
        <v>公共配套设施</v>
      </c>
      <c r="R16" s="1464" t="s">
        <v>8</v>
      </c>
      <c r="S16" s="1465">
        <f>F16</f>
        <v>100</v>
      </c>
      <c r="T16" s="1464" t="s">
        <v>8</v>
      </c>
      <c r="U16" s="1465">
        <f>H16</f>
        <v>100</v>
      </c>
      <c r="V16" s="1464" t="s">
        <v>8</v>
      </c>
      <c r="W16" s="1465">
        <f>J16</f>
        <v>100</v>
      </c>
      <c r="X16" s="1458"/>
      <c r="Y16" s="3663"/>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63"/>
      <c r="Q17" s="1463"/>
      <c r="R17" s="1464"/>
      <c r="S17" s="1465"/>
      <c r="T17" s="1464"/>
      <c r="U17" s="1465"/>
      <c r="V17" s="1464"/>
      <c r="W17" s="1465"/>
      <c r="X17" s="1458"/>
      <c r="Y17" s="3663"/>
      <c r="Z17" s="1466"/>
      <c r="AA17" s="1467">
        <v>1</v>
      </c>
      <c r="AB17" s="1467">
        <v>1</v>
      </c>
      <c r="AC17" s="1467">
        <v>1</v>
      </c>
    </row>
    <row r="18" spans="1:29" ht="28.5">
      <c r="A18" s="492"/>
      <c r="B18" s="2358"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63"/>
      <c r="Q18" s="2352" t="str">
        <f>B18</f>
        <v>基础设施水平</v>
      </c>
      <c r="R18" s="1464" t="s">
        <v>8</v>
      </c>
      <c r="S18" s="1465">
        <f>F18</f>
        <v>100</v>
      </c>
      <c r="T18" s="1464" t="s">
        <v>8</v>
      </c>
      <c r="U18" s="1465">
        <f>H18</f>
        <v>100</v>
      </c>
      <c r="V18" s="1464" t="s">
        <v>8</v>
      </c>
      <c r="W18" s="1465">
        <f>J18</f>
        <v>100</v>
      </c>
      <c r="X18" s="2354"/>
      <c r="Y18" s="3663"/>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63"/>
      <c r="Q19" s="2352"/>
      <c r="R19" s="1464"/>
      <c r="S19" s="1465"/>
      <c r="T19" s="1464"/>
      <c r="U19" s="1465"/>
      <c r="V19" s="1464"/>
      <c r="W19" s="1465"/>
      <c r="X19" s="2354"/>
      <c r="Y19" s="3663"/>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63"/>
      <c r="Q20" s="1463" t="str">
        <f>B20</f>
        <v>自然及人文环境</v>
      </c>
      <c r="R20" s="1464" t="s">
        <v>8</v>
      </c>
      <c r="S20" s="1465">
        <f>F20</f>
        <v>100</v>
      </c>
      <c r="T20" s="1464" t="s">
        <v>8</v>
      </c>
      <c r="U20" s="1465">
        <f>H20</f>
        <v>100</v>
      </c>
      <c r="V20" s="1464" t="s">
        <v>8</v>
      </c>
      <c r="W20" s="1465">
        <f>J20</f>
        <v>100</v>
      </c>
      <c r="X20" s="1458"/>
      <c r="Y20" s="3663"/>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63"/>
      <c r="Q21" s="1463"/>
      <c r="R21" s="1464"/>
      <c r="S21" s="1465"/>
      <c r="T21" s="1464"/>
      <c r="U21" s="1465"/>
      <c r="V21" s="1464"/>
      <c r="W21" s="1465"/>
      <c r="X21" s="1458"/>
      <c r="Y21" s="3663"/>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63"/>
      <c r="Q22" s="1463" t="str">
        <f>B22</f>
        <v>楼层</v>
      </c>
      <c r="R22" s="1464" t="s">
        <v>8</v>
      </c>
      <c r="S22" s="1465">
        <f>F22</f>
        <v>100</v>
      </c>
      <c r="T22" s="1464" t="s">
        <v>8</v>
      </c>
      <c r="U22" s="1465">
        <f>H22</f>
        <v>100</v>
      </c>
      <c r="V22" s="1464" t="s">
        <v>8</v>
      </c>
      <c r="W22" s="1465">
        <f>J22</f>
        <v>100</v>
      </c>
      <c r="X22" s="1458"/>
      <c r="Y22" s="3663"/>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63"/>
      <c r="Q23" s="1463">
        <f>B23</f>
        <v>111</v>
      </c>
      <c r="R23" s="1464" t="s">
        <v>8</v>
      </c>
      <c r="S23" s="1465">
        <f>F23</f>
        <v>100</v>
      </c>
      <c r="T23" s="1464" t="s">
        <v>8</v>
      </c>
      <c r="U23" s="1465">
        <f>H23</f>
        <v>100</v>
      </c>
      <c r="V23" s="1464" t="s">
        <v>8</v>
      </c>
      <c r="W23" s="1465">
        <f>J23</f>
        <v>100</v>
      </c>
      <c r="X23" s="1458"/>
      <c r="Y23" s="3663"/>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63"/>
      <c r="Q24" s="1463">
        <f t="shared" ref="Q24:Q36" si="11">B24</f>
        <v>111</v>
      </c>
      <c r="R24" s="1464" t="s">
        <v>8</v>
      </c>
      <c r="S24" s="1465">
        <f>F24</f>
        <v>100</v>
      </c>
      <c r="T24" s="1464" t="s">
        <v>8</v>
      </c>
      <c r="U24" s="1465">
        <f>H24</f>
        <v>100</v>
      </c>
      <c r="V24" s="1464" t="s">
        <v>8</v>
      </c>
      <c r="W24" s="1465">
        <f>J24</f>
        <v>100</v>
      </c>
      <c r="X24" s="1458"/>
      <c r="Y24" s="3663"/>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63"/>
      <c r="Q25" s="1098">
        <f t="shared" si="11"/>
        <v>111</v>
      </c>
      <c r="R25" s="1459" t="s">
        <v>8</v>
      </c>
      <c r="S25" s="1460">
        <f>F25</f>
        <v>100</v>
      </c>
      <c r="T25" s="1459" t="s">
        <v>8</v>
      </c>
      <c r="U25" s="1460">
        <f>H25</f>
        <v>100</v>
      </c>
      <c r="V25" s="1459" t="s">
        <v>8</v>
      </c>
      <c r="W25" s="1460">
        <f>J25</f>
        <v>100</v>
      </c>
      <c r="X25" s="1461"/>
      <c r="Y25" s="3663"/>
      <c r="Z25" s="1097">
        <f>Q25</f>
        <v>111</v>
      </c>
      <c r="AA25" s="1467">
        <f>D25/F25</f>
        <v>1</v>
      </c>
      <c r="AB25" s="1467">
        <f>D25/H25</f>
        <v>1</v>
      </c>
      <c r="AC25" s="1467">
        <f>D25/J25</f>
        <v>1</v>
      </c>
    </row>
    <row r="26" spans="1:29" ht="15">
      <c r="A26" s="2547" t="s">
        <v>2471</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64"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65"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65"/>
      <c r="Q27" s="1492" t="str">
        <f t="shared" si="11"/>
        <v>项目停车位配比</v>
      </c>
      <c r="R27" s="1468" t="s">
        <v>8</v>
      </c>
      <c r="S27" s="1469">
        <f t="shared" si="12"/>
        <v>100</v>
      </c>
      <c r="T27" s="1468" t="s">
        <v>8</v>
      </c>
      <c r="U27" s="1469">
        <f t="shared" si="13"/>
        <v>100</v>
      </c>
      <c r="V27" s="1468" t="s">
        <v>8</v>
      </c>
      <c r="W27" s="1469">
        <f t="shared" si="14"/>
        <v>100</v>
      </c>
      <c r="X27" s="1470"/>
      <c r="Y27" s="3665"/>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65"/>
      <c r="Q28" s="1463" t="str">
        <f t="shared" si="11"/>
        <v>公共部分装修</v>
      </c>
      <c r="R28" s="1464" t="s">
        <v>8</v>
      </c>
      <c r="S28" s="1465">
        <f t="shared" si="12"/>
        <v>100</v>
      </c>
      <c r="T28" s="1464" t="s">
        <v>8</v>
      </c>
      <c r="U28" s="1465">
        <f t="shared" si="13"/>
        <v>100</v>
      </c>
      <c r="V28" s="1464" t="s">
        <v>8</v>
      </c>
      <c r="W28" s="1465">
        <f t="shared" si="14"/>
        <v>100</v>
      </c>
      <c r="X28" s="1458"/>
      <c r="Y28" s="3665"/>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65"/>
      <c r="Q29" s="1463" t="str">
        <f t="shared" si="11"/>
        <v>成新率</v>
      </c>
      <c r="R29" s="1464" t="s">
        <v>8</v>
      </c>
      <c r="S29" s="1465" t="e">
        <f t="shared" si="12"/>
        <v>#N/A</v>
      </c>
      <c r="T29" s="1464" t="s">
        <v>8</v>
      </c>
      <c r="U29" s="1465" t="e">
        <f t="shared" si="13"/>
        <v>#N/A</v>
      </c>
      <c r="V29" s="1464" t="s">
        <v>8</v>
      </c>
      <c r="W29" s="1465" t="e">
        <f t="shared" si="14"/>
        <v>#N/A</v>
      </c>
      <c r="X29" s="1458"/>
      <c r="Y29" s="3665"/>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65"/>
      <c r="Q30" s="1463" t="str">
        <f t="shared" si="11"/>
        <v>物业等级</v>
      </c>
      <c r="R30" s="1464" t="s">
        <v>8</v>
      </c>
      <c r="S30" s="1465">
        <f t="shared" si="12"/>
        <v>100</v>
      </c>
      <c r="T30" s="1464" t="s">
        <v>8</v>
      </c>
      <c r="U30" s="1465">
        <f t="shared" si="13"/>
        <v>100</v>
      </c>
      <c r="V30" s="1464" t="s">
        <v>8</v>
      </c>
      <c r="W30" s="1465">
        <f t="shared" si="14"/>
        <v>100</v>
      </c>
      <c r="X30" s="1458"/>
      <c r="Y30" s="3665"/>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65"/>
      <c r="Q31" s="1098" t="str">
        <f t="shared" si="11"/>
        <v>停车位面积</v>
      </c>
      <c r="R31" s="1459" t="s">
        <v>8</v>
      </c>
      <c r="S31" s="1460" t="e">
        <f t="shared" si="12"/>
        <v>#N/A</v>
      </c>
      <c r="T31" s="1459" t="s">
        <v>8</v>
      </c>
      <c r="U31" s="1460" t="e">
        <f t="shared" si="13"/>
        <v>#N/A</v>
      </c>
      <c r="V31" s="1459" t="s">
        <v>8</v>
      </c>
      <c r="W31" s="1460" t="e">
        <f t="shared" si="14"/>
        <v>#N/A</v>
      </c>
      <c r="X31" s="1461"/>
      <c r="Y31" s="3665"/>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65" t="s">
        <v>533</v>
      </c>
      <c r="Q32" s="1463" t="str">
        <f t="shared" si="11"/>
        <v>车位类型</v>
      </c>
      <c r="R32" s="1464" t="s">
        <v>8</v>
      </c>
      <c r="S32" s="1465">
        <f t="shared" si="12"/>
        <v>100</v>
      </c>
      <c r="T32" s="1464" t="s">
        <v>8</v>
      </c>
      <c r="U32" s="1465">
        <f t="shared" si="13"/>
        <v>100</v>
      </c>
      <c r="V32" s="1464" t="s">
        <v>8</v>
      </c>
      <c r="W32" s="1465">
        <f t="shared" si="14"/>
        <v>100</v>
      </c>
      <c r="X32" s="1458"/>
      <c r="Y32" s="3665"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65"/>
      <c r="Q33" s="1463" t="str">
        <f t="shared" si="11"/>
        <v>是否直接入户</v>
      </c>
      <c r="R33" s="1464" t="s">
        <v>8</v>
      </c>
      <c r="S33" s="1465">
        <f t="shared" si="12"/>
        <v>100</v>
      </c>
      <c r="T33" s="1464" t="s">
        <v>8</v>
      </c>
      <c r="U33" s="1465">
        <f t="shared" si="13"/>
        <v>100</v>
      </c>
      <c r="V33" s="1464" t="s">
        <v>8</v>
      </c>
      <c r="W33" s="1465">
        <f t="shared" si="14"/>
        <v>100</v>
      </c>
      <c r="X33" s="1458"/>
      <c r="Y33" s="3665"/>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65"/>
      <c r="Q34" s="1463">
        <f t="shared" si="11"/>
        <v>111</v>
      </c>
      <c r="R34" s="1464" t="s">
        <v>8</v>
      </c>
      <c r="S34" s="1465">
        <f t="shared" si="12"/>
        <v>100</v>
      </c>
      <c r="T34" s="1464" t="s">
        <v>8</v>
      </c>
      <c r="U34" s="1465">
        <f t="shared" si="13"/>
        <v>100</v>
      </c>
      <c r="V34" s="1464" t="s">
        <v>8</v>
      </c>
      <c r="W34" s="1465">
        <f t="shared" si="14"/>
        <v>100</v>
      </c>
      <c r="X34" s="1458"/>
      <c r="Y34" s="3665"/>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65"/>
      <c r="Q35" s="1492">
        <f t="shared" si="11"/>
        <v>111</v>
      </c>
      <c r="R35" s="1468" t="s">
        <v>8</v>
      </c>
      <c r="S35" s="1469">
        <f t="shared" si="12"/>
        <v>100</v>
      </c>
      <c r="T35" s="1468" t="s">
        <v>8</v>
      </c>
      <c r="U35" s="1469">
        <f t="shared" si="13"/>
        <v>100</v>
      </c>
      <c r="V35" s="1468" t="s">
        <v>8</v>
      </c>
      <c r="W35" s="1469">
        <f t="shared" si="14"/>
        <v>100</v>
      </c>
      <c r="X35" s="1470"/>
      <c r="Y35" s="3665"/>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65"/>
      <c r="Q36" s="1463">
        <f t="shared" si="11"/>
        <v>111</v>
      </c>
      <c r="R36" s="1464" t="s">
        <v>8</v>
      </c>
      <c r="S36" s="1465">
        <f t="shared" si="12"/>
        <v>100</v>
      </c>
      <c r="T36" s="1464" t="s">
        <v>8</v>
      </c>
      <c r="U36" s="1465">
        <f t="shared" si="13"/>
        <v>100</v>
      </c>
      <c r="V36" s="1464" t="s">
        <v>8</v>
      </c>
      <c r="W36" s="1465">
        <f t="shared" si="14"/>
        <v>100</v>
      </c>
      <c r="X36" s="1458"/>
      <c r="Y36" s="3665"/>
      <c r="Z36" s="1466">
        <f t="shared" si="15"/>
        <v>111</v>
      </c>
      <c r="AA36" s="1467">
        <f t="shared" si="3"/>
        <v>1</v>
      </c>
      <c r="AB36" s="1467">
        <f t="shared" si="4"/>
        <v>1</v>
      </c>
      <c r="AC36" s="1467">
        <f t="shared" si="5"/>
        <v>1</v>
      </c>
    </row>
    <row r="37" spans="1:29" ht="15">
      <c r="A37" s="1716" t="s">
        <v>1868</v>
      </c>
      <c r="B37" s="1717" t="s">
        <v>1869</v>
      </c>
      <c r="C37" s="2393" t="s">
        <v>1</v>
      </c>
      <c r="D37" s="2394"/>
      <c r="E37" s="2395"/>
      <c r="F37" s="2396"/>
      <c r="G37" s="2397"/>
      <c r="H37" s="2398"/>
      <c r="I37" s="2395"/>
      <c r="J37" s="2398"/>
      <c r="K37" s="1497"/>
      <c r="L37" s="1981"/>
      <c r="M37" s="1982"/>
      <c r="N37" s="1971"/>
      <c r="O37" s="1982"/>
      <c r="P37" s="3629" t="str">
        <f>A37</f>
        <v>成交单价</v>
      </c>
      <c r="Q37" s="3629"/>
      <c r="R37" s="3757">
        <f>E37</f>
        <v>0</v>
      </c>
      <c r="S37" s="3757"/>
      <c r="T37" s="3757">
        <f>G37</f>
        <v>0</v>
      </c>
      <c r="U37" s="3757"/>
      <c r="V37" s="3757">
        <f>I37</f>
        <v>0</v>
      </c>
      <c r="W37" s="3757"/>
      <c r="X37" s="1453"/>
      <c r="Y37" s="1472"/>
      <c r="Z37" s="1453"/>
      <c r="AA37" s="1453"/>
      <c r="AB37" s="1453"/>
      <c r="AC37" s="1453"/>
    </row>
    <row r="38" spans="1:29" ht="15.75" thickBot="1">
      <c r="A38" s="592" t="s">
        <v>2476</v>
      </c>
      <c r="B38" s="860"/>
      <c r="C38" s="2399" t="e">
        <f>R39</f>
        <v>#DIV/0!</v>
      </c>
      <c r="D38" s="2923" t="s">
        <v>2701</v>
      </c>
      <c r="E38" s="2400" t="e">
        <f>R38</f>
        <v>#DIV/0!</v>
      </c>
      <c r="F38" s="2924"/>
      <c r="G38" s="2399" t="e">
        <f>T38</f>
        <v>#DIV/0!</v>
      </c>
      <c r="H38" s="2924"/>
      <c r="I38" s="2400" t="e">
        <f>V38</f>
        <v>#DIV/0!</v>
      </c>
      <c r="J38" s="2924"/>
      <c r="K38" s="2932">
        <f>F38+H38+J38</f>
        <v>0</v>
      </c>
      <c r="L38" s="1981"/>
      <c r="M38" s="1982"/>
      <c r="N38" s="1982"/>
      <c r="O38" s="1982"/>
      <c r="P38" s="3629" t="str">
        <f>A38</f>
        <v>比较价格（元/平方米）</v>
      </c>
      <c r="Q38" s="3629"/>
      <c r="R38" s="3757" t="e">
        <f>IF(F1="售价",ROUND(PRODUCT(R37,AA7:AA36),0),ROUND(PRODUCT(R37,AA7:AA36),1))</f>
        <v>#DIV/0!</v>
      </c>
      <c r="S38" s="3757"/>
      <c r="T38" s="3757" t="e">
        <f>IF(F1="售价",ROUND(PRODUCT(T37,AB7:AB36),0),ROUND(PRODUCT(T37,AB7:AB36),1))</f>
        <v>#DIV/0!</v>
      </c>
      <c r="U38" s="3757"/>
      <c r="V38" s="3757" t="e">
        <f>IF(F1="售价",ROUND(PRODUCT(V37,AC7:AC36),0),ROUND(PRODUCT(V37,AC7:AC36),1))</f>
        <v>#DIV/0!</v>
      </c>
      <c r="W38" s="3757"/>
      <c r="X38" s="1453"/>
      <c r="Y38" s="1453"/>
      <c r="Z38" s="1453"/>
      <c r="AA38" s="1453"/>
      <c r="AB38" s="1453"/>
      <c r="AC38" s="1453"/>
    </row>
    <row r="39" spans="1:29" ht="15.75" thickBot="1">
      <c r="A39" s="596" t="s">
        <v>2636</v>
      </c>
      <c r="B39" s="597"/>
      <c r="C39" s="2401" t="e">
        <f>R39</f>
        <v>#DIV/0!</v>
      </c>
      <c r="D39" s="2401"/>
      <c r="E39" s="2401"/>
      <c r="F39" s="2401"/>
      <c r="G39" s="2401"/>
      <c r="H39" s="2401"/>
      <c r="I39" s="2401"/>
      <c r="J39" s="2401"/>
      <c r="K39" s="1498"/>
      <c r="L39" s="1981"/>
      <c r="M39" s="1982"/>
      <c r="N39" s="1982"/>
      <c r="O39" s="1982"/>
      <c r="P39" s="3666" t="str">
        <f>A39</f>
        <v>估价对象XX用房的比较价格（楼面单价，元/平方米）</v>
      </c>
      <c r="Q39" s="3667"/>
      <c r="R39" s="3756" t="e">
        <f>IF(F1="售价",ROUND(IF(D38="简单平均",AVERAGE(R38:W38),R38*F38+T38*H38+V38*J38),0),ROUND(IF(D38="简单平均",AVERAGE(R38:V38),R38*F38+T38*H38+V38*J38),1))</f>
        <v>#DIV/0!</v>
      </c>
      <c r="S39" s="3756"/>
      <c r="T39" s="3756"/>
      <c r="U39" s="3756"/>
      <c r="V39" s="3756"/>
      <c r="W39" s="3756"/>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2020-4</v>
      </c>
      <c r="D48" s="2444">
        <f>EDATE(C48,-1)</f>
        <v>43891</v>
      </c>
      <c r="E48" s="2444">
        <f t="shared" ref="E48:O48" si="16">EDATE(D48,-1)</f>
        <v>43862</v>
      </c>
      <c r="F48" s="2444">
        <f t="shared" si="16"/>
        <v>43831</v>
      </c>
      <c r="G48" s="2444">
        <f t="shared" si="16"/>
        <v>43800</v>
      </c>
      <c r="H48" s="2444">
        <f t="shared" si="16"/>
        <v>43770</v>
      </c>
      <c r="I48" s="2444">
        <f t="shared" si="16"/>
        <v>43739</v>
      </c>
      <c r="J48" s="2444">
        <f t="shared" si="16"/>
        <v>43709</v>
      </c>
      <c r="K48" s="2444">
        <f t="shared" si="16"/>
        <v>43678</v>
      </c>
      <c r="L48" s="2444">
        <f t="shared" si="16"/>
        <v>43647</v>
      </c>
      <c r="M48" s="2444">
        <f t="shared" si="16"/>
        <v>43617</v>
      </c>
      <c r="N48" s="2444">
        <f t="shared" si="16"/>
        <v>43586</v>
      </c>
      <c r="O48" s="2444">
        <f t="shared" si="16"/>
        <v>43556</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2274</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2275</v>
      </c>
      <c r="C67" s="2365" t="s">
        <v>2276</v>
      </c>
      <c r="D67" s="2365" t="s">
        <v>2277</v>
      </c>
      <c r="E67" s="2365" t="s">
        <v>2278</v>
      </c>
      <c r="F67" s="2365" t="s">
        <v>2279</v>
      </c>
      <c r="G67" s="2365" t="s">
        <v>2280</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35" t="s">
        <v>780</v>
      </c>
      <c r="D4" s="3636"/>
      <c r="E4" s="3670" t="s">
        <v>781</v>
      </c>
      <c r="F4" s="3671"/>
      <c r="G4" s="3635" t="s">
        <v>782</v>
      </c>
      <c r="H4" s="3636"/>
      <c r="I4" s="3635" t="s">
        <v>783</v>
      </c>
      <c r="J4" s="3636"/>
      <c r="K4" s="491" t="s">
        <v>784</v>
      </c>
      <c r="L4" s="1970"/>
      <c r="M4" s="1971"/>
      <c r="N4" s="1971"/>
      <c r="O4" s="1971"/>
      <c r="P4" s="3637" t="s">
        <v>785</v>
      </c>
      <c r="Q4" s="3638"/>
      <c r="R4" s="3643" t="s">
        <v>781</v>
      </c>
      <c r="S4" s="3644"/>
      <c r="T4" s="3643" t="s">
        <v>782</v>
      </c>
      <c r="U4" s="3644"/>
      <c r="V4" s="3630" t="s">
        <v>783</v>
      </c>
      <c r="W4" s="3630"/>
      <c r="X4" s="1458"/>
      <c r="Y4" s="3643" t="s">
        <v>785</v>
      </c>
      <c r="Z4" s="3644"/>
      <c r="AA4" s="3632" t="s">
        <v>781</v>
      </c>
      <c r="AB4" s="3633" t="s">
        <v>782</v>
      </c>
      <c r="AC4" s="3632" t="s">
        <v>783</v>
      </c>
    </row>
    <row r="5" spans="1:29" ht="15">
      <c r="A5" s="492"/>
      <c r="B5" s="493"/>
      <c r="C5" s="3651" t="s">
        <v>2630</v>
      </c>
      <c r="D5" s="3652"/>
      <c r="E5" s="3672" t="s">
        <v>2631</v>
      </c>
      <c r="F5" s="3673"/>
      <c r="G5" s="3651" t="s">
        <v>2632</v>
      </c>
      <c r="H5" s="3652"/>
      <c r="I5" s="3651" t="s">
        <v>2633</v>
      </c>
      <c r="J5" s="3652"/>
      <c r="K5" s="491"/>
      <c r="L5" s="1970"/>
      <c r="M5" s="1971"/>
      <c r="N5" s="1971"/>
      <c r="O5" s="1971"/>
      <c r="P5" s="3639"/>
      <c r="Q5" s="3640"/>
      <c r="R5" s="3645"/>
      <c r="S5" s="3646"/>
      <c r="T5" s="3645"/>
      <c r="U5" s="3646"/>
      <c r="V5" s="3630"/>
      <c r="W5" s="3630"/>
      <c r="X5" s="1458"/>
      <c r="Y5" s="3645"/>
      <c r="Z5" s="3646"/>
      <c r="AA5" s="3633"/>
      <c r="AB5" s="3633"/>
      <c r="AC5" s="3633"/>
    </row>
    <row r="6" spans="1:29" ht="15.75" thickBot="1">
      <c r="A6" s="494"/>
      <c r="B6" s="495"/>
      <c r="C6" s="3649" t="s">
        <v>2634</v>
      </c>
      <c r="D6" s="3650"/>
      <c r="E6" s="3668" t="s">
        <v>2634</v>
      </c>
      <c r="F6" s="3669"/>
      <c r="G6" s="3649" t="s">
        <v>2634</v>
      </c>
      <c r="H6" s="3650"/>
      <c r="I6" s="3649" t="s">
        <v>2634</v>
      </c>
      <c r="J6" s="3650"/>
      <c r="K6" s="491" t="s">
        <v>511</v>
      </c>
      <c r="L6" s="1970"/>
      <c r="M6" s="1971"/>
      <c r="N6" s="1971"/>
      <c r="O6" s="1971"/>
      <c r="P6" s="3641"/>
      <c r="Q6" s="3642"/>
      <c r="R6" s="3645"/>
      <c r="S6" s="3646"/>
      <c r="T6" s="3647"/>
      <c r="U6" s="3648"/>
      <c r="V6" s="3630"/>
      <c r="W6" s="3630"/>
      <c r="X6" s="1458"/>
      <c r="Y6" s="3647"/>
      <c r="Z6" s="3648"/>
      <c r="AA6" s="3634"/>
      <c r="AB6" s="3634"/>
      <c r="AC6" s="3634"/>
    </row>
    <row r="7" spans="1:29" s="1167" customFormat="1" ht="15.75" thickBot="1">
      <c r="A7" s="2552"/>
      <c r="B7" s="2559" t="s">
        <v>512</v>
      </c>
      <c r="C7" s="496">
        <f>'数据-取费表'!B2</f>
        <v>43923</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59" t="s">
        <v>513</v>
      </c>
      <c r="Q7" s="3661"/>
      <c r="R7" s="1459" t="s">
        <v>8</v>
      </c>
      <c r="S7" s="1460">
        <f t="shared" ref="S7:S14" si="0">F7</f>
        <v>0</v>
      </c>
      <c r="T7" s="1459" t="s">
        <v>8</v>
      </c>
      <c r="U7" s="1460">
        <f t="shared" ref="U7:U14" si="1">H7</f>
        <v>0</v>
      </c>
      <c r="V7" s="1459" t="s">
        <v>8</v>
      </c>
      <c r="W7" s="1460">
        <f t="shared" ref="W7:W14" si="2">J7</f>
        <v>0</v>
      </c>
      <c r="X7" s="1461"/>
      <c r="Y7" s="3659" t="s">
        <v>513</v>
      </c>
      <c r="Z7" s="3660"/>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59" t="s">
        <v>516</v>
      </c>
      <c r="Q8" s="3660"/>
      <c r="R8" s="1459" t="s">
        <v>8</v>
      </c>
      <c r="S8" s="1460">
        <f t="shared" si="0"/>
        <v>0</v>
      </c>
      <c r="T8" s="1459" t="s">
        <v>8</v>
      </c>
      <c r="U8" s="1460">
        <f t="shared" si="1"/>
        <v>0</v>
      </c>
      <c r="V8" s="1459" t="s">
        <v>8</v>
      </c>
      <c r="W8" s="1460">
        <f t="shared" si="2"/>
        <v>0</v>
      </c>
      <c r="X8" s="1461"/>
      <c r="Y8" s="3659" t="s">
        <v>516</v>
      </c>
      <c r="Z8" s="3660"/>
      <c r="AA8" s="1462" t="e">
        <f t="shared" ref="AA8:AA34" si="3">D8/F8</f>
        <v>#DIV/0!</v>
      </c>
      <c r="AB8" s="1462" t="e">
        <f t="shared" ref="AB8:AB34" si="4">D8/H8</f>
        <v>#DIV/0!</v>
      </c>
      <c r="AC8" s="1462" t="e">
        <f t="shared" ref="AC8:AC34" si="5">D8/J8</f>
        <v>#DIV/0!</v>
      </c>
    </row>
    <row r="9" spans="1:29" s="1167" customFormat="1" ht="15">
      <c r="A9" s="2554"/>
      <c r="B9" s="2561" t="s">
        <v>2472</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29" t="s">
        <v>518</v>
      </c>
      <c r="Q9" s="1098" t="str">
        <f t="shared" ref="Q9:Q14" si="6">B9</f>
        <v>用途</v>
      </c>
      <c r="R9" s="1459" t="s">
        <v>8</v>
      </c>
      <c r="S9" s="1460">
        <f t="shared" si="0"/>
        <v>100</v>
      </c>
      <c r="T9" s="1459" t="s">
        <v>8</v>
      </c>
      <c r="U9" s="1460">
        <f t="shared" si="1"/>
        <v>100</v>
      </c>
      <c r="V9" s="1459" t="s">
        <v>8</v>
      </c>
      <c r="W9" s="1460">
        <f t="shared" si="2"/>
        <v>100</v>
      </c>
      <c r="X9" s="1461"/>
      <c r="Y9" s="3573" t="s">
        <v>519</v>
      </c>
      <c r="Z9" s="1097" t="str">
        <f t="shared" ref="Z9:Z14" si="7">Q9</f>
        <v>用途</v>
      </c>
      <c r="AA9" s="1462">
        <f t="shared" si="3"/>
        <v>1</v>
      </c>
      <c r="AB9" s="1462">
        <f t="shared" si="4"/>
        <v>1</v>
      </c>
      <c r="AC9" s="1462">
        <f t="shared" si="5"/>
        <v>1</v>
      </c>
    </row>
    <row r="10" spans="1:29" s="1248" customFormat="1" ht="27">
      <c r="A10" s="2555"/>
      <c r="B10" s="2560" t="s">
        <v>2473</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29"/>
      <c r="Q10" s="1098" t="str">
        <f t="shared" si="6"/>
        <v>土地使用年限（年）</v>
      </c>
      <c r="R10" s="1459" t="s">
        <v>8</v>
      </c>
      <c r="S10" s="1460">
        <f t="shared" si="0"/>
        <v>100</v>
      </c>
      <c r="T10" s="1459" t="s">
        <v>8</v>
      </c>
      <c r="U10" s="1460">
        <f t="shared" si="1"/>
        <v>100</v>
      </c>
      <c r="V10" s="1459" t="s">
        <v>8</v>
      </c>
      <c r="W10" s="1460">
        <f t="shared" si="2"/>
        <v>100</v>
      </c>
      <c r="X10" s="1461"/>
      <c r="Y10" s="3573"/>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29"/>
      <c r="Q11" s="1098">
        <f t="shared" si="6"/>
        <v>111</v>
      </c>
      <c r="R11" s="1459" t="s">
        <v>8</v>
      </c>
      <c r="S11" s="1460">
        <f t="shared" si="0"/>
        <v>100</v>
      </c>
      <c r="T11" s="1459" t="s">
        <v>8</v>
      </c>
      <c r="U11" s="1460">
        <f t="shared" si="1"/>
        <v>100</v>
      </c>
      <c r="V11" s="1459" t="s">
        <v>8</v>
      </c>
      <c r="W11" s="1460">
        <f t="shared" si="2"/>
        <v>100</v>
      </c>
      <c r="X11" s="1461"/>
      <c r="Y11" s="3573"/>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29"/>
      <c r="Q12" s="1098">
        <f t="shared" si="6"/>
        <v>111</v>
      </c>
      <c r="R12" s="1459" t="s">
        <v>8</v>
      </c>
      <c r="S12" s="1460">
        <f t="shared" si="0"/>
        <v>100</v>
      </c>
      <c r="T12" s="1459" t="s">
        <v>8</v>
      </c>
      <c r="U12" s="1460">
        <f t="shared" si="1"/>
        <v>100</v>
      </c>
      <c r="V12" s="1459" t="s">
        <v>8</v>
      </c>
      <c r="W12" s="1460">
        <f t="shared" si="2"/>
        <v>100</v>
      </c>
      <c r="X12" s="1461"/>
      <c r="Y12" s="3573"/>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29"/>
      <c r="Q13" s="1098">
        <f t="shared" si="6"/>
        <v>111</v>
      </c>
      <c r="R13" s="1459" t="s">
        <v>8</v>
      </c>
      <c r="S13" s="1460">
        <f t="shared" si="0"/>
        <v>100</v>
      </c>
      <c r="T13" s="1459" t="s">
        <v>8</v>
      </c>
      <c r="U13" s="1460">
        <f t="shared" si="1"/>
        <v>100</v>
      </c>
      <c r="V13" s="1459" t="s">
        <v>8</v>
      </c>
      <c r="W13" s="1460">
        <f t="shared" si="2"/>
        <v>100</v>
      </c>
      <c r="X13" s="1461"/>
      <c r="Y13" s="3573"/>
      <c r="Z13" s="1097">
        <f t="shared" si="7"/>
        <v>111</v>
      </c>
      <c r="AA13" s="1462">
        <f t="shared" si="3"/>
        <v>1</v>
      </c>
      <c r="AB13" s="1462">
        <f t="shared" si="4"/>
        <v>1</v>
      </c>
      <c r="AC13" s="1462">
        <f t="shared" si="5"/>
        <v>1</v>
      </c>
    </row>
    <row r="14" spans="1:29" ht="85.5">
      <c r="A14" s="2550" t="s">
        <v>2470</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62" t="s">
        <v>523</v>
      </c>
      <c r="Q14" s="1463" t="str">
        <f t="shared" si="6"/>
        <v>交通便捷度</v>
      </c>
      <c r="R14" s="1464" t="s">
        <v>8</v>
      </c>
      <c r="S14" s="1465">
        <f t="shared" si="0"/>
        <v>100</v>
      </c>
      <c r="T14" s="1464" t="s">
        <v>8</v>
      </c>
      <c r="U14" s="1465">
        <f t="shared" si="1"/>
        <v>100</v>
      </c>
      <c r="V14" s="1464" t="s">
        <v>8</v>
      </c>
      <c r="W14" s="1465">
        <f t="shared" si="2"/>
        <v>100</v>
      </c>
      <c r="X14" s="1458"/>
      <c r="Y14" s="3662"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63"/>
      <c r="Q15" s="1463"/>
      <c r="R15" s="1464"/>
      <c r="S15" s="1465"/>
      <c r="T15" s="1464"/>
      <c r="U15" s="1465"/>
      <c r="V15" s="1464"/>
      <c r="W15" s="1465"/>
      <c r="X15" s="1458"/>
      <c r="Y15" s="3663"/>
      <c r="Z15" s="1466"/>
      <c r="AA15" s="1467">
        <v>1</v>
      </c>
      <c r="AB15" s="1467">
        <v>1</v>
      </c>
      <c r="AC15" s="1467">
        <v>1</v>
      </c>
    </row>
    <row r="16" spans="1:29" ht="42.75">
      <c r="A16" s="509"/>
      <c r="B16" s="2370"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63"/>
      <c r="Q16" s="1463" t="str">
        <f>B16</f>
        <v>公共配套设施</v>
      </c>
      <c r="R16" s="1464" t="s">
        <v>8</v>
      </c>
      <c r="S16" s="1465">
        <f>F16</f>
        <v>100</v>
      </c>
      <c r="T16" s="1464" t="s">
        <v>8</v>
      </c>
      <c r="U16" s="1465">
        <f>H16</f>
        <v>100</v>
      </c>
      <c r="V16" s="1464" t="s">
        <v>8</v>
      </c>
      <c r="W16" s="1465">
        <f>J16</f>
        <v>100</v>
      </c>
      <c r="X16" s="1458"/>
      <c r="Y16" s="3663"/>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63"/>
      <c r="Q17" s="1463"/>
      <c r="R17" s="1464"/>
      <c r="S17" s="1465"/>
      <c r="T17" s="1464"/>
      <c r="U17" s="1465"/>
      <c r="V17" s="1464"/>
      <c r="W17" s="1465"/>
      <c r="X17" s="1458"/>
      <c r="Y17" s="3663"/>
      <c r="Z17" s="1466"/>
      <c r="AA17" s="1467">
        <v>1</v>
      </c>
      <c r="AB17" s="1467">
        <v>1</v>
      </c>
      <c r="AC17" s="1467">
        <v>1</v>
      </c>
    </row>
    <row r="18" spans="1:29" ht="28.5">
      <c r="A18" s="509"/>
      <c r="B18" s="2358"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63"/>
      <c r="Q18" s="2352" t="str">
        <f>B18</f>
        <v>基础设施水平</v>
      </c>
      <c r="R18" s="1464" t="s">
        <v>8</v>
      </c>
      <c r="S18" s="1465">
        <f>F18</f>
        <v>100</v>
      </c>
      <c r="T18" s="1464" t="s">
        <v>8</v>
      </c>
      <c r="U18" s="1465">
        <f>H18</f>
        <v>100</v>
      </c>
      <c r="V18" s="1464" t="s">
        <v>8</v>
      </c>
      <c r="W18" s="1465">
        <f>J18</f>
        <v>100</v>
      </c>
      <c r="X18" s="2354"/>
      <c r="Y18" s="3663"/>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63"/>
      <c r="Q19" s="2352"/>
      <c r="R19" s="1464"/>
      <c r="S19" s="1465"/>
      <c r="T19" s="1464"/>
      <c r="U19" s="1465"/>
      <c r="V19" s="1464"/>
      <c r="W19" s="1465"/>
      <c r="X19" s="2354"/>
      <c r="Y19" s="3663"/>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63"/>
      <c r="Q20" s="1463" t="str">
        <f>B20</f>
        <v>自然及人文环境</v>
      </c>
      <c r="R20" s="1464" t="s">
        <v>8</v>
      </c>
      <c r="S20" s="1465">
        <f>F20</f>
        <v>100</v>
      </c>
      <c r="T20" s="1464" t="s">
        <v>8</v>
      </c>
      <c r="U20" s="1465">
        <f>H20</f>
        <v>100</v>
      </c>
      <c r="V20" s="1464" t="s">
        <v>8</v>
      </c>
      <c r="W20" s="1465">
        <f>J20</f>
        <v>100</v>
      </c>
      <c r="X20" s="1458"/>
      <c r="Y20" s="3663"/>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63"/>
      <c r="Q21" s="1463"/>
      <c r="R21" s="1464"/>
      <c r="S21" s="1465"/>
      <c r="T21" s="1464"/>
      <c r="U21" s="1465"/>
      <c r="V21" s="1464"/>
      <c r="W21" s="1465"/>
      <c r="X21" s="1458"/>
      <c r="Y21" s="3663"/>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63"/>
      <c r="Q22" s="1463" t="str">
        <f>B22</f>
        <v>楼层</v>
      </c>
      <c r="R22" s="1464" t="s">
        <v>8</v>
      </c>
      <c r="S22" s="1465">
        <f>F22</f>
        <v>100</v>
      </c>
      <c r="T22" s="1464" t="s">
        <v>8</v>
      </c>
      <c r="U22" s="1465">
        <f>H22</f>
        <v>100</v>
      </c>
      <c r="V22" s="1464" t="s">
        <v>8</v>
      </c>
      <c r="W22" s="1465">
        <f>J22</f>
        <v>100</v>
      </c>
      <c r="X22" s="1458"/>
      <c r="Y22" s="3663"/>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63"/>
      <c r="Q23" s="1463">
        <f>B23</f>
        <v>111</v>
      </c>
      <c r="R23" s="1464" t="s">
        <v>8</v>
      </c>
      <c r="S23" s="1465">
        <f>F23</f>
        <v>100</v>
      </c>
      <c r="T23" s="1464" t="s">
        <v>8</v>
      </c>
      <c r="U23" s="1465">
        <f>H23</f>
        <v>100</v>
      </c>
      <c r="V23" s="1464" t="s">
        <v>8</v>
      </c>
      <c r="W23" s="1465">
        <f>J23</f>
        <v>100</v>
      </c>
      <c r="X23" s="1458"/>
      <c r="Y23" s="3663"/>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63"/>
      <c r="Q24" s="1463">
        <f t="shared" ref="Q24:Q34" si="11">B24</f>
        <v>111</v>
      </c>
      <c r="R24" s="1464" t="s">
        <v>8</v>
      </c>
      <c r="S24" s="1465">
        <f>F24</f>
        <v>100</v>
      </c>
      <c r="T24" s="1464" t="s">
        <v>8</v>
      </c>
      <c r="U24" s="1465">
        <f>H24</f>
        <v>100</v>
      </c>
      <c r="V24" s="1464" t="s">
        <v>8</v>
      </c>
      <c r="W24" s="1465">
        <f>J24</f>
        <v>100</v>
      </c>
      <c r="X24" s="1458"/>
      <c r="Y24" s="3663"/>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63"/>
      <c r="Q25" s="1098">
        <f t="shared" si="11"/>
        <v>111</v>
      </c>
      <c r="R25" s="1459" t="s">
        <v>8</v>
      </c>
      <c r="S25" s="1460">
        <f>F25</f>
        <v>100</v>
      </c>
      <c r="T25" s="1459" t="s">
        <v>8</v>
      </c>
      <c r="U25" s="1460">
        <f>H25</f>
        <v>100</v>
      </c>
      <c r="V25" s="1459" t="s">
        <v>8</v>
      </c>
      <c r="W25" s="1460">
        <f>J25</f>
        <v>100</v>
      </c>
      <c r="X25" s="1461"/>
      <c r="Y25" s="3663"/>
      <c r="Z25" s="1097">
        <f>Q25</f>
        <v>111</v>
      </c>
      <c r="AA25" s="1467">
        <f>D25/F25</f>
        <v>1</v>
      </c>
      <c r="AB25" s="1467">
        <f>D25/H25</f>
        <v>1</v>
      </c>
      <c r="AC25" s="1467">
        <f>D25/J25</f>
        <v>1</v>
      </c>
    </row>
    <row r="26" spans="1:29" ht="15">
      <c r="A26" s="2547" t="s">
        <v>2471</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64"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65"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65"/>
      <c r="Q27" s="1492" t="str">
        <f t="shared" si="11"/>
        <v>成新率</v>
      </c>
      <c r="R27" s="1468" t="s">
        <v>8</v>
      </c>
      <c r="S27" s="1469" t="e">
        <f t="shared" si="12"/>
        <v>#N/A</v>
      </c>
      <c r="T27" s="1468" t="s">
        <v>8</v>
      </c>
      <c r="U27" s="1469" t="e">
        <f t="shared" si="13"/>
        <v>#N/A</v>
      </c>
      <c r="V27" s="1468" t="s">
        <v>8</v>
      </c>
      <c r="W27" s="1469" t="e">
        <f t="shared" si="14"/>
        <v>#N/A</v>
      </c>
      <c r="X27" s="1470"/>
      <c r="Y27" s="3665"/>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65"/>
      <c r="Q28" s="1463" t="str">
        <f t="shared" si="11"/>
        <v>物业等级</v>
      </c>
      <c r="R28" s="1464" t="s">
        <v>8</v>
      </c>
      <c r="S28" s="1465">
        <f t="shared" si="12"/>
        <v>100</v>
      </c>
      <c r="T28" s="1464" t="s">
        <v>8</v>
      </c>
      <c r="U28" s="1465">
        <f t="shared" si="13"/>
        <v>100</v>
      </c>
      <c r="V28" s="1464" t="s">
        <v>8</v>
      </c>
      <c r="W28" s="1465">
        <f t="shared" si="14"/>
        <v>100</v>
      </c>
      <c r="X28" s="1458"/>
      <c r="Y28" s="3665"/>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65"/>
      <c r="Q29" s="1463" t="str">
        <f t="shared" si="11"/>
        <v>有无电梯</v>
      </c>
      <c r="R29" s="1464" t="s">
        <v>8</v>
      </c>
      <c r="S29" s="1465">
        <f t="shared" si="12"/>
        <v>100</v>
      </c>
      <c r="T29" s="1464" t="s">
        <v>8</v>
      </c>
      <c r="U29" s="1465">
        <f t="shared" si="13"/>
        <v>100</v>
      </c>
      <c r="V29" s="1464" t="s">
        <v>8</v>
      </c>
      <c r="W29" s="1465">
        <f t="shared" si="14"/>
        <v>100</v>
      </c>
      <c r="X29" s="1458"/>
      <c r="Y29" s="3665"/>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65"/>
      <c r="Q30" s="1463" t="str">
        <f t="shared" si="11"/>
        <v>建筑面积</v>
      </c>
      <c r="R30" s="1464" t="s">
        <v>8</v>
      </c>
      <c r="S30" s="1465" t="e">
        <f t="shared" si="12"/>
        <v>#N/A</v>
      </c>
      <c r="T30" s="1464" t="s">
        <v>8</v>
      </c>
      <c r="U30" s="1465" t="e">
        <f t="shared" si="13"/>
        <v>#N/A</v>
      </c>
      <c r="V30" s="1464" t="s">
        <v>8</v>
      </c>
      <c r="W30" s="1465" t="e">
        <f t="shared" si="14"/>
        <v>#N/A</v>
      </c>
      <c r="X30" s="1458"/>
      <c r="Y30" s="3665"/>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65"/>
      <c r="Q31" s="1098" t="str">
        <f t="shared" si="11"/>
        <v>是否封闭</v>
      </c>
      <c r="R31" s="1459" t="s">
        <v>8</v>
      </c>
      <c r="S31" s="1460">
        <f t="shared" si="12"/>
        <v>100</v>
      </c>
      <c r="T31" s="1459" t="s">
        <v>8</v>
      </c>
      <c r="U31" s="1460">
        <f t="shared" si="13"/>
        <v>100</v>
      </c>
      <c r="V31" s="1459" t="s">
        <v>8</v>
      </c>
      <c r="W31" s="1460">
        <f t="shared" si="14"/>
        <v>100</v>
      </c>
      <c r="X31" s="1461"/>
      <c r="Y31" s="3665"/>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65" t="s">
        <v>533</v>
      </c>
      <c r="Q32" s="1463">
        <f t="shared" si="11"/>
        <v>111</v>
      </c>
      <c r="R32" s="1464" t="s">
        <v>8</v>
      </c>
      <c r="S32" s="1465">
        <f t="shared" si="12"/>
        <v>100</v>
      </c>
      <c r="T32" s="1464" t="s">
        <v>8</v>
      </c>
      <c r="U32" s="1465">
        <f t="shared" si="13"/>
        <v>100</v>
      </c>
      <c r="V32" s="1464" t="s">
        <v>8</v>
      </c>
      <c r="W32" s="1465">
        <f t="shared" si="14"/>
        <v>100</v>
      </c>
      <c r="X32" s="1458"/>
      <c r="Y32" s="3665"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65"/>
      <c r="Q33" s="1463">
        <f t="shared" si="11"/>
        <v>111</v>
      </c>
      <c r="R33" s="1464" t="s">
        <v>8</v>
      </c>
      <c r="S33" s="1465">
        <f t="shared" si="12"/>
        <v>100</v>
      </c>
      <c r="T33" s="1464" t="s">
        <v>8</v>
      </c>
      <c r="U33" s="1465">
        <f t="shared" si="13"/>
        <v>100</v>
      </c>
      <c r="V33" s="1464" t="s">
        <v>8</v>
      </c>
      <c r="W33" s="1465">
        <f t="shared" si="14"/>
        <v>100</v>
      </c>
      <c r="X33" s="1458"/>
      <c r="Y33" s="3665"/>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65"/>
      <c r="Q34" s="1463">
        <f t="shared" si="11"/>
        <v>111</v>
      </c>
      <c r="R34" s="1464" t="s">
        <v>8</v>
      </c>
      <c r="S34" s="1465">
        <f t="shared" si="12"/>
        <v>100</v>
      </c>
      <c r="T34" s="1464" t="s">
        <v>8</v>
      </c>
      <c r="U34" s="1465">
        <f t="shared" si="13"/>
        <v>100</v>
      </c>
      <c r="V34" s="1464" t="s">
        <v>8</v>
      </c>
      <c r="W34" s="1465">
        <f t="shared" si="14"/>
        <v>100</v>
      </c>
      <c r="X34" s="1458"/>
      <c r="Y34" s="3665"/>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29" t="str">
        <f>A35</f>
        <v>成交单价（元/平方米）</v>
      </c>
      <c r="Q35" s="3629"/>
      <c r="R35" s="3757">
        <f>E35</f>
        <v>0</v>
      </c>
      <c r="S35" s="3757"/>
      <c r="T35" s="3757">
        <f>G35</f>
        <v>0</v>
      </c>
      <c r="U35" s="3757"/>
      <c r="V35" s="3757">
        <f>I35</f>
        <v>0</v>
      </c>
      <c r="W35" s="3757"/>
      <c r="X35" s="1453"/>
      <c r="Y35" s="1472"/>
      <c r="Z35" s="1453"/>
      <c r="AA35" s="1453"/>
      <c r="AB35" s="1453"/>
      <c r="AC35" s="1453"/>
    </row>
    <row r="36" spans="1:29" ht="15.75" thickBot="1">
      <c r="A36" s="592" t="s">
        <v>2476</v>
      </c>
      <c r="B36" s="860"/>
      <c r="C36" s="2399" t="e">
        <f>R37</f>
        <v>#DIV/0!</v>
      </c>
      <c r="D36" s="2923" t="s">
        <v>2702</v>
      </c>
      <c r="E36" s="2400" t="e">
        <f>R36</f>
        <v>#DIV/0!</v>
      </c>
      <c r="F36" s="2924"/>
      <c r="G36" s="2399" t="e">
        <f>T36</f>
        <v>#DIV/0!</v>
      </c>
      <c r="H36" s="2924"/>
      <c r="I36" s="2400" t="e">
        <f>V36</f>
        <v>#DIV/0!</v>
      </c>
      <c r="J36" s="2924"/>
      <c r="K36" s="2932">
        <f>F36+H36+J36</f>
        <v>0</v>
      </c>
      <c r="L36" s="1981"/>
      <c r="M36" s="1982"/>
      <c r="N36" s="1971"/>
      <c r="O36" s="1982"/>
      <c r="P36" s="3629" t="str">
        <f>A36</f>
        <v>比较价格（元/平方米）</v>
      </c>
      <c r="Q36" s="3629"/>
      <c r="R36" s="3757" t="e">
        <f>IF(F1="售价",ROUND(PRODUCT(R35,AA7:AA34),0),ROUND(PRODUCT(R35,AA7:AA34),1))</f>
        <v>#DIV/0!</v>
      </c>
      <c r="S36" s="3757"/>
      <c r="T36" s="3757" t="e">
        <f>IF(F1="售价",ROUND(PRODUCT(T35,AB7:AB34),0),ROUND(PRODUCT(T35,AB7:AB34),1))</f>
        <v>#DIV/0!</v>
      </c>
      <c r="U36" s="3757"/>
      <c r="V36" s="3757" t="e">
        <f>IF(F1="售价",ROUND(PRODUCT(V35,AC7:AC34),0),ROUND(PRODUCT(V35,AC7:AC34),1))</f>
        <v>#DIV/0!</v>
      </c>
      <c r="W36" s="3757"/>
      <c r="X36" s="1453"/>
      <c r="Y36" s="1453"/>
      <c r="Z36" s="1453"/>
      <c r="AA36" s="1453"/>
      <c r="AB36" s="1453"/>
      <c r="AC36" s="1453"/>
    </row>
    <row r="37" spans="1:29" ht="15.75" thickBot="1">
      <c r="A37" s="596" t="s">
        <v>2636</v>
      </c>
      <c r="B37" s="597"/>
      <c r="C37" s="2401" t="e">
        <f>R37</f>
        <v>#DIV/0!</v>
      </c>
      <c r="D37" s="2401"/>
      <c r="E37" s="2401"/>
      <c r="F37" s="2401"/>
      <c r="G37" s="2401"/>
      <c r="H37" s="2401"/>
      <c r="I37" s="2401"/>
      <c r="J37" s="2401"/>
      <c r="K37" s="1498"/>
      <c r="L37" s="1981"/>
      <c r="M37" s="1982"/>
      <c r="N37" s="1982"/>
      <c r="O37" s="1982"/>
      <c r="P37" s="3666" t="str">
        <f>A37</f>
        <v>估价对象XX用房的比较价格（楼面单价，元/平方米）</v>
      </c>
      <c r="Q37" s="3667"/>
      <c r="R37" s="3756" t="e">
        <f>IF(F1="售价",ROUND(IF(D36="简单平均",AVERAGE(R36:W36),R36*F36+T36*H36+V36*J36),0),ROUND(IF(D36="简单平均",AVERAGE(R36:V36),R36*F36+T36*H36+V36*J36),1))</f>
        <v>#DIV/0!</v>
      </c>
      <c r="S37" s="3756"/>
      <c r="T37" s="3756"/>
      <c r="U37" s="3756"/>
      <c r="V37" s="3756"/>
      <c r="W37" s="3756"/>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2020-4</v>
      </c>
      <c r="D46" s="2444">
        <f>EDATE(C46,-1)</f>
        <v>43891</v>
      </c>
      <c r="E46" s="2444">
        <f t="shared" ref="E46:O46" si="16">EDATE(D46,-1)</f>
        <v>43862</v>
      </c>
      <c r="F46" s="2444">
        <f t="shared" si="16"/>
        <v>43831</v>
      </c>
      <c r="G46" s="2444">
        <f t="shared" si="16"/>
        <v>43800</v>
      </c>
      <c r="H46" s="2444">
        <f t="shared" si="16"/>
        <v>43770</v>
      </c>
      <c r="I46" s="2444">
        <f t="shared" si="16"/>
        <v>43739</v>
      </c>
      <c r="J46" s="2444">
        <f t="shared" si="16"/>
        <v>43709</v>
      </c>
      <c r="K46" s="2444">
        <f t="shared" si="16"/>
        <v>43678</v>
      </c>
      <c r="L46" s="2444">
        <f t="shared" si="16"/>
        <v>43647</v>
      </c>
      <c r="M46" s="2444">
        <f t="shared" si="16"/>
        <v>43617</v>
      </c>
      <c r="N46" s="2444">
        <f t="shared" si="16"/>
        <v>43586</v>
      </c>
      <c r="O46" s="2444">
        <f t="shared" si="16"/>
        <v>43556</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2274</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2275</v>
      </c>
      <c r="C65" s="2365" t="s">
        <v>2276</v>
      </c>
      <c r="D65" s="2365" t="s">
        <v>2277</v>
      </c>
      <c r="E65" s="2365" t="s">
        <v>2278</v>
      </c>
      <c r="F65" s="2365" t="s">
        <v>2279</v>
      </c>
      <c r="G65" s="2365" t="s">
        <v>2280</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2092</v>
      </c>
      <c r="C1" s="3766" t="s">
        <v>2093</v>
      </c>
      <c r="D1" s="3767"/>
      <c r="E1" s="3767"/>
      <c r="F1" s="3767"/>
      <c r="G1" s="3767"/>
      <c r="H1" s="3767"/>
      <c r="I1" s="3767"/>
      <c r="J1" s="3767"/>
      <c r="K1" s="3767"/>
      <c r="L1" s="3767"/>
      <c r="M1" s="3767"/>
      <c r="N1" s="3767"/>
      <c r="O1" s="3767"/>
      <c r="P1" s="3767"/>
      <c r="Q1" s="3767"/>
      <c r="R1" s="3767"/>
      <c r="S1" s="3768"/>
      <c r="T1" s="2069" t="s">
        <v>2094</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2095</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2629</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2628</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2627</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2640</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2626</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2625</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2096</v>
      </c>
      <c r="B17" s="2113" t="s">
        <v>2097</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3" t="s">
        <v>20</v>
      </c>
      <c r="D22" s="3764"/>
      <c r="E22" s="3764"/>
      <c r="F22" s="3764"/>
      <c r="G22" s="3764"/>
      <c r="H22" s="3764"/>
      <c r="I22" s="3764"/>
      <c r="J22" s="3764"/>
      <c r="K22" s="3764"/>
      <c r="L22" s="3764"/>
      <c r="M22" s="3764"/>
      <c r="N22" s="3764"/>
      <c r="O22" s="3764"/>
      <c r="P22" s="3764"/>
      <c r="Q22" s="3765"/>
      <c r="R22" s="474" t="e">
        <f>ROUND(S22*10000/B22,0)</f>
        <v>#DIV/0!</v>
      </c>
      <c r="S22" s="53">
        <f>SUM(S24:S10000)</f>
        <v>0</v>
      </c>
    </row>
    <row r="23" spans="1:45" s="1499" customFormat="1" ht="24">
      <c r="A23" s="17" t="s">
        <v>812</v>
      </c>
      <c r="B23" s="2780"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1699</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1700</v>
      </c>
    </row>
    <row r="6" spans="1:4" ht="18.75">
      <c r="A6" s="1662"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513" t="s">
        <v>2464</v>
      </c>
    </row>
    <row r="8" spans="1:4" ht="18.75">
      <c r="A8" s="1665" t="s">
        <v>1701</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1817</v>
      </c>
    </row>
    <row r="11" spans="1:4" ht="18.75">
      <c r="A11" s="1651" t="str">
        <f>TEXT(项目基本情况!D3,"yyyy年m月d日;;")&amp;IF(项目基本情况!B3=项目基本情况!D3,"（评估专业人员勘察现场之日）","")</f>
        <v>2020年4月2日</v>
      </c>
    </row>
    <row r="12" spans="1:4" ht="18.75">
      <c r="A12" s="1668" t="s">
        <v>1816</v>
      </c>
    </row>
    <row r="13" spans="1:4" ht="18.75">
      <c r="A13" s="1662" t="s">
        <v>1862</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1863</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1864</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1865</v>
      </c>
    </row>
    <row r="23" spans="1:1" ht="18.75">
      <c r="A23" s="2515" t="s">
        <v>2465</v>
      </c>
    </row>
    <row r="24" spans="1:1" ht="18.75">
      <c r="A24" s="1662" t="s">
        <v>1866</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1818</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C7:Q3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2503</v>
      </c>
      <c r="C1" s="2643">
        <f>项目基本情况!D3</f>
        <v>43923</v>
      </c>
      <c r="H1" s="2578">
        <f>IF(C1&gt;C13,0,MATCH(C1,C$13:C$109,-1))+IF(SUMIF(C13:C109,C1,D13:D109)=0,13,12)</f>
        <v>18</v>
      </c>
      <c r="I1" s="2578">
        <f ca="1">MATCH(C2,H3:H7,1)+IF(SUMIF(H3:H7,C2,I3:I7)=0,2,1)</f>
        <v>2</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2534</v>
      </c>
      <c r="C2" s="2644">
        <f>'数据-取费表'!B22</f>
        <v>0</v>
      </c>
      <c r="D2" s="2639" t="s">
        <v>2504</v>
      </c>
      <c r="E2" s="2642" t="e">
        <f ca="1">INDIRECT("I"&amp;$I$1)/100</f>
        <v>#VALUE!</v>
      </c>
      <c r="G2" s="2580"/>
      <c r="H2" s="2580"/>
      <c r="I2" s="2580" t="s">
        <v>2505</v>
      </c>
      <c r="K2" s="2580"/>
      <c r="L2" s="2580"/>
      <c r="M2" s="2580"/>
      <c r="N2" s="2580" t="s">
        <v>2506</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2536</v>
      </c>
      <c r="C3" s="2641">
        <f>'数据-取费表'!B19</f>
        <v>0</v>
      </c>
      <c r="D3" s="2639" t="s">
        <v>2504</v>
      </c>
      <c r="E3" s="2642">
        <f ca="1">INDIRECT("J"&amp;$J$1)/100</f>
        <v>0</v>
      </c>
      <c r="G3" s="2582" t="s">
        <v>2507</v>
      </c>
      <c r="H3" s="2583">
        <v>0</v>
      </c>
      <c r="I3" s="2584">
        <f ca="1">INDIRECT("d"&amp;$H$1)</f>
        <v>4.05</v>
      </c>
      <c r="J3" s="2584">
        <f ca="1">INDIRECT("d"&amp;$H$1)</f>
        <v>4.05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2535</v>
      </c>
      <c r="C4" s="2642">
        <f ca="1">N4/100</f>
        <v>1.4999999999999999E-2</v>
      </c>
      <c r="G4" s="2588" t="s">
        <v>2508</v>
      </c>
      <c r="H4" s="2589">
        <v>0.5</v>
      </c>
      <c r="I4" s="2590">
        <f ca="1">INDIRECT("e"&amp;$H$1)</f>
        <v>4.05</v>
      </c>
      <c r="J4" s="2590">
        <f ca="1">INDIRECT("e"&amp;$H$1)</f>
        <v>4.05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2509</v>
      </c>
      <c r="H5" s="2589">
        <v>1</v>
      </c>
      <c r="I5" s="2590">
        <f ca="1">INDIRECT("f"&amp;$H$1)</f>
        <v>4.05</v>
      </c>
      <c r="J5" s="2590">
        <f ca="1">INDIRECT("f"&amp;$H$1)</f>
        <v>4.05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2510</v>
      </c>
      <c r="H6" s="2589">
        <v>3</v>
      </c>
      <c r="I6" s="2590">
        <f ca="1">INDIRECT("g"&amp;$H$1)</f>
        <v>4.05</v>
      </c>
      <c r="J6" s="2590">
        <f ca="1">INDIRECT("g"&amp;$H$1)</f>
        <v>4.05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2511</v>
      </c>
      <c r="H7" s="2594">
        <v>5</v>
      </c>
      <c r="I7" s="2595">
        <f ca="1">INDIRECT("h"&amp;$H$1)</f>
        <v>4.75</v>
      </c>
      <c r="J7" s="2595">
        <f ca="1">INDIRECT("h"&amp;$H$1)</f>
        <v>4.75</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2512</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2513</v>
      </c>
      <c r="C10" s="2607"/>
      <c r="D10" s="2607"/>
      <c r="E10" s="2607"/>
      <c r="F10" s="2607"/>
      <c r="G10" s="2607"/>
      <c r="H10" s="2607"/>
      <c r="I10" s="2581"/>
      <c r="J10" s="2581"/>
      <c r="K10" s="2607"/>
      <c r="L10" s="2608" t="s">
        <v>2514</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2515</v>
      </c>
      <c r="C11" s="2612" t="s">
        <v>2516</v>
      </c>
      <c r="D11" s="2613" t="s">
        <v>2517</v>
      </c>
      <c r="E11" s="2614"/>
      <c r="F11" s="2613" t="s">
        <v>2518</v>
      </c>
      <c r="G11" s="2615"/>
      <c r="H11" s="2614"/>
      <c r="I11" s="2613" t="s">
        <v>2519</v>
      </c>
      <c r="J11" s="2614"/>
      <c r="K11" s="2610"/>
      <c r="L11" s="2611" t="s">
        <v>2515</v>
      </c>
      <c r="M11" s="2612" t="s">
        <v>2516</v>
      </c>
      <c r="N11" s="2611" t="s">
        <v>2520</v>
      </c>
      <c r="O11" s="2613" t="s">
        <v>2521</v>
      </c>
      <c r="P11" s="2615"/>
      <c r="Q11" s="2615"/>
      <c r="R11" s="2615"/>
      <c r="S11" s="2615"/>
      <c r="T11" s="2614"/>
      <c r="U11" s="2613" t="s">
        <v>2522</v>
      </c>
      <c r="V11" s="2615"/>
      <c r="W11" s="2614"/>
      <c r="X11" s="2611" t="s">
        <v>2523</v>
      </c>
      <c r="Y11" s="2611" t="s">
        <v>2524</v>
      </c>
      <c r="Z11" s="2611" t="s">
        <v>2525</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2526</v>
      </c>
      <c r="E12" s="2620" t="s">
        <v>2527</v>
      </c>
      <c r="F12" s="2620" t="s">
        <v>2528</v>
      </c>
      <c r="G12" s="2620" t="s">
        <v>2529</v>
      </c>
      <c r="H12" s="2620" t="s">
        <v>2511</v>
      </c>
      <c r="I12" s="2621" t="s">
        <v>2530</v>
      </c>
      <c r="J12" s="2621" t="s">
        <v>2530</v>
      </c>
      <c r="K12" s="2617"/>
      <c r="L12" s="2618"/>
      <c r="M12" s="2619"/>
      <c r="N12" s="2618"/>
      <c r="O12" s="2621" t="s">
        <v>2531</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2532</v>
      </c>
      <c r="C13" s="2625">
        <v>44795</v>
      </c>
      <c r="D13" s="2626">
        <v>3.65</v>
      </c>
      <c r="E13" s="2626">
        <f>D13</f>
        <v>3.65</v>
      </c>
      <c r="F13" s="2626">
        <f>D13</f>
        <v>3.65</v>
      </c>
      <c r="G13" s="2626">
        <f>D13</f>
        <v>3.65</v>
      </c>
      <c r="H13" s="2626">
        <v>4.3</v>
      </c>
      <c r="I13" s="2626"/>
      <c r="J13" s="2626"/>
      <c r="K13" s="2623"/>
      <c r="L13" s="2624" t="s">
        <v>2532</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2731</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2533</v>
      </c>
      <c r="Y42" s="2630" t="s">
        <v>2533</v>
      </c>
      <c r="Z42" s="2630" t="s">
        <v>2533</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2533</v>
      </c>
      <c r="Y43" s="2630" t="s">
        <v>2533</v>
      </c>
      <c r="Z43" s="2630" t="s">
        <v>2533</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2533</v>
      </c>
      <c r="Y44" s="2630" t="s">
        <v>2533</v>
      </c>
      <c r="Z44" s="2630" t="s">
        <v>2533</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2533</v>
      </c>
      <c r="Y45" s="2630" t="s">
        <v>2533</v>
      </c>
      <c r="Z45" s="2630" t="s">
        <v>2533</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2533</v>
      </c>
      <c r="Y46" s="2630" t="s">
        <v>2533</v>
      </c>
      <c r="Z46" s="2630" t="s">
        <v>2533</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2533</v>
      </c>
      <c r="Y47" s="2630" t="s">
        <v>2533</v>
      </c>
      <c r="Z47" s="2630" t="s">
        <v>2533</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2533</v>
      </c>
      <c r="Y48" s="2630" t="s">
        <v>2533</v>
      </c>
      <c r="Z48" s="2630" t="s">
        <v>2533</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2533</v>
      </c>
      <c r="Y49" s="2630" t="s">
        <v>2533</v>
      </c>
      <c r="Z49" s="2630" t="s">
        <v>2533</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2533</v>
      </c>
      <c r="Y50" s="2630" t="s">
        <v>2533</v>
      </c>
      <c r="Z50" s="2630" t="s">
        <v>2533</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2533</v>
      </c>
      <c r="V51" s="2630" t="s">
        <v>2533</v>
      </c>
      <c r="W51" s="2630" t="s">
        <v>2533</v>
      </c>
      <c r="X51" s="2630" t="s">
        <v>2533</v>
      </c>
      <c r="Y51" s="2630" t="s">
        <v>2533</v>
      </c>
      <c r="Z51" s="2630" t="s">
        <v>2533</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2533</v>
      </c>
      <c r="J64" s="2630" t="s">
        <v>2533</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tabSelected="1" workbookViewId="0">
      <selection activeCell="J10" sqref="J10"/>
    </sheetView>
  </sheetViews>
  <sheetFormatPr defaultRowHeight="13.5"/>
  <cols>
    <col min="3" max="3" width="32.5" customWidth="1"/>
    <col min="6" max="6" width="13.375" customWidth="1"/>
  </cols>
  <sheetData>
    <row r="1" spans="2:7">
      <c r="F1" s="3157" t="s">
        <v>3142</v>
      </c>
      <c r="G1" s="3157" t="s">
        <v>3152</v>
      </c>
    </row>
    <row r="2" spans="2:7">
      <c r="B2" s="3157" t="s">
        <v>3129</v>
      </c>
      <c r="C2" s="3157" t="s">
        <v>3125</v>
      </c>
      <c r="D2">
        <v>4197.13</v>
      </c>
      <c r="F2">
        <f>ROUND(基准地价!C29*(1-基准地价!M39)*基准地价!D29,0)</f>
        <v>10545709</v>
      </c>
    </row>
    <row r="3" spans="2:7">
      <c r="C3" s="3157" t="s">
        <v>3126</v>
      </c>
      <c r="D3">
        <v>662.15</v>
      </c>
      <c r="F3">
        <f>ROUND(D3*G3*365*2,0)</f>
        <v>483370</v>
      </c>
      <c r="G3" s="3449">
        <v>1</v>
      </c>
    </row>
    <row r="4" spans="2:7">
      <c r="C4" s="3157" t="s">
        <v>3127</v>
      </c>
      <c r="D4">
        <v>2211.23</v>
      </c>
      <c r="F4">
        <f>ROUND(D4*G4*365*2,0)</f>
        <v>1614198</v>
      </c>
      <c r="G4" s="3449">
        <f>G3</f>
        <v>1</v>
      </c>
    </row>
    <row r="5" spans="2:7">
      <c r="C5" s="3157" t="s">
        <v>3128</v>
      </c>
      <c r="D5">
        <v>6373.92</v>
      </c>
      <c r="F5">
        <f>ROUND(D5*G5*4*30,0)</f>
        <v>764870</v>
      </c>
      <c r="G5" s="3449">
        <f>G3</f>
        <v>1</v>
      </c>
    </row>
    <row r="6" spans="2:7">
      <c r="B6" s="3157" t="s">
        <v>3121</v>
      </c>
      <c r="C6" s="3157" t="s">
        <v>3130</v>
      </c>
      <c r="D6">
        <v>1602.54</v>
      </c>
      <c r="F6">
        <f>ROUND(基准地价!C38*(1-基准地价!M39)*面积指标!D6,0)</f>
        <v>1006636</v>
      </c>
    </row>
    <row r="7" spans="2:7">
      <c r="C7" s="3157" t="s">
        <v>3131</v>
      </c>
      <c r="D7">
        <f>261.27+612.97</f>
        <v>874.24</v>
      </c>
      <c r="F7">
        <f>ROUND(基准地价!C38*(1-基准地价!M39)*面积指标!D7,0)</f>
        <v>549154</v>
      </c>
    </row>
    <row r="8" spans="2:7">
      <c r="C8" s="3448" t="s">
        <v>3132</v>
      </c>
      <c r="D8" s="3449">
        <v>492.57</v>
      </c>
    </row>
    <row r="9" spans="2:7">
      <c r="C9" s="3157" t="s">
        <v>3141</v>
      </c>
      <c r="D9">
        <v>204.23</v>
      </c>
      <c r="F9">
        <f>ROUND(基准地价!C38*(1-基准地价!M39)*面积指标!D9,0)</f>
        <v>128287</v>
      </c>
    </row>
    <row r="10" spans="2:7">
      <c r="F10">
        <f>SUM(F2:F9)</f>
        <v>15092224</v>
      </c>
    </row>
    <row r="14" spans="2:7">
      <c r="B14" s="3157" t="s">
        <v>3146</v>
      </c>
    </row>
    <row r="15" spans="2:7">
      <c r="C15" s="3450" t="s">
        <v>3145</v>
      </c>
    </row>
    <row r="16" spans="2:7">
      <c r="C16" t="s">
        <v>3147</v>
      </c>
    </row>
    <row r="17" spans="3:3">
      <c r="C17" s="3450" t="s">
        <v>3148</v>
      </c>
    </row>
    <row r="18" spans="3:3">
      <c r="C18" t="s">
        <v>3149</v>
      </c>
    </row>
    <row r="19" spans="3:3">
      <c r="C19" t="s">
        <v>3150</v>
      </c>
    </row>
  </sheetData>
  <phoneticPr fontId="225" type="noConversion"/>
  <hyperlinks>
    <hyperlink ref="C15" r:id="rId1"/>
    <hyperlink ref="C17" r:id="rId2"/>
  </hyperlinks>
  <pageMargins left="0.7" right="0.7" top="0.75" bottom="0.75" header="0.3" footer="0.3"/>
  <pageSetup paperSize="9"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6" t="s">
        <v>1829</v>
      </c>
      <c r="B1" s="3456"/>
      <c r="C1" s="3456"/>
      <c r="D1" s="3456"/>
      <c r="E1" s="3456"/>
      <c r="F1" s="3456"/>
      <c r="G1" s="3456"/>
      <c r="H1" s="3456"/>
      <c r="I1" s="3456"/>
      <c r="J1" s="3456"/>
      <c r="K1" s="3456"/>
      <c r="L1" s="3456"/>
      <c r="M1" s="3456"/>
      <c r="N1" s="3456"/>
      <c r="O1" s="3456"/>
      <c r="P1" s="3456"/>
      <c r="Q1" s="3456"/>
      <c r="R1" s="3456"/>
    </row>
    <row r="2" spans="1:18">
      <c r="A2" s="1678" t="s">
        <v>1831</v>
      </c>
      <c r="B2" s="1678"/>
      <c r="C2" s="1678"/>
      <c r="D2" s="1678"/>
      <c r="E2" s="1678"/>
      <c r="F2" s="1678"/>
      <c r="G2" s="1678"/>
      <c r="H2" s="1678"/>
      <c r="I2" s="1679"/>
      <c r="J2" s="1679"/>
      <c r="K2" s="1680" t="str">
        <f>"估价期日："&amp;TEXT(项目基本情况!D3,"yyyy年m月d日;;")</f>
        <v>估价期日：2020年4月2日</v>
      </c>
      <c r="L2" s="1678"/>
      <c r="M2" s="1678"/>
      <c r="N2" s="1678"/>
      <c r="O2" s="1678"/>
      <c r="P2" s="1678"/>
      <c r="Q2" s="1678"/>
      <c r="R2" s="1680" t="str">
        <f>"估价期日的国有建设用地使用权性质："&amp;项目基本情况!B16</f>
        <v>估价期日的国有建设用地使用权性质：划拨</v>
      </c>
    </row>
    <row r="3" spans="1:18" ht="23.25" customHeight="1">
      <c r="A3" s="3457" t="s">
        <v>1820</v>
      </c>
      <c r="B3" s="3457" t="s">
        <v>2447</v>
      </c>
      <c r="C3" s="3458" t="s">
        <v>1821</v>
      </c>
      <c r="D3" s="3457" t="s">
        <v>2451</v>
      </c>
      <c r="E3" s="3452" t="s">
        <v>1822</v>
      </c>
      <c r="F3" s="3452"/>
      <c r="G3" s="3452"/>
      <c r="H3" s="3452" t="s">
        <v>1823</v>
      </c>
      <c r="I3" s="3452"/>
      <c r="J3" s="3452"/>
      <c r="K3" s="3458" t="s">
        <v>1824</v>
      </c>
      <c r="L3" s="3458" t="s">
        <v>1825</v>
      </c>
      <c r="M3" s="3457" t="s">
        <v>2448</v>
      </c>
      <c r="N3" s="3459" t="str">
        <f>"（分摊）"&amp;项目基本情况!B16&amp;"国有建设用地使用权面积/㎡"</f>
        <v>（分摊）划拨国有建设用地使用权面积/㎡</v>
      </c>
      <c r="O3" s="3457" t="s">
        <v>1854</v>
      </c>
      <c r="P3" s="3458" t="s">
        <v>1834</v>
      </c>
      <c r="Q3" s="3458" t="s">
        <v>1855</v>
      </c>
      <c r="R3" s="3458" t="s">
        <v>1826</v>
      </c>
    </row>
    <row r="4" spans="1:18" ht="36.75" customHeight="1">
      <c r="A4" s="3457"/>
      <c r="B4" s="3457"/>
      <c r="C4" s="3458"/>
      <c r="D4" s="3457"/>
      <c r="E4" s="2414" t="s">
        <v>1833</v>
      </c>
      <c r="F4" s="2414" t="s">
        <v>2460</v>
      </c>
      <c r="G4" s="2414" t="s">
        <v>1827</v>
      </c>
      <c r="H4" s="2414" t="s">
        <v>1828</v>
      </c>
      <c r="I4" s="2414" t="s">
        <v>2461</v>
      </c>
      <c r="J4" s="2414" t="s">
        <v>1827</v>
      </c>
      <c r="K4" s="3458"/>
      <c r="L4" s="3458"/>
      <c r="M4" s="3457"/>
      <c r="N4" s="3459"/>
      <c r="O4" s="3457"/>
      <c r="P4" s="3458"/>
      <c r="Q4" s="3458"/>
      <c r="R4" s="3458"/>
    </row>
    <row r="5" spans="1:18" ht="135" customHeight="1">
      <c r="A5" s="1813" t="s">
        <v>2371</v>
      </c>
      <c r="B5" s="2507" t="s">
        <v>2369</v>
      </c>
      <c r="C5" s="2413">
        <v>22</v>
      </c>
      <c r="D5" s="2412" t="s">
        <v>2370</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t="str">
        <f>IF(项目基本情况!B16="出让",项目基本情况!D20,"——")</f>
        <v>——</v>
      </c>
      <c r="N5" s="1681" t="e">
        <f>项目基本情况!C22</f>
        <v>#DIV/0!</v>
      </c>
      <c r="O5" s="1681">
        <f>项目基本情况!C21</f>
        <v>0</v>
      </c>
      <c r="P5" s="1681" t="e">
        <f ca="1">结果表!E42</f>
        <v>#REF!</v>
      </c>
      <c r="Q5" s="1681" t="e">
        <f ca="1">结果表!D42</f>
        <v>#REF!</v>
      </c>
      <c r="R5" s="1682" t="e">
        <f ca="1">结果表!C42</f>
        <v>#REF!</v>
      </c>
    </row>
    <row r="6" spans="1:18">
      <c r="A6" s="3453" t="str">
        <f>IF(项目基本情况!B9="市场价格","——","抵押价格")</f>
        <v>抵押价格</v>
      </c>
      <c r="B6" s="3454"/>
      <c r="C6" s="3454"/>
      <c r="D6" s="3454"/>
      <c r="E6" s="3454"/>
      <c r="F6" s="3454"/>
      <c r="G6" s="3454"/>
      <c r="H6" s="3454"/>
      <c r="I6" s="3454"/>
      <c r="J6" s="3454"/>
      <c r="K6" s="3454"/>
      <c r="L6" s="3454"/>
      <c r="M6" s="3454"/>
      <c r="N6" s="3454"/>
      <c r="O6" s="3454"/>
      <c r="P6" s="3454"/>
      <c r="Q6" s="3455"/>
      <c r="R6" s="1683" t="str">
        <f>结果表!O39</f>
        <v>——</v>
      </c>
    </row>
    <row r="7" spans="1:18">
      <c r="A7" s="3453" t="str">
        <f>IF(项目基本情况!B9="市场价格","——",IF(项目基本情况!E8="已注销及未注销","抵押担保权已注销时的抵押价格","——"))</f>
        <v>——</v>
      </c>
      <c r="B7" s="3454"/>
      <c r="C7" s="3454"/>
      <c r="D7" s="3454"/>
      <c r="E7" s="3454"/>
      <c r="F7" s="3454"/>
      <c r="G7" s="3454"/>
      <c r="H7" s="3454"/>
      <c r="I7" s="3454"/>
      <c r="J7" s="3454"/>
      <c r="K7" s="3454"/>
      <c r="L7" s="3454"/>
      <c r="M7" s="3454"/>
      <c r="N7" s="3454"/>
      <c r="O7" s="3454"/>
      <c r="P7" s="3454"/>
      <c r="Q7" s="3455"/>
      <c r="R7" s="1683" t="str">
        <f>结果表!O40</f>
        <v>——</v>
      </c>
    </row>
    <row r="8" spans="1:18">
      <c r="A8" s="3453">
        <f>IF(项目基本情况!B9="市场价格","——",项目基本情况!E9)</f>
        <v>0</v>
      </c>
      <c r="B8" s="3454"/>
      <c r="C8" s="3454"/>
      <c r="D8" s="3454"/>
      <c r="E8" s="3454"/>
      <c r="F8" s="3454"/>
      <c r="G8" s="3454"/>
      <c r="H8" s="3454"/>
      <c r="I8" s="3454"/>
      <c r="J8" s="3454"/>
      <c r="K8" s="3454"/>
      <c r="L8" s="3454"/>
      <c r="M8" s="3454"/>
      <c r="N8" s="3454"/>
      <c r="O8" s="3454"/>
      <c r="P8" s="3454"/>
      <c r="Q8" s="3455"/>
      <c r="R8" s="1683" t="str">
        <f>结果表!O41</f>
        <v>——</v>
      </c>
    </row>
    <row r="9" spans="1:18">
      <c r="A9" s="1684" t="s">
        <v>1832</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1819</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61" t="s">
        <v>1856</v>
      </c>
      <c r="B1" s="3461"/>
      <c r="C1" s="3461"/>
      <c r="D1" s="3461"/>
    </row>
    <row r="2" spans="1:4" ht="47.25" customHeight="1">
      <c r="A2" s="3462" t="str">
        <f>"1.权利限制："&amp;项目基本情况!L24&amp;"未设定租赁等其他他项权利。"</f>
        <v>1.权利限制：根据估价对象《不动产权证书》原件、《国有土地使用权》复印件，截至估价期日，估价对象抵押权未见登记。未设定租赁等其他他项权利。</v>
      </c>
      <c r="B2" s="3462"/>
      <c r="C2" s="3462"/>
      <c r="D2" s="3462"/>
    </row>
    <row r="3" spans="1:4" ht="48" customHeight="1">
      <c r="A3" s="34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1"/>
      <c r="C3" s="3461"/>
      <c r="D3" s="3461"/>
    </row>
    <row r="4" spans="1:4" ht="36.75" customHeight="1">
      <c r="A4" s="3461" t="str">
        <f>"3.估价规划限制条件：详见"&amp;项目基本情况!E21&amp;"。"</f>
        <v>3.估价规划限制条件：详见《建设工程规划许可证》[]、《出让合同》[]。</v>
      </c>
      <c r="B4" s="3461"/>
      <c r="C4" s="3461"/>
      <c r="D4" s="3461"/>
    </row>
    <row r="5" spans="1:4">
      <c r="A5" s="3460" t="s">
        <v>1857</v>
      </c>
      <c r="B5" s="3460"/>
      <c r="C5" s="3460"/>
      <c r="D5" s="3460"/>
    </row>
    <row r="6" spans="1:4">
      <c r="A6" s="3461" t="s">
        <v>1835</v>
      </c>
      <c r="B6" s="3461"/>
      <c r="C6" s="3461"/>
      <c r="D6" s="3461"/>
    </row>
    <row r="7" spans="1:4" ht="33" customHeight="1">
      <c r="A7" s="3461" t="s">
        <v>2291</v>
      </c>
      <c r="B7" s="3461"/>
      <c r="C7" s="3461"/>
      <c r="D7" s="3461"/>
    </row>
    <row r="8" spans="1:4" ht="32.25" customHeight="1">
      <c r="A8" s="34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1"/>
      <c r="C8" s="3461"/>
      <c r="D8" s="3461"/>
    </row>
    <row r="9" spans="1:4" ht="33.75" customHeight="1">
      <c r="A9" s="34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1"/>
      <c r="C9" s="3461"/>
      <c r="D9" s="3461"/>
    </row>
    <row r="10" spans="1:4">
      <c r="A10" s="3461" t="str">
        <f>IF(项目基本情况!B8="抵押","4.估价师所知悉的法定优先受偿款情况为：","——")</f>
        <v>4.估价师所知悉的法定优先受偿款情况为：</v>
      </c>
      <c r="B10" s="3461"/>
      <c r="C10" s="3461"/>
      <c r="D10" s="3461"/>
    </row>
    <row r="11" spans="1:4" ht="37.5" customHeight="1">
      <c r="A11" s="34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3"/>
      <c r="C11" s="3463"/>
      <c r="D11" s="3463"/>
    </row>
    <row r="12" spans="1:4" ht="168" customHeight="1">
      <c r="A12" s="3460" t="s">
        <v>1859</v>
      </c>
      <c r="B12" s="3460"/>
      <c r="C12" s="3460"/>
      <c r="D12" s="3460"/>
    </row>
    <row r="13" spans="1:4">
      <c r="A13" s="3464" t="s">
        <v>2462</v>
      </c>
      <c r="B13" s="3464"/>
      <c r="C13" s="3464"/>
      <c r="D13" s="3464"/>
    </row>
    <row r="14" spans="1:4">
      <c r="A14" s="3463" t="str">
        <f>IF(项目基本情况!B8="抵押","综上，"&amp;结果表!K47,"——")</f>
        <v>综上，本次评估不存在估价师知悉的法定优先受偿款</v>
      </c>
      <c r="B14" s="3463"/>
      <c r="C14" s="3463"/>
      <c r="D14" s="3463"/>
    </row>
    <row r="15" spans="1:4" ht="58.5" customHeight="1">
      <c r="A15" s="34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1"/>
      <c r="C15" s="3461"/>
      <c r="D15" s="3461"/>
    </row>
    <row r="16" spans="1:4" ht="70.5" customHeight="1">
      <c r="A16" s="34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1"/>
      <c r="C16" s="3461"/>
      <c r="D16" s="3461"/>
    </row>
    <row r="17" spans="1:4">
      <c r="A17" s="3461" t="s">
        <v>2418</v>
      </c>
      <c r="B17" s="3461"/>
      <c r="C17" s="3461"/>
      <c r="D17" s="3461"/>
    </row>
    <row r="18" spans="1:4">
      <c r="A18" s="3461" t="s">
        <v>2410</v>
      </c>
      <c r="B18" s="3461"/>
      <c r="C18" s="3461"/>
      <c r="D18" s="3461"/>
    </row>
    <row r="19" spans="1:4">
      <c r="A19" s="2508" t="s">
        <v>2411</v>
      </c>
      <c r="B19" s="2508" t="s">
        <v>2412</v>
      </c>
      <c r="C19" s="2508" t="s">
        <v>2413</v>
      </c>
      <c r="D19" s="2508" t="s">
        <v>2414</v>
      </c>
    </row>
    <row r="20" spans="1:4">
      <c r="A20" s="2508" t="str">
        <f>项目基本情况!B4</f>
        <v>土地估价师</v>
      </c>
      <c r="B20" s="2508">
        <f>项目基本情况!C4</f>
        <v>0</v>
      </c>
      <c r="C20" s="2510"/>
      <c r="D20" s="1671" t="s">
        <v>2419</v>
      </c>
    </row>
    <row r="21" spans="1:4">
      <c r="A21" s="2508" t="str">
        <f>项目基本情况!D4</f>
        <v>土地估价师</v>
      </c>
      <c r="B21" s="2508">
        <f>项目基本情况!E4</f>
        <v>0</v>
      </c>
      <c r="C21" s="2510"/>
      <c r="D21" s="1671" t="s">
        <v>2420</v>
      </c>
    </row>
    <row r="23" spans="1:4">
      <c r="A23" s="3461" t="s">
        <v>2415</v>
      </c>
      <c r="B23" s="3461"/>
      <c r="C23" s="3461"/>
      <c r="D23" s="3461"/>
    </row>
    <row r="24" spans="1:4">
      <c r="A24" s="2508" t="s">
        <v>2411</v>
      </c>
      <c r="B24" s="2508" t="s">
        <v>2416</v>
      </c>
      <c r="C24" s="2508" t="s">
        <v>2413</v>
      </c>
      <c r="D24" s="2508" t="s">
        <v>2414</v>
      </c>
    </row>
    <row r="25" spans="1:4">
      <c r="A25" s="2511" t="s">
        <v>2417</v>
      </c>
      <c r="B25" s="2508" t="s">
        <v>931</v>
      </c>
      <c r="C25" s="2510"/>
      <c r="D25" s="1671" t="s">
        <v>2420</v>
      </c>
    </row>
    <row r="29" spans="1:4">
      <c r="D29" s="2509" t="s">
        <v>1830</v>
      </c>
    </row>
    <row r="30" spans="1:4">
      <c r="D30" s="25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2" t="s">
        <v>53</v>
      </c>
      <c r="B15" s="3473" t="s">
        <v>826</v>
      </c>
      <c r="C15" s="3469"/>
    </row>
    <row r="16" spans="1:7" ht="14.25">
      <c r="A16" s="3472"/>
      <c r="B16" s="3470" t="s">
        <v>54</v>
      </c>
      <c r="C16" s="1119" t="s">
        <v>53</v>
      </c>
    </row>
    <row r="17" spans="1:3" ht="14.25">
      <c r="A17" s="3472"/>
      <c r="B17" s="3470"/>
      <c r="C17" s="1119" t="s">
        <v>55</v>
      </c>
    </row>
    <row r="18" spans="1:3" ht="14.25">
      <c r="A18" s="3472"/>
      <c r="B18" s="3470"/>
      <c r="C18" s="1119" t="s">
        <v>56</v>
      </c>
    </row>
    <row r="19" spans="1:3" ht="14.25">
      <c r="A19" s="3472"/>
      <c r="B19" s="3468" t="s">
        <v>57</v>
      </c>
      <c r="C19" s="3469"/>
    </row>
    <row r="20" spans="1:3" ht="14.25">
      <c r="A20" s="1120" t="s">
        <v>58</v>
      </c>
      <c r="B20" s="1121"/>
      <c r="C20" s="1122"/>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23" t="s">
        <v>817</v>
      </c>
    </row>
    <row r="25" spans="1:3" ht="14.25">
      <c r="A25" s="3471"/>
      <c r="B25" s="3475"/>
      <c r="C25" s="1123" t="s">
        <v>818</v>
      </c>
    </row>
    <row r="26" spans="1:3" ht="14.25">
      <c r="A26" s="3471"/>
      <c r="B26" s="3475"/>
      <c r="C26" s="1123" t="s">
        <v>819</v>
      </c>
    </row>
    <row r="27" spans="1:3" ht="14.25">
      <c r="A27" s="3471"/>
      <c r="B27" s="3475"/>
      <c r="C27" s="1123" t="s">
        <v>820</v>
      </c>
    </row>
    <row r="28" spans="1:3" ht="14.25">
      <c r="A28" s="3471"/>
      <c r="B28" s="3475"/>
      <c r="C28" s="1123" t="s">
        <v>821</v>
      </c>
    </row>
    <row r="29" spans="1:3" ht="14.25">
      <c r="A29" s="3471"/>
      <c r="B29" s="3475"/>
      <c r="C29" s="1123" t="s">
        <v>822</v>
      </c>
    </row>
    <row r="30" spans="1:3" ht="14.25">
      <c r="A30" s="3471"/>
      <c r="B30" s="3475"/>
      <c r="C30" s="1123" t="s">
        <v>823</v>
      </c>
    </row>
    <row r="31" spans="1:3" ht="14.25">
      <c r="A31" s="3471"/>
      <c r="B31" s="3475"/>
      <c r="C31" s="1123" t="s">
        <v>824</v>
      </c>
    </row>
    <row r="32" spans="1:3" ht="14.25">
      <c r="A32" s="3471"/>
      <c r="B32" s="3475"/>
      <c r="C32" s="1123" t="s">
        <v>1445</v>
      </c>
    </row>
    <row r="33" spans="1:3" ht="14.25">
      <c r="A33" s="3471"/>
      <c r="B33" s="3465" t="s">
        <v>1451</v>
      </c>
      <c r="C33" s="1123" t="s">
        <v>1446</v>
      </c>
    </row>
    <row r="34" spans="1:3" ht="14.25">
      <c r="A34" s="3471"/>
      <c r="B34" s="3466"/>
      <c r="C34" s="1128" t="s">
        <v>1447</v>
      </c>
    </row>
    <row r="35" spans="1:3" ht="14.25">
      <c r="A35" s="3471"/>
      <c r="B35" s="3466"/>
      <c r="C35" s="1129" t="s">
        <v>1448</v>
      </c>
    </row>
    <row r="36" spans="1:3" ht="14.25">
      <c r="A36" s="3471"/>
      <c r="B36" s="3466"/>
      <c r="C36" s="1129" t="s">
        <v>1449</v>
      </c>
    </row>
    <row r="37" spans="1:3" ht="14.25">
      <c r="A37" s="3471"/>
      <c r="B37" s="3467"/>
      <c r="C37" s="1130" t="s">
        <v>1450</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1702</v>
      </c>
      <c r="B2" s="2936">
        <f ca="1">TODAY()</f>
        <v>45285</v>
      </c>
      <c r="C2" s="2937" t="s">
        <v>1703</v>
      </c>
      <c r="D2" s="2937"/>
      <c r="E2" s="2934"/>
      <c r="F2" s="2934"/>
      <c r="G2" s="2934"/>
    </row>
    <row r="3" spans="1:7" ht="20.25" customHeight="1">
      <c r="A3" s="2958" t="s">
        <v>1704</v>
      </c>
      <c r="B3" s="2939" t="s">
        <v>1705</v>
      </c>
      <c r="C3" s="2940" t="s">
        <v>1706</v>
      </c>
      <c r="D3" s="2959" t="s">
        <v>1707</v>
      </c>
      <c r="E3" s="2939" t="s">
        <v>1708</v>
      </c>
      <c r="F3" s="2939" t="s">
        <v>1706</v>
      </c>
      <c r="G3" s="2934"/>
    </row>
    <row r="4" spans="1:7" ht="20.25" customHeight="1">
      <c r="A4" s="2939" t="s">
        <v>1709</v>
      </c>
      <c r="B4" s="2939" t="str">
        <f ca="1">IF(C4&lt;B2,"已过期",1119970066)</f>
        <v>已过期</v>
      </c>
      <c r="C4" s="2942">
        <v>44876</v>
      </c>
      <c r="D4" s="2950" t="s">
        <v>1709</v>
      </c>
      <c r="E4" s="2939">
        <f ca="1">IF(F4&lt;B2,"已过期",96010014)</f>
        <v>96010014</v>
      </c>
      <c r="F4" s="2941">
        <v>47118</v>
      </c>
      <c r="G4" s="2934"/>
    </row>
    <row r="5" spans="1:7" ht="20.25" customHeight="1">
      <c r="A5" s="2939" t="s">
        <v>1710</v>
      </c>
      <c r="B5" s="2939" t="str">
        <f ca="1">IF(C5&lt;B2,"已过期",1119970111)</f>
        <v>已过期</v>
      </c>
      <c r="C5" s="2942">
        <v>44876</v>
      </c>
      <c r="D5" s="2950" t="s">
        <v>1710</v>
      </c>
      <c r="E5" s="2939">
        <f ca="1">IF(F5&lt;B2,"已过期",94010078)</f>
        <v>94010078</v>
      </c>
      <c r="F5" s="2941">
        <v>46387</v>
      </c>
      <c r="G5" s="2934"/>
    </row>
    <row r="6" spans="1:7" ht="20.25" customHeight="1">
      <c r="A6" s="2939" t="s">
        <v>1711</v>
      </c>
      <c r="B6" s="2939">
        <f ca="1">IF(C6&lt;B2,"已过期",1120050019)</f>
        <v>1120050019</v>
      </c>
      <c r="C6" s="2942">
        <v>45410</v>
      </c>
      <c r="D6" s="2950" t="s">
        <v>1711</v>
      </c>
      <c r="E6" s="2939">
        <f ca="1">IF(F6&lt;B2,"已过期",2002110030)</f>
        <v>2002110030</v>
      </c>
      <c r="F6" s="2941">
        <v>46387</v>
      </c>
      <c r="G6" s="2934"/>
    </row>
    <row r="7" spans="1:7" ht="20.25" customHeight="1">
      <c r="A7" s="2939" t="s">
        <v>1712</v>
      </c>
      <c r="B7" s="2939" t="str">
        <f ca="1">IF(C7&lt;B2,"已过期",1120000080)</f>
        <v>已过期</v>
      </c>
      <c r="C7" s="2942">
        <v>44876</v>
      </c>
      <c r="D7" s="2950" t="s">
        <v>1712</v>
      </c>
      <c r="E7" s="2939">
        <f ca="1">IF(F7&lt;B2,"已过期",2000110082)</f>
        <v>2000110082</v>
      </c>
      <c r="F7" s="2941">
        <v>46387</v>
      </c>
      <c r="G7" s="2934"/>
    </row>
    <row r="8" spans="1:7" ht="20.25" customHeight="1">
      <c r="A8" s="2939" t="s">
        <v>1713</v>
      </c>
      <c r="B8" s="2939" t="str">
        <f ca="1">IF(C8&lt;B2,"已过期",1419970001)</f>
        <v>已过期</v>
      </c>
      <c r="C8" s="2942">
        <v>44899</v>
      </c>
      <c r="D8" s="2950" t="s">
        <v>1713</v>
      </c>
      <c r="E8" s="2939">
        <f ca="1">IF(F8&lt;B2,"已过期",2002110125)</f>
        <v>2002110125</v>
      </c>
      <c r="F8" s="2941">
        <v>47118</v>
      </c>
      <c r="G8" s="2934"/>
    </row>
    <row r="9" spans="1:7" ht="20.25" customHeight="1">
      <c r="A9" s="2939" t="s">
        <v>1714</v>
      </c>
      <c r="B9" s="2939">
        <f ca="1">IF(C9&lt;B2,"已过期",1120060040)</f>
        <v>1120060040</v>
      </c>
      <c r="C9" s="2942">
        <v>45592</v>
      </c>
      <c r="D9" s="2950" t="s">
        <v>1714</v>
      </c>
      <c r="E9" s="2939">
        <f ca="1">IF(F9&lt;B2,"已过期",2004110096)</f>
        <v>2004110096</v>
      </c>
      <c r="F9" s="2941">
        <v>47118</v>
      </c>
      <c r="G9" s="2934"/>
    </row>
    <row r="10" spans="1:7" ht="20.25" customHeight="1">
      <c r="A10" s="2939" t="s">
        <v>1715</v>
      </c>
      <c r="B10" s="2939" t="str">
        <f ca="1">IF(C10&lt;B2,"已过期",1120100036)</f>
        <v>已过期</v>
      </c>
      <c r="C10" s="2942">
        <v>44675</v>
      </c>
      <c r="D10" s="2950" t="s">
        <v>1715</v>
      </c>
      <c r="E10" s="2939">
        <f ca="1">IF(F10&lt;B2,"已过期",2010110070)</f>
        <v>2010110070</v>
      </c>
      <c r="F10" s="2941">
        <v>47907</v>
      </c>
      <c r="G10" s="2934"/>
    </row>
    <row r="11" spans="1:7" ht="20.25" customHeight="1">
      <c r="A11" s="2939" t="s">
        <v>1716</v>
      </c>
      <c r="B11" s="2939" t="str">
        <f ca="1">IF(C11&lt;B2,"已过期",1120070131)</f>
        <v>已过期</v>
      </c>
      <c r="C11" s="2942">
        <v>44849</v>
      </c>
      <c r="D11" s="2950" t="s">
        <v>1716</v>
      </c>
      <c r="E11" s="2939">
        <f ca="1">IF(F11&lt;B2,"已过期",2014110011)</f>
        <v>2014110011</v>
      </c>
      <c r="F11" s="2941">
        <v>49302</v>
      </c>
      <c r="G11" s="2934"/>
    </row>
    <row r="12" spans="1:7" ht="20.25" customHeight="1">
      <c r="A12" s="2939" t="s">
        <v>2677</v>
      </c>
      <c r="B12" s="2939" t="str">
        <f ca="1">IF(C12&lt;B2,"已过期",1120040230)</f>
        <v>已过期</v>
      </c>
      <c r="C12" s="2942">
        <v>44864</v>
      </c>
      <c r="D12" s="2950" t="s">
        <v>2678</v>
      </c>
      <c r="E12" s="2939">
        <f ca="1">IF(F12&lt;B2,"已过期",98030020)</f>
        <v>98030020</v>
      </c>
      <c r="F12" s="2941">
        <v>47118</v>
      </c>
      <c r="G12" s="2934"/>
    </row>
    <row r="13" spans="1:7" ht="20.25" customHeight="1">
      <c r="A13" s="2939"/>
      <c r="B13" s="2939"/>
      <c r="C13" s="2942"/>
      <c r="D13" s="2950" t="s">
        <v>1717</v>
      </c>
      <c r="E13" s="2939">
        <f ca="1">IF(F13&lt;B2,"已过期",2011110090)</f>
        <v>2011110090</v>
      </c>
      <c r="F13" s="2941">
        <v>48302</v>
      </c>
      <c r="G13" s="2934"/>
    </row>
    <row r="14" spans="1:7" ht="20.25" customHeight="1">
      <c r="A14" s="2939" t="s">
        <v>1718</v>
      </c>
      <c r="B14" s="2939" t="str">
        <f ca="1">IF(C14&lt;B2,"已过期",1120020033)</f>
        <v>已过期</v>
      </c>
      <c r="C14" s="2942">
        <v>44339</v>
      </c>
      <c r="D14" s="2950" t="s">
        <v>1718</v>
      </c>
      <c r="E14" s="2939">
        <f ca="1">IF(F14&lt;B2,"已过期",2000110137)</f>
        <v>2000110137</v>
      </c>
      <c r="F14" s="2941">
        <v>46387</v>
      </c>
      <c r="G14" s="2934"/>
    </row>
    <row r="15" spans="1:7" ht="20.25" customHeight="1">
      <c r="A15" s="2939" t="s">
        <v>2690</v>
      </c>
      <c r="B15" s="2939" t="str">
        <f ca="1">IF(C15&lt;B2,"已过期",1119980106)</f>
        <v>已过期</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1844</v>
      </c>
      <c r="B17" s="2938" t="s">
        <v>1844</v>
      </c>
      <c r="C17" s="2942"/>
      <c r="D17" s="2951" t="s">
        <v>1844</v>
      </c>
      <c r="E17" s="2939" t="s">
        <v>1844</v>
      </c>
      <c r="F17" s="2941"/>
      <c r="G17" s="2943"/>
    </row>
    <row r="18" spans="1:7" ht="20.25" customHeight="1">
      <c r="A18" s="3479" t="s">
        <v>1719</v>
      </c>
      <c r="B18" s="3480"/>
      <c r="C18" s="3480"/>
      <c r="D18" s="3480"/>
      <c r="E18" s="3480"/>
      <c r="F18" s="3480"/>
      <c r="G18" s="2943"/>
    </row>
    <row r="19" spans="1:7" ht="20.25" customHeight="1">
      <c r="A19" s="3476" t="s">
        <v>1720</v>
      </c>
      <c r="B19" s="3476"/>
      <c r="C19" s="3477"/>
      <c r="D19" s="3478" t="s">
        <v>1721</v>
      </c>
      <c r="E19" s="3476"/>
      <c r="F19" s="3476"/>
      <c r="G19" s="2943"/>
    </row>
    <row r="20" spans="1:7" s="2748" customFormat="1" ht="20.25" customHeight="1">
      <c r="A20" s="2944" t="s">
        <v>1722</v>
      </c>
      <c r="B20" s="2945" t="s">
        <v>1723</v>
      </c>
      <c r="C20" s="2952" t="s">
        <v>1724</v>
      </c>
      <c r="D20" s="2950" t="s">
        <v>1722</v>
      </c>
      <c r="E20" s="2945" t="s">
        <v>1723</v>
      </c>
      <c r="F20" s="2945" t="s">
        <v>1724</v>
      </c>
      <c r="G20" s="2935"/>
    </row>
    <row r="21" spans="1:7" s="2748" customFormat="1" ht="20.25" customHeight="1">
      <c r="A21" s="2946" t="s">
        <v>1725</v>
      </c>
      <c r="B21" s="2946" t="s">
        <v>1726</v>
      </c>
      <c r="C21" s="2953">
        <v>44820</v>
      </c>
      <c r="D21" s="2955" t="s">
        <v>1727</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2262</v>
      </c>
      <c r="R1" s="2355" t="s">
        <v>2256</v>
      </c>
      <c r="S1" s="6" t="s">
        <v>146</v>
      </c>
      <c r="T1" s="7" t="s">
        <v>147</v>
      </c>
      <c r="U1" s="6" t="s">
        <v>148</v>
      </c>
      <c r="V1" s="6" t="s">
        <v>149</v>
      </c>
      <c r="W1" s="975" t="s">
        <v>853</v>
      </c>
    </row>
    <row r="2" spans="1:23">
      <c r="A2" s="8" t="s">
        <v>73</v>
      </c>
      <c r="B2" s="8" t="s">
        <v>150</v>
      </c>
      <c r="C2" s="1446" t="s">
        <v>1508</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2257</v>
      </c>
      <c r="S2" s="9" t="s">
        <v>75</v>
      </c>
      <c r="T2" s="9" t="s">
        <v>76</v>
      </c>
      <c r="U2" s="9" t="s">
        <v>75</v>
      </c>
      <c r="V2" s="9" t="s">
        <v>77</v>
      </c>
      <c r="W2" s="9" t="s">
        <v>854</v>
      </c>
    </row>
    <row r="3" spans="1:23">
      <c r="A3" s="8" t="s">
        <v>78</v>
      </c>
      <c r="B3" s="10" t="s">
        <v>151</v>
      </c>
      <c r="C3" s="1447" t="s">
        <v>1509</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2258</v>
      </c>
      <c r="S3" s="9" t="s">
        <v>84</v>
      </c>
      <c r="T3" s="9" t="s">
        <v>85</v>
      </c>
      <c r="U3" s="9" t="s">
        <v>84</v>
      </c>
      <c r="V3" s="9" t="s">
        <v>86</v>
      </c>
      <c r="W3" s="9" t="s">
        <v>855</v>
      </c>
    </row>
    <row r="4" spans="1:23">
      <c r="A4" s="8" t="s">
        <v>87</v>
      </c>
      <c r="B4" s="8" t="s">
        <v>152</v>
      </c>
      <c r="C4" s="1446" t="s">
        <v>1510</v>
      </c>
      <c r="D4" s="9" t="s">
        <v>1785</v>
      </c>
      <c r="E4" s="9" t="s">
        <v>88</v>
      </c>
      <c r="F4" s="9" t="s">
        <v>89</v>
      </c>
      <c r="G4" s="9">
        <v>70</v>
      </c>
      <c r="H4" s="9" t="s">
        <v>90</v>
      </c>
      <c r="I4" s="9" t="s">
        <v>91</v>
      </c>
      <c r="K4" s="9" t="s">
        <v>92</v>
      </c>
      <c r="L4" s="9" t="s">
        <v>92</v>
      </c>
      <c r="M4" s="9" t="s">
        <v>92</v>
      </c>
      <c r="N4" s="9" t="s">
        <v>92</v>
      </c>
      <c r="O4" s="9" t="s">
        <v>92</v>
      </c>
      <c r="P4" s="976" t="s">
        <v>742</v>
      </c>
      <c r="Q4" s="9" t="s">
        <v>92</v>
      </c>
      <c r="R4" s="976" t="s">
        <v>2259</v>
      </c>
      <c r="S4" s="9" t="s">
        <v>92</v>
      </c>
      <c r="T4" s="9" t="s">
        <v>93</v>
      </c>
      <c r="U4" s="9" t="s">
        <v>92</v>
      </c>
      <c r="W4" s="9" t="s">
        <v>856</v>
      </c>
    </row>
    <row r="5" spans="1:23">
      <c r="A5" s="8" t="s">
        <v>94</v>
      </c>
      <c r="B5" s="8" t="s">
        <v>153</v>
      </c>
      <c r="C5" s="1446" t="s">
        <v>1511</v>
      </c>
      <c r="F5" s="9" t="s">
        <v>95</v>
      </c>
      <c r="H5" s="9" t="s">
        <v>70</v>
      </c>
      <c r="I5" s="9" t="s">
        <v>96</v>
      </c>
      <c r="K5" s="9" t="s">
        <v>97</v>
      </c>
      <c r="L5" s="9" t="s">
        <v>97</v>
      </c>
      <c r="M5" s="9" t="s">
        <v>97</v>
      </c>
      <c r="N5" s="9" t="s">
        <v>97</v>
      </c>
      <c r="O5" s="9" t="s">
        <v>97</v>
      </c>
      <c r="P5" s="976" t="s">
        <v>529</v>
      </c>
      <c r="Q5" s="9" t="s">
        <v>97</v>
      </c>
      <c r="R5" s="976" t="s">
        <v>2260</v>
      </c>
      <c r="S5" s="9" t="s">
        <v>97</v>
      </c>
      <c r="T5" s="9" t="s">
        <v>98</v>
      </c>
      <c r="U5" s="9" t="s">
        <v>97</v>
      </c>
      <c r="W5" s="9" t="s">
        <v>857</v>
      </c>
    </row>
    <row r="6" spans="1:23">
      <c r="A6" s="8" t="s">
        <v>99</v>
      </c>
      <c r="B6" s="1096" t="s">
        <v>1440</v>
      </c>
      <c r="C6" s="1448" t="s">
        <v>1512</v>
      </c>
      <c r="F6" s="9" t="s">
        <v>71</v>
      </c>
      <c r="H6" s="9" t="s">
        <v>72</v>
      </c>
      <c r="I6" s="9" t="s">
        <v>100</v>
      </c>
      <c r="K6" s="9" t="s">
        <v>101</v>
      </c>
      <c r="L6" s="9" t="s">
        <v>101</v>
      </c>
      <c r="M6" s="9" t="s">
        <v>101</v>
      </c>
      <c r="N6" s="9" t="s">
        <v>101</v>
      </c>
      <c r="O6" s="9" t="s">
        <v>101</v>
      </c>
      <c r="P6" s="976" t="s">
        <v>860</v>
      </c>
      <c r="Q6" s="9" t="s">
        <v>101</v>
      </c>
      <c r="R6" s="976" t="s">
        <v>2261</v>
      </c>
      <c r="S6" s="9" t="s">
        <v>101</v>
      </c>
      <c r="T6" s="9"/>
      <c r="U6" s="9" t="s">
        <v>101</v>
      </c>
      <c r="W6" s="9" t="s">
        <v>858</v>
      </c>
    </row>
    <row r="7" spans="1:23">
      <c r="A7" s="8" t="s">
        <v>102</v>
      </c>
      <c r="B7" s="8" t="s">
        <v>103</v>
      </c>
      <c r="C7" s="1446" t="s">
        <v>1513</v>
      </c>
      <c r="F7" s="9" t="s">
        <v>154</v>
      </c>
      <c r="H7" s="9" t="s">
        <v>104</v>
      </c>
      <c r="I7" s="9" t="s">
        <v>105</v>
      </c>
    </row>
    <row r="8" spans="1:23">
      <c r="A8" s="8" t="s">
        <v>106</v>
      </c>
      <c r="B8" s="8" t="s">
        <v>107</v>
      </c>
      <c r="C8" s="1446" t="s">
        <v>1514</v>
      </c>
      <c r="F8" s="9" t="s">
        <v>155</v>
      </c>
      <c r="H8" s="9"/>
      <c r="I8" s="9" t="s">
        <v>108</v>
      </c>
    </row>
    <row r="9" spans="1:23">
      <c r="A9" s="8" t="s">
        <v>109</v>
      </c>
      <c r="B9" s="8" t="s">
        <v>156</v>
      </c>
      <c r="C9" s="1446" t="s">
        <v>1515</v>
      </c>
      <c r="F9" s="9" t="s">
        <v>110</v>
      </c>
      <c r="H9" s="9"/>
    </row>
    <row r="10" spans="1:23">
      <c r="A10" s="8" t="s">
        <v>111</v>
      </c>
      <c r="B10" s="8" t="s">
        <v>157</v>
      </c>
      <c r="C10" s="1446" t="s">
        <v>1516</v>
      </c>
      <c r="F10" s="9" t="s">
        <v>6</v>
      </c>
    </row>
    <row r="11" spans="1:23">
      <c r="A11" s="8" t="s">
        <v>112</v>
      </c>
      <c r="B11" s="8" t="s">
        <v>158</v>
      </c>
      <c r="C11" s="1446" t="s">
        <v>1517</v>
      </c>
    </row>
    <row r="12" spans="1:23">
      <c r="A12" s="8" t="s">
        <v>113</v>
      </c>
      <c r="B12" s="8" t="s">
        <v>159</v>
      </c>
      <c r="C12" s="1446" t="s">
        <v>1518</v>
      </c>
    </row>
    <row r="13" spans="1:23">
      <c r="A13" s="8" t="s">
        <v>114</v>
      </c>
      <c r="B13" s="8" t="s">
        <v>160</v>
      </c>
      <c r="C13" s="1446" t="s">
        <v>1519</v>
      </c>
    </row>
    <row r="14" spans="1:23">
      <c r="A14" s="8" t="s">
        <v>115</v>
      </c>
      <c r="B14" s="8" t="s">
        <v>161</v>
      </c>
      <c r="C14" s="1449" t="s">
        <v>1691</v>
      </c>
    </row>
    <row r="15" spans="1:23">
      <c r="A15" s="8" t="s">
        <v>116</v>
      </c>
      <c r="B15" s="8" t="s">
        <v>1480</v>
      </c>
      <c r="C15" s="1449"/>
    </row>
    <row r="16" spans="1:23">
      <c r="A16" s="8" t="s">
        <v>117</v>
      </c>
      <c r="B16" s="8" t="s">
        <v>1481</v>
      </c>
      <c r="C16" s="1449"/>
    </row>
    <row r="17" spans="1:3">
      <c r="A17" s="8" t="s">
        <v>118</v>
      </c>
      <c r="B17" s="8" t="s">
        <v>1482</v>
      </c>
      <c r="C17" s="1449"/>
    </row>
    <row r="18" spans="1:3">
      <c r="A18" s="8" t="s">
        <v>119</v>
      </c>
      <c r="B18" s="2711" t="s">
        <v>2654</v>
      </c>
      <c r="C18" s="1449"/>
    </row>
    <row r="19" spans="1:3">
      <c r="A19" s="8" t="s">
        <v>120</v>
      </c>
      <c r="B19" s="2711" t="s">
        <v>2661</v>
      </c>
      <c r="C19" s="1449"/>
    </row>
    <row r="20" spans="1:3">
      <c r="A20" s="8" t="s">
        <v>121</v>
      </c>
      <c r="B20" s="2711" t="s">
        <v>2703</v>
      </c>
      <c r="C20" s="1449"/>
    </row>
    <row r="21" spans="1:3">
      <c r="A21" s="8" t="s">
        <v>122</v>
      </c>
      <c r="B21" s="8" t="s">
        <v>2884</v>
      </c>
      <c r="C21" s="1449"/>
    </row>
    <row r="22" spans="1:3">
      <c r="A22" s="8" t="s">
        <v>123</v>
      </c>
      <c r="B22" s="8" t="s">
        <v>1441</v>
      </c>
      <c r="C22" s="1449"/>
    </row>
    <row r="23" spans="1:3">
      <c r="A23" s="8" t="s">
        <v>124</v>
      </c>
      <c r="B23" s="8" t="s">
        <v>1441</v>
      </c>
      <c r="C23" s="1449"/>
    </row>
    <row r="24" spans="1:3">
      <c r="A24" s="8" t="s">
        <v>12</v>
      </c>
      <c r="B24" s="8" t="s">
        <v>1441</v>
      </c>
      <c r="C24" s="1449"/>
    </row>
    <row r="25" spans="1:3">
      <c r="A25" s="8" t="s">
        <v>125</v>
      </c>
      <c r="B25" s="8" t="s">
        <v>1441</v>
      </c>
      <c r="C25" s="1449"/>
    </row>
    <row r="26" spans="1:3">
      <c r="A26" s="8" t="s">
        <v>126</v>
      </c>
      <c r="B26" s="8" t="s">
        <v>1441</v>
      </c>
      <c r="C26" s="1449"/>
    </row>
    <row r="27" spans="1:3">
      <c r="A27" s="8" t="s">
        <v>1441</v>
      </c>
      <c r="B27" s="8" t="s">
        <v>1441</v>
      </c>
      <c r="C27" s="1449"/>
    </row>
    <row r="28" spans="1:3">
      <c r="A28" s="8" t="s">
        <v>1441</v>
      </c>
      <c r="B28" s="8" t="s">
        <v>1441</v>
      </c>
      <c r="C28" s="1449"/>
    </row>
    <row r="29" spans="1:3">
      <c r="A29" s="8" t="s">
        <v>1441</v>
      </c>
      <c r="B29" s="8" t="s">
        <v>1441</v>
      </c>
      <c r="C29" s="1449"/>
    </row>
    <row r="30" spans="1:3">
      <c r="A30" s="8" t="s">
        <v>1441</v>
      </c>
      <c r="B30" s="8" t="s">
        <v>1441</v>
      </c>
      <c r="C30" s="1449"/>
    </row>
    <row r="31" spans="1:3">
      <c r="A31" s="8" t="s">
        <v>1441</v>
      </c>
      <c r="B31" s="8" t="s">
        <v>1441</v>
      </c>
      <c r="C31" s="1449"/>
    </row>
    <row r="32" spans="1:3">
      <c r="A32" s="8" t="s">
        <v>1441</v>
      </c>
      <c r="B32" s="8" t="s">
        <v>1441</v>
      </c>
      <c r="C32" s="1449"/>
    </row>
    <row r="33" spans="1:3">
      <c r="A33" s="8" t="s">
        <v>1441</v>
      </c>
      <c r="B33" s="8" t="s">
        <v>1441</v>
      </c>
      <c r="C33" s="1449"/>
    </row>
    <row r="34" spans="1:3">
      <c r="A34" s="8" t="s">
        <v>1441</v>
      </c>
      <c r="B34" s="8" t="s">
        <v>1441</v>
      </c>
      <c r="C34" s="1449"/>
    </row>
    <row r="35" spans="1:3">
      <c r="A35" s="8" t="s">
        <v>1441</v>
      </c>
      <c r="B35" s="8" t="s">
        <v>1441</v>
      </c>
      <c r="C35" s="1449"/>
    </row>
    <row r="36" spans="1:3">
      <c r="A36" s="8" t="s">
        <v>1441</v>
      </c>
      <c r="B36" s="8" t="s">
        <v>1441</v>
      </c>
      <c r="C36" s="1449"/>
    </row>
    <row r="37" spans="1:3">
      <c r="A37" s="8" t="s">
        <v>1441</v>
      </c>
      <c r="B37" s="8" t="s">
        <v>1441</v>
      </c>
      <c r="C37" s="1449"/>
    </row>
    <row r="38" spans="1:3">
      <c r="A38" s="8" t="s">
        <v>1441</v>
      </c>
      <c r="B38" s="8" t="s">
        <v>1441</v>
      </c>
      <c r="C38" s="1449"/>
    </row>
    <row r="39" spans="1:3">
      <c r="A39" s="8" t="s">
        <v>1441</v>
      </c>
      <c r="B39" s="8" t="s">
        <v>1441</v>
      </c>
      <c r="C39" s="1449"/>
    </row>
    <row r="40" spans="1:3">
      <c r="A40" s="8" t="s">
        <v>1441</v>
      </c>
      <c r="B40" s="8" t="s">
        <v>1441</v>
      </c>
      <c r="C40" s="1449"/>
    </row>
    <row r="41" spans="1:3">
      <c r="A41" s="8" t="s">
        <v>1441</v>
      </c>
      <c r="B41" s="8" t="s">
        <v>1441</v>
      </c>
      <c r="C41" s="1449"/>
    </row>
    <row r="42" spans="1:3">
      <c r="A42" s="8" t="s">
        <v>1441</v>
      </c>
      <c r="B42" s="8" t="s">
        <v>1441</v>
      </c>
      <c r="C42" s="1449"/>
    </row>
    <row r="43" spans="1:3">
      <c r="A43" s="8" t="s">
        <v>1441</v>
      </c>
      <c r="B43" s="8" t="s">
        <v>1441</v>
      </c>
      <c r="C43" s="1449"/>
    </row>
    <row r="44" spans="1:3">
      <c r="A44" s="8" t="s">
        <v>1441</v>
      </c>
      <c r="B44" s="8" t="s">
        <v>1441</v>
      </c>
      <c r="C44" s="1449"/>
    </row>
    <row r="45" spans="1:3">
      <c r="A45" s="8" t="s">
        <v>1441</v>
      </c>
      <c r="B45" s="8" t="s">
        <v>1441</v>
      </c>
      <c r="C45" s="1449"/>
    </row>
    <row r="46" spans="1:3">
      <c r="A46" s="8" t="s">
        <v>1441</v>
      </c>
      <c r="B46" s="8" t="s">
        <v>1441</v>
      </c>
      <c r="C46" s="1449"/>
    </row>
    <row r="47" spans="1:3">
      <c r="A47" s="8" t="s">
        <v>1441</v>
      </c>
      <c r="B47" s="8" t="s">
        <v>1441</v>
      </c>
      <c r="C47" s="1449"/>
    </row>
    <row r="48" spans="1:3">
      <c r="A48" s="8" t="s">
        <v>1441</v>
      </c>
      <c r="B48" s="8" t="s">
        <v>1441</v>
      </c>
      <c r="C48" s="1449"/>
    </row>
    <row r="49" spans="1:5">
      <c r="A49" s="8" t="s">
        <v>1441</v>
      </c>
      <c r="B49" s="8" t="s">
        <v>1441</v>
      </c>
      <c r="C49" s="1449"/>
    </row>
    <row r="50" spans="1:5">
      <c r="A50" s="8" t="s">
        <v>1441</v>
      </c>
      <c r="B50" s="8" t="s">
        <v>1441</v>
      </c>
      <c r="C50" s="1449"/>
    </row>
    <row r="51" spans="1:5">
      <c r="A51" s="1639" t="s">
        <v>1733</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41"/>
    </row>
    <row r="52" spans="1:5">
      <c r="A52" s="1639" t="s">
        <v>1777</v>
      </c>
      <c r="B52" s="1642" t="s">
        <v>1778</v>
      </c>
      <c r="C52" s="1640" t="s">
        <v>1779</v>
      </c>
      <c r="D52" s="1640" t="s">
        <v>1780</v>
      </c>
      <c r="E52" s="1641"/>
    </row>
    <row r="53" spans="1:5">
      <c r="A53" s="3481" t="s">
        <v>1781</v>
      </c>
      <c r="B53" s="1640" t="s">
        <v>1787</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c r="D53" s="1641"/>
      <c r="E53" s="1641"/>
    </row>
    <row r="54" spans="1:5">
      <c r="A54" s="3481"/>
      <c r="B54" s="1640" t="s">
        <v>1788</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41"/>
      <c r="E54" s="1641"/>
    </row>
    <row r="55" spans="1:5">
      <c r="A55" s="3481"/>
      <c r="B55" s="1640" t="s">
        <v>1782</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41"/>
      <c r="E55" s="1641"/>
    </row>
    <row r="56" spans="1:5">
      <c r="A56" s="3481"/>
      <c r="B56" s="1640" t="s">
        <v>1783</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41"/>
      <c r="E56" s="1641"/>
    </row>
    <row r="57" spans="1:5">
      <c r="A57" s="3481"/>
      <c r="B57" s="1640" t="s">
        <v>1784</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1840</v>
      </c>
      <c r="B58" s="1640" t="s">
        <v>1841</v>
      </c>
      <c r="C58" s="11" t="s">
        <v>1842</v>
      </c>
      <c r="D58" s="1237"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2023-12-25T09:22:35Z</dcterms:modified>
</cp:coreProperties>
</file>