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U24" i="31"/>
  <c r="B14" i="74" l="1"/>
  <c r="I13" i="3"/>
  <c r="E23" i="80"/>
  <c r="B22" i="80" l="1"/>
  <c r="B14" i="80"/>
  <c r="B5" i="80"/>
  <c r="E22" i="80" l="1"/>
  <c r="B21" i="80"/>
  <c r="D21" i="80" s="1"/>
  <c r="F21" i="80" s="1"/>
  <c r="B20" i="80"/>
  <c r="A19" i="80"/>
  <c r="B19" i="80"/>
  <c r="A20" i="80"/>
  <c r="E14" i="80"/>
  <c r="B13" i="80"/>
  <c r="B12" i="80"/>
  <c r="A13" i="80"/>
  <c r="A12" i="80"/>
  <c r="E5" i="80" l="1"/>
  <c r="B4" i="80"/>
  <c r="B3" i="80"/>
  <c r="A4" i="80"/>
  <c r="A3" i="80"/>
  <c r="E104" i="33"/>
  <c r="F104" i="33" s="1"/>
  <c r="D104" i="33"/>
  <c r="Y6" i="1"/>
  <c r="N6" i="1"/>
  <c r="F19" i="6"/>
  <c r="C33" i="3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E13" i="76"/>
  <c r="F13" i="15"/>
  <c r="F9" i="15"/>
  <c r="J15" i="67"/>
  <c r="F7" i="73"/>
  <c r="D3" i="73"/>
  <c r="D35" i="9"/>
  <c r="F13" i="67"/>
  <c r="B7" i="76"/>
  <c r="F8" i="15"/>
  <c r="F37" i="15"/>
  <c r="F16" i="15"/>
  <c r="D7" i="73"/>
  <c r="C76" i="67"/>
  <c r="M29" i="15"/>
  <c r="E10" i="76"/>
  <c r="E7" i="76"/>
  <c r="C76" i="15"/>
  <c r="E2" i="68"/>
  <c r="D6" i="73"/>
  <c r="M22" i="67"/>
  <c r="M8" i="67"/>
  <c r="D4" i="73"/>
  <c r="F26" i="67"/>
  <c r="F8" i="67"/>
  <c r="F7" i="67"/>
  <c r="E12" i="76"/>
  <c r="D5" i="73"/>
  <c r="M24" i="15"/>
  <c r="F36" i="15"/>
  <c r="M22" i="15"/>
  <c r="M26" i="15"/>
  <c r="F26" i="15"/>
  <c r="F36" i="67"/>
  <c r="M6" i="67"/>
  <c r="M23" i="15"/>
  <c r="M29" i="67"/>
  <c r="M24" i="67"/>
  <c r="F42" i="15"/>
  <c r="M23" i="67"/>
  <c r="M28" i="67"/>
  <c r="B9" i="76"/>
  <c r="D34" i="9"/>
  <c r="L48" i="67"/>
  <c r="J15" i="15"/>
  <c r="B12" i="76"/>
  <c r="B13" i="76"/>
  <c r="L48" i="15"/>
  <c r="F20" i="31"/>
  <c r="F6" i="67"/>
  <c r="E8" i="76"/>
  <c r="F40" i="15"/>
  <c r="F4" i="73"/>
  <c r="F9" i="67"/>
  <c r="E11" i="76"/>
  <c r="F6" i="15"/>
  <c r="F37" i="67"/>
  <c r="F5" i="73"/>
  <c r="F40" i="67"/>
  <c r="M8" i="15"/>
  <c r="F7" i="15"/>
  <c r="M6" i="15"/>
  <c r="F38" i="15"/>
  <c r="M9" i="67"/>
  <c r="M28" i="15"/>
  <c r="E9" i="76"/>
  <c r="M9" i="15"/>
  <c r="AO13" i="1"/>
  <c r="F6" i="73"/>
  <c r="M26" i="67"/>
  <c r="B11" i="76"/>
  <c r="L47" i="15"/>
  <c r="B8" i="76"/>
  <c r="F38" i="67"/>
  <c r="E2" i="69"/>
  <c r="F42" i="67"/>
  <c r="F43" i="67"/>
  <c r="F3" i="73"/>
  <c r="F16" i="67"/>
  <c r="B10" i="76"/>
  <c r="F43" i="15"/>
  <c r="D19" i="53" l="1"/>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9"/>
  <c r="D2" i="37"/>
  <c r="D2" i="35"/>
  <c r="D2" i="36"/>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C20" i="9"/>
  <c r="AO8" i="1"/>
  <c r="AO10" i="1"/>
  <c r="AO12" i="1"/>
  <c r="AO11" i="1"/>
  <c r="AO9" i="1"/>
  <c r="AO7" i="1"/>
  <c r="D19" i="9"/>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D19" i="80" s="1"/>
  <c r="C42" i="40"/>
  <c r="C43" i="40"/>
  <c r="E47" i="40"/>
  <c r="F47" i="40" s="1"/>
  <c r="E46" i="40"/>
  <c r="F46" i="40" s="1"/>
  <c r="I47" i="40"/>
  <c r="J47" i="40" s="1"/>
  <c r="F19" i="80" l="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8" i="31" l="1"/>
  <c r="C20" i="80"/>
  <c r="D20" i="80" s="1"/>
  <c r="S27" i="31"/>
  <c r="C13" i="80"/>
  <c r="D13" i="80" s="1"/>
  <c r="F13" i="80" s="1"/>
  <c r="S26" i="31"/>
  <c r="C12" i="80"/>
  <c r="D12" i="80" s="1"/>
  <c r="S29" i="31"/>
  <c r="C4" i="80"/>
  <c r="D4" i="80" s="1"/>
  <c r="F4" i="80" s="1"/>
  <c r="S25" i="31"/>
  <c r="C3" i="80"/>
  <c r="D3" i="80" s="1"/>
  <c r="F3" i="80" s="1"/>
  <c r="T24" i="31" l="1"/>
  <c r="V24" i="31" s="1"/>
  <c r="F20" i="80"/>
  <c r="D22" i="80"/>
  <c r="F22" i="80" s="1"/>
  <c r="F12" i="80"/>
  <c r="D14" i="80"/>
  <c r="F14" i="80" s="1"/>
  <c r="D5" i="80"/>
  <c r="S22" i="31"/>
  <c r="R22" i="31" s="1"/>
  <c r="B6" i="74"/>
  <c r="D6" i="74" s="1"/>
  <c r="D14" i="74" l="1"/>
  <c r="B5" i="74" s="1"/>
  <c r="C5" i="80"/>
  <c r="E14" i="74"/>
  <c r="F14" i="74"/>
  <c r="F5" i="80"/>
  <c r="D23" i="80"/>
  <c r="F23" i="80" s="1"/>
  <c r="B20" i="31"/>
  <c r="B21" i="31" s="1"/>
  <c r="D5" i="74" l="1"/>
  <c r="D52" i="9"/>
  <c r="D53" i="9"/>
  <c r="B20" i="72"/>
  <c r="B31" i="72"/>
  <c r="C105" i="9"/>
  <c r="I4" i="52"/>
  <c r="C81" i="9"/>
  <c r="D54" i="9"/>
  <c r="B48" i="72"/>
  <c r="E81" i="9"/>
  <c r="C5" i="74"/>
  <c r="C68" i="9"/>
  <c r="D9" i="52"/>
  <c r="B52" i="72"/>
  <c r="C78" i="9"/>
  <c r="C73" i="9"/>
  <c r="B32" i="72"/>
  <c r="H4" i="52"/>
  <c r="C104" i="9"/>
  <c r="D8" i="52"/>
  <c r="D123" i="9"/>
  <c r="B49" i="72"/>
  <c r="L64" i="9"/>
  <c r="M64" i="9"/>
  <c r="F4" i="52"/>
  <c r="B51" i="72"/>
  <c r="N58" i="9"/>
  <c r="N57" i="9"/>
  <c r="P57" i="9"/>
  <c r="D6" i="53"/>
  <c r="B22" i="72"/>
  <c r="H102" i="9"/>
  <c r="D7" i="53"/>
  <c r="B21" i="72"/>
  <c r="C67" i="9"/>
  <c r="D59" i="9"/>
  <c r="M55" i="9"/>
  <c r="G4" i="52"/>
  <c r="C6" i="74"/>
  <c r="D15" i="53"/>
  <c r="C93" i="9"/>
  <c r="C86" i="9"/>
  <c r="E96" i="9"/>
  <c r="E97" i="9"/>
  <c r="D119" i="9"/>
  <c r="D5" i="52"/>
  <c r="D56" i="9"/>
  <c r="M54" i="9"/>
  <c r="M48" i="9"/>
  <c r="D5" i="53"/>
  <c r="N60" i="9"/>
  <c r="N59" i="9"/>
  <c r="N61" i="9"/>
  <c r="B53" i="72"/>
  <c r="B30" i="72"/>
  <c r="D14" i="53"/>
  <c r="L63" i="9"/>
  <c r="M63" i="9"/>
  <c r="M69" i="9"/>
  <c r="N69" i="9"/>
  <c r="H119" i="9"/>
  <c r="H5" i="52"/>
  <c r="L68" i="9"/>
  <c r="M68" i="9"/>
  <c r="G118" i="9"/>
  <c r="F118" i="9"/>
  <c r="F119" i="9"/>
  <c r="F5" i="52"/>
  <c r="D122" i="9"/>
  <c r="H108" i="9"/>
  <c r="D13" i="53"/>
  <c r="L66" i="9"/>
  <c r="M66" i="9"/>
  <c r="L65" i="9"/>
  <c r="M65" i="9"/>
  <c r="D55" i="9"/>
  <c r="M53" i="9"/>
  <c r="C96" i="9"/>
  <c r="H107" i="9"/>
  <c r="M49" i="9"/>
  <c r="L67" i="9"/>
  <c r="M67" i="9"/>
  <c r="E4" i="52"/>
  <c r="C72" i="9"/>
  <c r="C79" i="9"/>
  <c r="C80" i="9"/>
  <c r="E80" i="9"/>
  <c r="E118" i="9"/>
  <c r="D118" i="9"/>
  <c r="D4" i="52"/>
  <c r="B47" i="72"/>
  <c r="C64" i="9"/>
  <c r="C63"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<sst xmlns="http://schemas.openxmlformats.org/spreadsheetml/2006/main" count="7881" uniqueCount="3446">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</sst>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295274</xdr:colOff>
      <xdr:row>0</xdr:row>
      <xdr:rowOff>0</xdr:rowOff>
    </xdr:from>
    <xdr:to>
      <xdr:col>14</xdr:col>
      <xdr:colOff>514350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4410074" y="0"/>
          <a:ext cx="5819776" cy="1616605"/>
        </a:xfrm>
        <a:prstGeom prst="rect">
          <a:avLst/>
        </a:prstGeom>
      </xdr:spPr>
    </xdr:pic>
    <xdr:clientData/>
  </xdr:twoCellAnchor>
  <xdr:twoCellAnchor editAs="oneCell">
    <xdr:from>
      <xdr:col>6</xdr:col>
      <xdr:colOff>219074</xdr:colOff>
      <xdr:row>8</xdr:row>
      <xdr:rowOff>133081</xdr:rowOff>
    </xdr:from>
    <xdr:to>
      <xdr:col>14</xdr:col>
      <xdr:colOff>227589</xdr:colOff>
      <xdr:row>17</xdr:row>
      <xdr:rowOff>18793</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4" y="1504681"/>
          <a:ext cx="5609215" cy="1428762"/>
        </a:xfrm>
        <a:prstGeom prst="rect">
          <a:avLst/>
        </a:prstGeom>
      </xdr:spPr>
    </xdr:pic>
    <xdr:clientData/>
  </xdr:twoCellAnchor>
  <xdr:twoCellAnchor editAs="oneCell">
    <xdr:from>
      <xdr:col>6</xdr:col>
      <xdr:colOff>533399</xdr:colOff>
      <xdr:row>17</xdr:row>
      <xdr:rowOff>159925</xdr:rowOff>
    </xdr:from>
    <xdr:to>
      <xdr:col>14</xdr:col>
      <xdr:colOff>333375</xdr:colOff>
      <xdr:row>27</xdr:row>
      <xdr:rowOff>157684</xdr:rowOff>
    </xdr:to>
    <xdr:pic>
      <xdr:nvPicPr>
        <xdr:cNvPr id="4" name="图片 3"/>
        <xdr:cNvPicPr>
          <a:picLocks noChangeAspect="1"/>
        </xdr:cNvPicPr>
      </xdr:nvPicPr>
      <xdr:blipFill>
        <a:blip xmlns:r="http://schemas.openxmlformats.org/officeDocument/2006/relationships" r:embed="rId3"/>
        <a:stretch>
          <a:fillRect/>
        </a:stretch>
      </xdr:blipFill>
      <xdr:spPr>
        <a:xfrm>
          <a:off x="4648199" y="3074575"/>
          <a:ext cx="5400676" cy="1712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45322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2.88</v>
      </c>
      <c r="D5" s="3024">
        <f>IF(ISERROR(ROUND(POWER(1+E5,A5-C5)*(POWER(1+E5,C5)-1)/(POWER(1+E5,A5)-1),3)),0,ROUND(POWER(1+E5,A5-C5)*(POWER(1+E5,C5)-1)/(POWER(1+E5,A5)-1),4))</f>
        <v>0.13489999999999999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12.89</v>
      </c>
      <c r="D6" s="3024">
        <f>IF(ISERROR(ROUND(POWER(1+E6,A6-C6)*(POWER(1+E6,C6)-1)/(POWER(1+E6,A6)-1),3)),0,ROUND(POWER(1+E6,A6-C6)*(POWER(1+E6,C6)-1)/(POWER(1+E6,A6)-1),4))</f>
        <v>0.46179999999999999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v>
      </c>
      <c r="D7" s="3024">
        <f>IF(ISERROR(ROUND(POWER(1+E7,A7-C7)*(POWER(1+E7,C7)-1)/(POWER(1+E7,A7)-1),3)),0,ROUND(POWER(1+E7,A7-C7)*(POWER(1+E7,C7)-1)/(POWER(1+E7,A7)-1),4))</f>
        <v>0.77459999999999996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45322</v>
      </c>
      <c r="C3" s="2373" t="s">
        <v>2170</v>
      </c>
      <c r="D3" s="2372">
        <f>B3</f>
        <v>45322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14" t="s">
        <v>2176</v>
      </c>
      <c r="E8" s="2390" t="s">
        <v>3445</v>
      </c>
      <c r="F8" s="2391"/>
      <c r="G8" s="2662"/>
      <c r="H8" s="2662"/>
      <c r="I8" s="2662"/>
      <c r="J8" s="2438"/>
      <c r="K8" s="2613"/>
      <c r="L8" s="2612"/>
      <c r="M8" s="2612"/>
      <c r="N8" s="2438"/>
      <c r="O8" s="2449"/>
      <c r="P8" s="2438"/>
      <c r="Q8" s="2438"/>
      <c r="R8" s="2438"/>
    </row>
    <row r="9" spans="1:30" ht="13.5" thickBot="1">
      <c r="A9" s="2392" t="s">
        <v>2177</v>
      </c>
      <c r="B9" s="2393" t="s">
        <v>3445</v>
      </c>
      <c r="C9" s="2394"/>
      <c r="D9" s="3515"/>
      <c r="E9" s="2393"/>
      <c r="F9" s="2395"/>
      <c r="G9" s="2664"/>
      <c r="H9" s="2664"/>
      <c r="I9" s="2664"/>
      <c r="J9" s="2438"/>
      <c r="K9" s="2615"/>
      <c r="L9" s="2612"/>
      <c r="M9" s="2612"/>
      <c r="N9" s="2438"/>
      <c r="O9" s="2449"/>
      <c r="P9" s="2438"/>
      <c r="Q9" s="2438"/>
      <c r="R9" s="2438"/>
    </row>
    <row r="10" spans="1:30" ht="13.5" thickTop="1">
      <c r="A10" s="2396" t="s">
        <v>2178</v>
      </c>
      <c r="B10" s="2397" t="s">
        <v>3444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3443</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v>56557</v>
      </c>
      <c r="E13" s="856"/>
      <c r="F13" s="856"/>
      <c r="G13" s="856"/>
      <c r="H13" s="856"/>
      <c r="I13" s="856"/>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30.78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87.01</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4"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4"/>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4"/>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5"/>
      <c r="B30" s="302" t="s">
        <v>2217</v>
      </c>
      <c r="C30" s="3506"/>
      <c r="D30" s="3507"/>
      <c r="E30" s="2663"/>
      <c r="F30" s="2663"/>
      <c r="G30" s="2663"/>
      <c r="H30" s="2663"/>
      <c r="I30" s="2663"/>
      <c r="J30" s="2438"/>
      <c r="K30" s="2615"/>
      <c r="L30" s="2612"/>
      <c r="M30" s="2612"/>
      <c r="N30" s="2438"/>
      <c r="O30" s="2449"/>
      <c r="P30" s="2438"/>
      <c r="Q30" s="2438"/>
      <c r="R30" s="2438"/>
      <c r="S30" s="2438"/>
      <c r="T30" s="2438"/>
      <c r="U30" s="2438"/>
      <c r="V30" s="2438"/>
    </row>
    <row r="31" spans="1:28">
      <c r="A31" s="3508"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3" t="s">
        <v>2227</v>
      </c>
      <c r="T34" s="2427" t="str">
        <f>NUMBERSTRING(7-K34,1)&amp;"通"</f>
        <v>七通</v>
      </c>
      <c r="U34" s="2438"/>
      <c r="V34" s="2438"/>
    </row>
    <row r="35" spans="1:30">
      <c r="A35" s="2428"/>
      <c r="B35" s="3510" t="s">
        <v>2228</v>
      </c>
      <c r="C35" s="3510"/>
      <c r="D35" s="3510"/>
      <c r="E35" s="351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87.01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3389</v>
      </c>
      <c r="D13" s="1624" t="s">
        <v>3387</v>
      </c>
      <c r="E13" s="13">
        <f>IF($C$3="是",ROUND($A$3*G13/$B$3,2),ROUND($A$3*(G13-AT13)/$B$3,2))</f>
        <v>0</v>
      </c>
      <c r="F13" s="29"/>
      <c r="G13" s="30">
        <f>H13+AC13+AT13</f>
        <v>87.01</v>
      </c>
      <c r="H13" s="17">
        <f>SUMIF(I$12:AB$12,"总值",I13:AB13)</f>
        <v>87.01</v>
      </c>
      <c r="I13" s="1625">
        <f>典型户型修正!B24</f>
        <v>87.01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2-2-9</v>
      </c>
      <c r="AY13" s="1348">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9"/>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9"/>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9"/>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9"/>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9"/>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9"/>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9"/>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9"/>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9"/>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9"/>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9"/>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9"/>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9"/>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87.01</v>
      </c>
      <c r="F3" s="2658"/>
      <c r="G3" s="1144"/>
      <c r="H3" s="1025"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7" t="s">
        <v>1111</v>
      </c>
      <c r="C6" s="3547"/>
      <c r="D6" s="45">
        <f>ROUND($D$3*E6/$E$3,2)</f>
        <v>0</v>
      </c>
      <c r="E6" s="46">
        <f>E3-E5</f>
        <v>87.01</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87.01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87.01</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3390</v>
      </c>
      <c r="D19" s="45">
        <f>ROUND($D$3*E19/$E$3,2)</f>
        <v>0</v>
      </c>
      <c r="E19" s="53">
        <f t="shared" ref="E19:E26" si="1">SUM(F19:G19)</f>
        <v>87.01</v>
      </c>
      <c r="F19" s="2794">
        <f>'数据-基础表'!I13</f>
        <v>87.01</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87.01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87.01</v>
      </c>
      <c r="F31" s="677">
        <f>F27+F30</f>
        <v>87.01</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v>
      </c>
      <c r="V6" s="70">
        <v>2.5000000000000001E-2</v>
      </c>
      <c r="W6" s="70">
        <v>0.1</v>
      </c>
      <c r="X6" s="1039"/>
      <c r="Y6" s="71">
        <f>N6</f>
        <v>0.92</v>
      </c>
      <c r="Z6" s="72"/>
      <c r="AA6" s="66"/>
      <c r="AB6" s="66"/>
      <c r="AC6" s="1039"/>
      <c r="AD6" s="73"/>
      <c r="AE6" s="1040">
        <f ca="1">IF(AN6="",0,SUMIF(INDIRECT("'"&amp;AN6&amp;"'"&amp;"!E:E"),$AE$5,INDIRECT("'"&amp;AN6&amp;"'"&amp;"!F:F")))</f>
        <v>30.78</v>
      </c>
      <c r="AF6" s="1347"/>
      <c r="AG6" s="138">
        <f>IF(AF6="",0,AE6-AF6)</f>
        <v>0</v>
      </c>
      <c r="AH6" s="74"/>
      <c r="AI6" s="76">
        <v>365</v>
      </c>
      <c r="AJ6" s="77"/>
      <c r="AK6" s="78">
        <v>5.0000000000000001E-3</v>
      </c>
      <c r="AL6" s="79">
        <v>1.5E-3</v>
      </c>
      <c r="AM6" s="80">
        <v>5.0000000000000001E-3</v>
      </c>
      <c r="AN6" s="1714" t="s">
        <v>3392</v>
      </c>
      <c r="AO6" s="52">
        <f ca="1">SUMIF(INDIRECT("'"&amp;AN6&amp;"'"&amp;"!A:A"),"总价",INDIRECT("'"&amp;AN6&amp;"'"&amp;"!B:B"))</f>
        <v>227.5557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ROUND(B28*K16,0)</f>
        <v>17402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2285</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376.36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1397.3899999999999</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Sheet1!B5</f>
        <v>376.36</v>
      </c>
      <c r="C14" s="2517"/>
      <c r="D14" s="2517">
        <f ca="1">Sheet1!D5</f>
        <v>1397.3899999999999</v>
      </c>
      <c r="E14" s="2517">
        <f ca="1">ROUND(D14*10000/B14,0)</f>
        <v>37129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3420</v>
      </c>
      <c r="D4" s="1755" t="s">
        <v>3392</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6"/>
      <c r="G5" s="1756"/>
      <c r="H5" s="1756"/>
      <c r="I5" s="1372"/>
    </row>
    <row r="6" spans="1:12" ht="12.75">
      <c r="A6" s="3564"/>
      <c r="B6" s="3551"/>
      <c r="C6" s="3568"/>
      <c r="D6" s="3587"/>
      <c r="E6" s="131" t="s">
        <v>1270</v>
      </c>
      <c r="F6" s="1756"/>
      <c r="G6" s="1756"/>
      <c r="H6" s="1756"/>
      <c r="I6" s="1372"/>
    </row>
    <row r="7" spans="1:12" ht="12.75">
      <c r="A7" s="3564"/>
      <c r="B7" s="3551"/>
      <c r="C7" s="3569"/>
      <c r="D7" s="3587"/>
      <c r="E7" s="131" t="s">
        <v>1271</v>
      </c>
      <c r="F7" s="1756"/>
      <c r="G7" s="1756"/>
      <c r="H7" s="1756"/>
      <c r="I7" s="1372"/>
    </row>
    <row r="8" spans="1:12" ht="12.75">
      <c r="A8" s="3564" t="s">
        <v>1272</v>
      </c>
      <c r="B8" s="3551">
        <v>15</v>
      </c>
      <c r="C8" s="3567"/>
      <c r="D8" s="3587"/>
      <c r="E8" s="131" t="s">
        <v>1273</v>
      </c>
      <c r="F8" s="1756"/>
      <c r="G8" s="1756"/>
      <c r="H8" s="1756"/>
      <c r="I8" s="1372"/>
    </row>
    <row r="9" spans="1:12" ht="12.75">
      <c r="A9" s="3564"/>
      <c r="B9" s="3551"/>
      <c r="C9" s="3569"/>
      <c r="D9" s="3587"/>
      <c r="E9" s="131" t="s">
        <v>1274</v>
      </c>
      <c r="F9" s="1756"/>
      <c r="G9" s="1756"/>
      <c r="H9" s="1756"/>
      <c r="I9" s="1372"/>
    </row>
    <row r="10" spans="1:12" ht="12.75">
      <c r="A10" s="3564" t="s">
        <v>1275</v>
      </c>
      <c r="B10" s="3551">
        <v>15</v>
      </c>
      <c r="C10" s="3567"/>
      <c r="D10" s="3587"/>
      <c r="E10" s="131" t="s">
        <v>1276</v>
      </c>
      <c r="F10" s="1756"/>
      <c r="G10" s="1756"/>
      <c r="H10" s="1756"/>
      <c r="I10" s="1372"/>
    </row>
    <row r="11" spans="1:12" ht="12.75">
      <c r="A11" s="3564"/>
      <c r="B11" s="3551"/>
      <c r="C11" s="3569"/>
      <c r="D11" s="3587"/>
      <c r="E11" s="131" t="s">
        <v>1277</v>
      </c>
      <c r="F11" s="1756"/>
      <c r="G11" s="1756"/>
      <c r="H11" s="1756"/>
      <c r="I11" s="1372"/>
    </row>
    <row r="12" spans="1:12" ht="12.75">
      <c r="A12" s="3564" t="s">
        <v>1278</v>
      </c>
      <c r="B12" s="3551">
        <v>15</v>
      </c>
      <c r="C12" s="3567"/>
      <c r="D12" s="3587"/>
      <c r="E12" s="131" t="s">
        <v>1279</v>
      </c>
      <c r="F12" s="1756"/>
      <c r="G12" s="1756"/>
      <c r="H12" s="1756"/>
      <c r="I12" s="1372"/>
    </row>
    <row r="13" spans="1:12" ht="12.75">
      <c r="A13" s="3564"/>
      <c r="B13" s="3551"/>
      <c r="C13" s="3569"/>
      <c r="D13" s="3587"/>
      <c r="E13" s="131" t="s">
        <v>1280</v>
      </c>
      <c r="F13" s="1756"/>
      <c r="G13" s="1756"/>
      <c r="H13" s="1756"/>
      <c r="I13" s="1372"/>
    </row>
    <row r="14" spans="1:12" ht="12.75">
      <c r="A14" s="3564" t="s">
        <v>1281</v>
      </c>
      <c r="B14" s="3551">
        <v>30</v>
      </c>
      <c r="C14" s="3567">
        <v>7</v>
      </c>
      <c r="D14" s="3587">
        <v>3</v>
      </c>
      <c r="E14" s="131" t="s">
        <v>1282</v>
      </c>
      <c r="F14" s="1756"/>
      <c r="G14" s="1756"/>
      <c r="H14" s="1756"/>
      <c r="I14" s="1372"/>
    </row>
    <row r="15" spans="1:12" ht="12.75">
      <c r="A15" s="3564"/>
      <c r="B15" s="3551"/>
      <c r="C15" s="3568"/>
      <c r="D15" s="3587"/>
      <c r="E15" s="131" t="s">
        <v>1283</v>
      </c>
      <c r="F15" s="1756"/>
      <c r="G15" s="1756"/>
      <c r="H15" s="1756"/>
      <c r="I15" s="1372"/>
    </row>
    <row r="16" spans="1:12" ht="12.75">
      <c r="A16" s="3564"/>
      <c r="B16" s="3551"/>
      <c r="C16" s="3569"/>
      <c r="D16" s="358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4" t="s">
        <v>2130</v>
      </c>
      <c r="F18" s="3575"/>
      <c r="G18" s="3575"/>
      <c r="H18" s="3575"/>
      <c r="I18" s="3575"/>
      <c r="K18" s="302" t="s">
        <v>1289</v>
      </c>
      <c r="L18" s="302">
        <f>IF(C1="",'数据-汇总表'!E3,SUMIF(项目类型,C1,'数据-汇总表'!E17:E26)+SUMIF(项目类型,C1,'数据-汇总表'!I17:I26))</f>
        <v>87.01</v>
      </c>
      <c r="M18" s="302">
        <f>IF(C1="",'数据-汇总表'!E3,SUMIF(项目类型,C1,'数据-汇总表'!E17:E26))</f>
        <v>87.01</v>
      </c>
    </row>
    <row r="19" spans="1:36" ht="15">
      <c r="A19" s="1760" t="s">
        <v>1290</v>
      </c>
      <c r="B19" s="1761" t="s">
        <v>1291</v>
      </c>
      <c r="C19" s="134">
        <f ca="1">SUMIF(INDIRECT("'"&amp;C4&amp;"'"&amp;"!A:A"),结果表!B19,INDIRECT("'"&amp;C4&amp;"'"&amp;"!B:B"))</f>
        <v>399.34109999999998</v>
      </c>
      <c r="D19" s="135">
        <f ca="1">SUMIF(INDIRECT("'"&amp;D4&amp;"'"&amp;"!A:A"),结果表!B19,INDIRECT("'"&amp;D4&amp;"'"&amp;"!B:B"))</f>
        <v>227.5557</v>
      </c>
      <c r="E19" s="1760" t="s">
        <v>1292</v>
      </c>
      <c r="F19" s="1761" t="s">
        <v>1291</v>
      </c>
      <c r="G19" s="136">
        <f ca="1">ROUND(C19*$C$18+D19*$D$18,0)</f>
        <v>348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45896</v>
      </c>
      <c r="D20" s="138">
        <f ca="1">SUMIF(INDIRECT("'"&amp;D4&amp;"'"&amp;"!A:A"),结果表!B20,INDIRECT("'"&amp;D4&amp;"'"&amp;"!B:B"))</f>
        <v>26153</v>
      </c>
      <c r="E20" s="1763"/>
      <c r="F20" s="1025" t="s">
        <v>1295</v>
      </c>
      <c r="G20" s="139">
        <f ca="1">ROUND(C20*$C$18+D20*$D$18,0)</f>
        <v>39973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0.7549158293991316</v>
      </c>
      <c r="E22" s="129"/>
      <c r="F22" s="129"/>
      <c r="G22" s="129"/>
      <c r="H22" s="129"/>
      <c r="I22" s="129"/>
    </row>
    <row r="23" spans="1:36" ht="13.5" thickBot="1">
      <c r="A23" s="1746"/>
      <c r="B23" s="1746"/>
      <c r="C23" s="1746"/>
      <c r="D23" s="1746"/>
      <c r="E23" s="129"/>
      <c r="F23" s="129"/>
      <c r="G23" s="129"/>
      <c r="H23" s="129"/>
      <c r="I23" s="129"/>
    </row>
    <row r="24" spans="1:36" ht="14.25">
      <c r="A24" s="3558" t="s">
        <v>1299</v>
      </c>
      <c r="B24" s="1761" t="s">
        <v>1291</v>
      </c>
      <c r="C24" s="136">
        <f>IF(B30=0,0,D30)</f>
        <v>0</v>
      </c>
      <c r="D24" s="1768"/>
      <c r="E24" s="129"/>
      <c r="F24" s="129"/>
      <c r="G24" s="129"/>
      <c r="H24" s="129"/>
      <c r="I24" s="129"/>
    </row>
    <row r="25" spans="1:36" ht="14.25">
      <c r="A25" s="35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39973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8" t="s">
        <v>1312</v>
      </c>
      <c r="B36" s="1786" t="s">
        <v>1313</v>
      </c>
      <c r="C36" s="145"/>
      <c r="D36" s="1787"/>
      <c r="E36" s="1788"/>
      <c r="F36" s="1789"/>
      <c r="G36" s="129"/>
      <c r="H36" s="129"/>
      <c r="I36" s="129"/>
    </row>
    <row r="37" spans="1:15" ht="15.75" thickBot="1">
      <c r="A37" s="3579"/>
      <c r="B37" s="1673" t="s">
        <v>1314</v>
      </c>
      <c r="C37" s="147"/>
      <c r="D37" s="1138"/>
      <c r="E37" s="1138"/>
      <c r="F37" s="1789"/>
      <c r="G37" s="129"/>
      <c r="H37" s="129"/>
      <c r="I37" s="129"/>
    </row>
    <row r="38" spans="1:15" ht="15.75" thickBot="1">
      <c r="A38" s="358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5"/>
      <c r="I46" s="159"/>
      <c r="J46" s="2522">
        <v>1</v>
      </c>
      <c r="K46" s="3614" t="s">
        <v>1331</v>
      </c>
      <c r="L46" s="3614"/>
      <c r="M46" s="3634"/>
      <c r="N46" s="3634"/>
      <c r="O46" s="3634"/>
    </row>
    <row r="47" spans="1:15" ht="12" customHeight="1">
      <c r="A47" s="160" t="s">
        <v>1332</v>
      </c>
      <c r="B47" s="161"/>
      <c r="C47" s="162"/>
      <c r="D47" s="1086" t="s">
        <v>1333</v>
      </c>
      <c r="E47" s="302" t="s">
        <v>1334</v>
      </c>
      <c r="F47" s="163" t="s">
        <v>1335</v>
      </c>
      <c r="G47" s="2545" t="s">
        <v>1336</v>
      </c>
      <c r="H47" s="2546"/>
      <c r="I47" s="159"/>
      <c r="J47" s="2522">
        <v>2</v>
      </c>
      <c r="K47" s="3614" t="s">
        <v>1337</v>
      </c>
      <c r="L47" s="3614"/>
      <c r="M47" s="3635">
        <f>'数据-取费表'!B2</f>
        <v>45322</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4" t="s">
        <v>1340</v>
      </c>
      <c r="L48" s="3614"/>
      <c r="M48" s="3636" t="e">
        <f ca="1">H101</f>
        <v>#REF!</v>
      </c>
      <c r="N48" s="3636"/>
      <c r="O48" s="3636"/>
    </row>
    <row r="49" spans="1:35" ht="25.5" customHeight="1">
      <c r="A49" s="2332" t="s">
        <v>1341</v>
      </c>
      <c r="B49" s="3550" t="s">
        <v>1342</v>
      </c>
      <c r="C49" s="3550"/>
      <c r="D49" s="1589">
        <v>0</v>
      </c>
      <c r="E49" s="324" t="s">
        <v>1343</v>
      </c>
      <c r="F49" s="2423" t="s">
        <v>28</v>
      </c>
      <c r="G49" s="3620"/>
      <c r="H49" s="2309" t="s">
        <v>2133</v>
      </c>
      <c r="I49" s="2310"/>
      <c r="J49" s="2522">
        <v>4</v>
      </c>
      <c r="K49" s="3614" t="str">
        <f>IF(项目基本情况!E8="房地产抵押价值","房地产抵押价值","抵押担保权已注销时的房地产抵押价值")</f>
        <v>房地产抵押价值</v>
      </c>
      <c r="L49" s="3614"/>
      <c r="M49" s="3636" t="str">
        <f ca="1">IF(项目基本情况!E8="房地产抵押价值",H107,H109)</f>
        <v>——</v>
      </c>
      <c r="N49" s="3636"/>
      <c r="O49" s="3636"/>
    </row>
    <row r="50" spans="1:35" ht="25.5" customHeight="1">
      <c r="A50" s="2550"/>
      <c r="B50" s="3550" t="s">
        <v>1344</v>
      </c>
      <c r="C50" s="3550"/>
      <c r="D50" s="2551"/>
      <c r="E50" s="332"/>
      <c r="F50" s="2423"/>
      <c r="G50" s="3621"/>
      <c r="H50" s="2311" t="s">
        <v>2134</v>
      </c>
      <c r="I50" s="2310"/>
      <c r="J50" s="3633" t="s">
        <v>1345</v>
      </c>
      <c r="K50" s="3633"/>
      <c r="L50" s="3633"/>
      <c r="M50" s="3633"/>
      <c r="N50" s="3633"/>
      <c r="O50" s="3633"/>
    </row>
    <row r="51" spans="1:35" ht="20.45" customHeight="1">
      <c r="A51" s="2552"/>
      <c r="B51" s="3550" t="s">
        <v>1346</v>
      </c>
      <c r="C51" s="3550"/>
      <c r="D51" s="1086"/>
      <c r="E51" s="327"/>
      <c r="F51" s="2423"/>
      <c r="G51" s="3622"/>
      <c r="H51" s="2311" t="s">
        <v>2135</v>
      </c>
      <c r="I51" s="2310"/>
      <c r="J51" s="2523" t="s">
        <v>1347</v>
      </c>
      <c r="K51" s="3614" t="s">
        <v>1348</v>
      </c>
      <c r="L51" s="3614"/>
      <c r="M51" s="2523" t="s">
        <v>1349</v>
      </c>
      <c r="N51" s="2523" t="s">
        <v>1350</v>
      </c>
      <c r="O51" s="2523" t="s">
        <v>1351</v>
      </c>
    </row>
    <row r="52" spans="1:35" ht="24" customHeight="1">
      <c r="A52" s="2334" t="s">
        <v>1352</v>
      </c>
      <c r="B52" s="3550" t="s">
        <v>1353</v>
      </c>
      <c r="C52" s="3550"/>
      <c r="D52" s="1086" t="e">
        <f ca="1">ROUND(D45*'数据-取费表'!B41/(1+'数据-取费表'!C42),0)</f>
        <v>#REF!</v>
      </c>
      <c r="E52" s="2333" t="s">
        <v>1354</v>
      </c>
      <c r="F52" s="2553">
        <f>'数据-取费表'!B41</f>
        <v>5.6000000000000001E-2</v>
      </c>
      <c r="G52" s="2554"/>
      <c r="H52" s="2543"/>
      <c r="I52" s="1806"/>
      <c r="J52" s="2522">
        <v>1</v>
      </c>
      <c r="K52" s="3615" t="s">
        <v>1355</v>
      </c>
      <c r="L52" s="3615"/>
      <c r="M52" s="2524" t="b">
        <f>D48</f>
        <v>0</v>
      </c>
      <c r="N52" s="2522" t="str">
        <f>E48</f>
        <v>销售额×税（费）率</v>
      </c>
      <c r="O52" s="2525">
        <f>F48</f>
        <v>5.6000000000000001E-2</v>
      </c>
    </row>
    <row r="53" spans="1:35" ht="12" customHeight="1">
      <c r="A53" s="2334" t="s">
        <v>1356</v>
      </c>
      <c r="B53" s="3576" t="s">
        <v>2290</v>
      </c>
      <c r="C53" s="3577"/>
      <c r="D53" s="1086" t="e">
        <f ca="1">ROUND(D45*'数据-取费表'!B41/(1+'数据-取费表'!C42),0)</f>
        <v>#REF!</v>
      </c>
      <c r="E53" s="2333" t="s">
        <v>1354</v>
      </c>
      <c r="F53" s="2553">
        <f>'数据-取费表'!B41</f>
        <v>5.6000000000000001E-2</v>
      </c>
      <c r="G53" s="2554"/>
      <c r="H53" s="2543"/>
      <c r="I53" s="1806"/>
      <c r="J53" s="2522">
        <v>2</v>
      </c>
      <c r="K53" s="3615" t="s">
        <v>1357</v>
      </c>
      <c r="L53" s="3615"/>
      <c r="M53" s="2524" t="e">
        <f t="shared" ref="M53:O54" ca="1" si="0">D55</f>
        <v>#REF!</v>
      </c>
      <c r="N53" s="2522" t="str">
        <f t="shared" si="0"/>
        <v>销售额×税（费）率</v>
      </c>
      <c r="O53" s="2525" t="str">
        <f t="shared" si="0"/>
        <v>免征</v>
      </c>
    </row>
    <row r="54" spans="1:35" ht="12" customHeight="1">
      <c r="A54" s="2334" t="s">
        <v>1358</v>
      </c>
      <c r="B54" s="3576" t="s">
        <v>2291</v>
      </c>
      <c r="C54" s="3577"/>
      <c r="D54" s="1086" t="e">
        <f ca="1">C68</f>
        <v>#REF!</v>
      </c>
      <c r="E54" s="327" t="s">
        <v>1359</v>
      </c>
      <c r="F54" s="2553">
        <f>'数据-取费表'!B41</f>
        <v>5.6000000000000001E-2</v>
      </c>
      <c r="G54" s="2554"/>
      <c r="H54" s="2555"/>
      <c r="I54" s="1806"/>
      <c r="J54" s="2522">
        <v>3</v>
      </c>
      <c r="K54" s="3615" t="s">
        <v>1360</v>
      </c>
      <c r="L54" s="3615"/>
      <c r="M54" s="2524" t="e">
        <f t="shared" ca="1" si="0"/>
        <v>#REF!</v>
      </c>
      <c r="N54" s="2522" t="str">
        <f t="shared" si="0"/>
        <v>增值额×税（费）率</v>
      </c>
      <c r="O54" s="2526" t="str">
        <f t="shared" si="0"/>
        <v>免征</v>
      </c>
    </row>
    <row r="55" spans="1:35" ht="24" customHeight="1">
      <c r="A55" s="3565" t="s">
        <v>1361</v>
      </c>
      <c r="B55" s="3566"/>
      <c r="C55" s="3566"/>
      <c r="D55" s="2323" t="e">
        <f ca="1">IF(H55="个人住宅",0,ROUND(D45*I55,0))</f>
        <v>#REF!</v>
      </c>
      <c r="E55" s="2333" t="s">
        <v>1362</v>
      </c>
      <c r="F55" s="2553" t="str">
        <f>IF(H55="正常",I55,"免征")</f>
        <v>免征</v>
      </c>
      <c r="G55" s="2554"/>
      <c r="H55" s="2549"/>
      <c r="I55" s="165">
        <f>'数据-取费表'!B49</f>
        <v>5.0000000000000001E-4</v>
      </c>
      <c r="J55" s="2522">
        <f>IF(H59="非个人房产","",4)</f>
        <v>4</v>
      </c>
      <c r="K55" s="3615" t="str">
        <f>IF(H59="非个人房产","——","个人所得税")</f>
        <v>个人所得税</v>
      </c>
      <c r="L55" s="3615"/>
      <c r="M55" s="2527" t="e">
        <f ca="1">D59</f>
        <v>#REF!</v>
      </c>
      <c r="N55" s="2039" t="str">
        <f>E59</f>
        <v>差额计税</v>
      </c>
      <c r="O55" s="2528">
        <f>F59</f>
        <v>0.01</v>
      </c>
    </row>
    <row r="56" spans="1:35" ht="24.75">
      <c r="A56" s="3565" t="s">
        <v>1363</v>
      </c>
      <c r="B56" s="3566"/>
      <c r="C56" s="3566"/>
      <c r="D56" s="2323" t="e">
        <f ca="1">IF(H56="个人住宅",D57,D58)</f>
        <v>#REF!</v>
      </c>
      <c r="E56" s="2333" t="s">
        <v>1364</v>
      </c>
      <c r="F56" s="2553" t="str">
        <f>IF(H56="正常",F58,"免征")</f>
        <v>免征</v>
      </c>
      <c r="G56" s="2556" t="s">
        <v>1365</v>
      </c>
      <c r="H56" s="2557"/>
      <c r="I56" s="1807"/>
      <c r="J56" s="2522" t="str">
        <f>IF(项目基本情况!K6="上海银行",IF(J55="",4,J55+1),"")</f>
        <v/>
      </c>
      <c r="K56" s="3638" t="str">
        <f>IF(项目基本情况!K6="上海银行","其他处置费用","")</f>
        <v/>
      </c>
      <c r="L56" s="3639"/>
      <c r="M56" s="2524"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4" t="s">
        <v>1343</v>
      </c>
      <c r="F57" s="302"/>
      <c r="G57" s="2554"/>
      <c r="H57" s="2558"/>
      <c r="I57" s="1807"/>
      <c r="J57" s="3615">
        <f>IF(AND(J55="",J56=""),4,IF(项目基本情况!K6="上海银行",结果表!J56+1,结果表!J55+1))</f>
        <v>5</v>
      </c>
      <c r="K57" s="3615" t="s">
        <v>1367</v>
      </c>
      <c r="L57" s="2529" t="s">
        <v>1368</v>
      </c>
      <c r="M57" s="2530"/>
      <c r="N57" s="2531">
        <f ca="1">SUMIF(M52:M56,"&lt;9e307")</f>
        <v>0</v>
      </c>
      <c r="O57" s="2532"/>
      <c r="P57" s="2689" t="e">
        <f ca="1">N57/M49</f>
        <v>#VALUE!</v>
      </c>
    </row>
    <row r="58" spans="1:35" ht="24.75">
      <c r="A58" s="2334" t="s">
        <v>1352</v>
      </c>
      <c r="B58" s="3576" t="s">
        <v>1369</v>
      </c>
      <c r="C58" s="3550"/>
      <c r="D58" s="2323" t="e">
        <f ca="1">IF(H58="转让取得",C81,C97)</f>
        <v>#REF!</v>
      </c>
      <c r="E58" s="2333" t="s">
        <v>1364</v>
      </c>
      <c r="F58" s="302" t="s">
        <v>28</v>
      </c>
      <c r="G58" s="2554"/>
      <c r="H58" s="2557"/>
      <c r="I58" s="1807"/>
      <c r="J58" s="3615"/>
      <c r="K58" s="3615"/>
      <c r="L58" s="2529" t="s">
        <v>1370</v>
      </c>
      <c r="M58" s="2533"/>
      <c r="N58" s="2534" t="str">
        <f ca="1">NUMBERSTRING(INT(N57*10000),2)&amp;"元整"</f>
        <v>零元整</v>
      </c>
      <c r="O58" s="2535"/>
    </row>
    <row r="59" spans="1:35" ht="24.75" thickBot="1">
      <c r="A59" s="3618" t="s">
        <v>1371</v>
      </c>
      <c r="B59" s="3619"/>
      <c r="C59" s="361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6">
        <f>J57+1</f>
        <v>6</v>
      </c>
      <c r="K59" s="3615" t="s">
        <v>1372</v>
      </c>
      <c r="L59" s="2522" t="s">
        <v>1368</v>
      </c>
      <c r="M59" s="2536"/>
      <c r="N59" s="2537" t="e">
        <f ca="1">M49-N57</f>
        <v>#VALUE!</v>
      </c>
      <c r="O59" s="2538"/>
    </row>
    <row r="60" spans="1:35" ht="12" customHeight="1">
      <c r="A60" s="1808"/>
      <c r="B60" s="1746"/>
      <c r="C60" s="1746"/>
      <c r="D60" s="1746"/>
      <c r="E60" s="1577"/>
      <c r="F60" s="1807"/>
      <c r="G60" s="1807"/>
      <c r="H60" s="1809"/>
      <c r="I60" s="129"/>
      <c r="J60" s="3617"/>
      <c r="K60" s="3615"/>
      <c r="L60" s="2529" t="s">
        <v>1370</v>
      </c>
      <c r="M60" s="2533"/>
      <c r="N60" s="2534" t="e">
        <f ca="1">NUMBERSTRING(INT(N59*10000),2)&amp;"元整"</f>
        <v>#VALUE!</v>
      </c>
      <c r="O60" s="2535"/>
    </row>
    <row r="61" spans="1:35" ht="13.5" thickBot="1">
      <c r="A61" s="3563" t="s">
        <v>1373</v>
      </c>
      <c r="B61" s="3563"/>
      <c r="C61" s="3563"/>
      <c r="D61" s="3563"/>
      <c r="E61" s="3563"/>
      <c r="F61" s="1807"/>
      <c r="G61" s="1807"/>
      <c r="H61" s="1809"/>
      <c r="I61" s="129"/>
      <c r="J61" s="2522">
        <f>J59+1</f>
        <v>7</v>
      </c>
      <c r="K61" s="3615" t="s">
        <v>1374</v>
      </c>
      <c r="L61" s="3615"/>
      <c r="M61" s="2539"/>
      <c r="N61" s="2540" t="e">
        <f ca="1">ROUND(N59*10000/'数据-汇总表'!E3,0)</f>
        <v>#VALUE!</v>
      </c>
      <c r="O61" s="2541"/>
    </row>
    <row r="62" spans="1:35" ht="12.75">
      <c r="A62" s="3581" t="s">
        <v>1375</v>
      </c>
      <c r="B62" s="358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0"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0"/>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40"/>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40"/>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0"/>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0"/>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40"/>
      <c r="K69" s="1331" t="s">
        <v>1393</v>
      </c>
      <c r="L69" s="1331"/>
      <c r="M69" s="302" t="e">
        <f ca="1">ROUND(SUM(M63:M68),0)</f>
        <v>#VALUE!</v>
      </c>
      <c r="N69" s="2544"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2" t="s">
        <v>2128</v>
      </c>
      <c r="H90" s="364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0" t="s">
        <v>1422</v>
      </c>
      <c r="F92" s="3561"/>
      <c r="G92" s="3561"/>
      <c r="H92" s="357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4" t="str">
        <f>C4</f>
        <v>比较法-商业</v>
      </c>
      <c r="D101" s="2585" t="str">
        <f>D4</f>
        <v>收益法 (元)</v>
      </c>
      <c r="E101" s="3637" t="s">
        <v>1431</v>
      </c>
      <c r="F101" s="3594"/>
      <c r="G101" s="1826" t="s">
        <v>1432</v>
      </c>
      <c r="H101" s="2594" t="e">
        <f ca="1">H118</f>
        <v>#REF!</v>
      </c>
      <c r="I101" s="129"/>
    </row>
    <row r="102" spans="1:35" ht="18.75" customHeight="1">
      <c r="A102" s="3596" t="s">
        <v>1433</v>
      </c>
      <c r="B102" s="2583" t="s">
        <v>1432</v>
      </c>
      <c r="C102" s="2584">
        <f ca="1">IF(D32="楼面单价",ROUND(C19,0),C19)</f>
        <v>399.34109999999998</v>
      </c>
      <c r="D102" s="2585">
        <f ca="1">IF(D32="楼面单价",ROUND(D19,0),D19)</f>
        <v>227.5557</v>
      </c>
      <c r="E102" s="3637"/>
      <c r="F102" s="3594"/>
      <c r="G102" s="1826" t="s">
        <v>1434</v>
      </c>
      <c r="H102" s="2554" t="e">
        <f ca="1">I118</f>
        <v>#REF!</v>
      </c>
      <c r="I102" s="129"/>
    </row>
    <row r="103" spans="1:35" ht="42.75" customHeight="1">
      <c r="A103" s="3596"/>
      <c r="B103" s="2583" t="s">
        <v>1434</v>
      </c>
      <c r="C103" s="2586">
        <f ca="1">C20</f>
        <v>45896</v>
      </c>
      <c r="D103" s="2587">
        <f ca="1">D20</f>
        <v>26153</v>
      </c>
      <c r="E103" s="3631" t="s">
        <v>1435</v>
      </c>
      <c r="F103" s="3632"/>
      <c r="G103" s="1827" t="s">
        <v>1436</v>
      </c>
      <c r="H103" s="2594">
        <f>IF(D36="正常操作",H104+H105+H106,H105+H106)</f>
        <v>0</v>
      </c>
      <c r="I103" s="129"/>
    </row>
    <row r="104" spans="1:35" ht="18.75" customHeight="1">
      <c r="A104" s="359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3" t="str">
        <f>IF(项目基本情况!E8="已注销","——","3.房地产抵押价值")</f>
        <v>3.房地产抵押价值</v>
      </c>
      <c r="F107" s="3594"/>
      <c r="G107" s="1826" t="s">
        <v>1432</v>
      </c>
      <c r="H107" s="2594" t="e">
        <f ca="1">IF(E107="——","——",H101-H103)</f>
        <v>#REF!</v>
      </c>
      <c r="I107" s="129"/>
    </row>
    <row r="108" spans="1:35" ht="18.75" customHeight="1">
      <c r="A108" s="129"/>
      <c r="B108" s="129"/>
      <c r="C108" s="129"/>
      <c r="D108" s="129"/>
      <c r="E108" s="3593"/>
      <c r="F108" s="3594"/>
      <c r="G108" s="1826"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1432</v>
      </c>
      <c r="H109" s="2597" t="str">
        <f>IF(E109="——","——",H101-H105-H106)</f>
        <v>——</v>
      </c>
      <c r="I109" s="129"/>
    </row>
    <row r="110" spans="1:35" ht="18.75" customHeight="1">
      <c r="A110" s="129"/>
      <c r="B110" s="129"/>
      <c r="C110" s="129"/>
      <c r="D110" s="129"/>
      <c r="E110" s="3593"/>
      <c r="F110" s="3594"/>
      <c r="G110" s="1826" t="s">
        <v>1434</v>
      </c>
      <c r="H110" s="255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26"/>
      <c r="F112" s="3627"/>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87.01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24495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5"/>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58.484099999999998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5"/>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4" t="s">
        <v>1591</v>
      </c>
    </row>
    <row r="43" spans="1:7" ht="13.5" customHeight="1">
      <c r="A43" s="780" t="s">
        <v>347</v>
      </c>
      <c r="B43" s="215" t="s">
        <v>1545</v>
      </c>
      <c r="C43" s="238">
        <f ca="1">ROUND(IF('数据-取费表'!B22&lt;=1,C39*F22*'数据-取费表'!B20/2,C39*(POWER((1+F22),'数据-取费表'!B20/2)-1)),0)</f>
        <v>294</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20698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2378807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2108</v>
      </c>
      <c r="E6" s="302" t="s">
        <v>696</v>
      </c>
      <c r="F6" s="303">
        <f ca="1">INDIRECT("'数据-取费表'!u"&amp;$G$1)</f>
        <v>0</v>
      </c>
      <c r="G6" s="1383"/>
      <c r="H6" s="1068" t="s">
        <v>398</v>
      </c>
      <c r="I6" s="3649" t="s">
        <v>694</v>
      </c>
      <c r="J6" s="301">
        <f ca="1">ROUND(M6*M8*M7*(1-M9)/10000,0)</f>
        <v>0</v>
      </c>
      <c r="K6" s="15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23"/>
  <sheetViews>
    <sheetView workbookViewId="0">
      <selection activeCell="H37" sqref="H37"/>
    </sheetView>
  </sheetViews>
  <sheetFormatPr defaultRowHeight="13.5"/>
  <cols>
    <col min="10" max="10" width="10.5" bestFit="1" customWidth="1"/>
  </cols>
  <sheetData>
    <row r="1" spans="1:6">
      <c r="A1" s="3459" t="s">
        <v>3435</v>
      </c>
    </row>
    <row r="2" spans="1:6">
      <c r="A2" s="3459" t="s">
        <v>3441</v>
      </c>
      <c r="B2" s="3459" t="s">
        <v>3442</v>
      </c>
      <c r="C2" s="3459" t="s">
        <v>3438</v>
      </c>
      <c r="D2" s="3459" t="s">
        <v>3439</v>
      </c>
      <c r="E2" s="3459" t="s">
        <v>3433</v>
      </c>
      <c r="F2" s="3459" t="s">
        <v>3434</v>
      </c>
    </row>
    <row r="3" spans="1:6">
      <c r="A3" s="3458" t="str">
        <f>典型户型修正!A25</f>
        <v>2-10</v>
      </c>
      <c r="B3">
        <f>典型户型修正!B25</f>
        <v>223.14</v>
      </c>
      <c r="C3">
        <f ca="1">典型户型修正!R25</f>
        <v>35176</v>
      </c>
      <c r="D3">
        <f ca="1">ROUND(C3*B3/10000,2)</f>
        <v>784.92</v>
      </c>
      <c r="E3">
        <v>774.99</v>
      </c>
      <c r="F3" s="3460">
        <f ca="1">E3/D3-1</f>
        <v>-1.2650970799571892E-2</v>
      </c>
    </row>
    <row r="4" spans="1:6">
      <c r="A4" s="3458" t="str">
        <f>典型户型修正!A29</f>
        <v>10-18</v>
      </c>
      <c r="B4">
        <f>典型户型修正!B29</f>
        <v>153.22</v>
      </c>
      <c r="C4">
        <f ca="1">典型户型修正!R29</f>
        <v>39973</v>
      </c>
      <c r="D4">
        <f ca="1">ROUND(C4*B4/10000,2)</f>
        <v>612.47</v>
      </c>
      <c r="E4">
        <v>596.37</v>
      </c>
      <c r="F4" s="3460">
        <f t="shared" ref="F4:F5" ca="1" si="0">E4/D4-1</f>
        <v>-2.6287001812333677E-2</v>
      </c>
    </row>
    <row r="5" spans="1:6">
      <c r="B5">
        <f>SUM(B3:B4)</f>
        <v>376.36</v>
      </c>
      <c r="C5">
        <f ca="1">D5/B5*10000</f>
        <v>37129.078541821655</v>
      </c>
      <c r="D5">
        <f ca="1">SUM(D3:D4)</f>
        <v>1397.3899999999999</v>
      </c>
      <c r="E5">
        <f>SUM(E3:E4)</f>
        <v>1371.3600000000001</v>
      </c>
      <c r="F5" s="3460">
        <f t="shared" ca="1" si="0"/>
        <v>-1.8627584282125742E-2</v>
      </c>
    </row>
    <row r="10" spans="1:6">
      <c r="A10" s="3459" t="s">
        <v>3436</v>
      </c>
    </row>
    <row r="11" spans="1:6">
      <c r="A11" s="3459" t="s">
        <v>3441</v>
      </c>
      <c r="B11" s="3459" t="s">
        <v>3442</v>
      </c>
      <c r="C11" s="3459" t="s">
        <v>3438</v>
      </c>
      <c r="D11" s="3459" t="s">
        <v>3439</v>
      </c>
      <c r="E11" s="3459" t="s">
        <v>3433</v>
      </c>
      <c r="F11" s="3459" t="s">
        <v>3434</v>
      </c>
    </row>
    <row r="12" spans="1:6">
      <c r="A12" s="3458" t="str">
        <f>典型户型修正!A26</f>
        <v>3-4</v>
      </c>
      <c r="B12">
        <f>典型户型修正!B26</f>
        <v>201.95</v>
      </c>
      <c r="C12">
        <f ca="1">典型户型修正!R26</f>
        <v>39973</v>
      </c>
      <c r="D12">
        <f ca="1">ROUND(C12*B12/10000,2)</f>
        <v>807.25</v>
      </c>
      <c r="E12">
        <v>867.92</v>
      </c>
      <c r="F12" s="3460">
        <f ca="1">E12/D12-1</f>
        <v>7.5156395168782808E-2</v>
      </c>
    </row>
    <row r="13" spans="1:6">
      <c r="A13" s="3458" t="str">
        <f>典型户型修正!A27</f>
        <v>4-14</v>
      </c>
      <c r="B13">
        <f>典型户型修正!B27</f>
        <v>162.37</v>
      </c>
      <c r="C13">
        <f ca="1">典型户型修正!R27</f>
        <v>39973</v>
      </c>
      <c r="D13">
        <f ca="1">ROUND(C13*B13/10000,2)</f>
        <v>649.04</v>
      </c>
      <c r="E13">
        <v>709.24</v>
      </c>
      <c r="F13" s="3460">
        <f t="shared" ref="F13:F14" ca="1" si="1">E13/D13-1</f>
        <v>9.2752372735116495E-2</v>
      </c>
    </row>
    <row r="14" spans="1:6">
      <c r="B14">
        <f>SUM(B12:B13)</f>
        <v>364.32</v>
      </c>
      <c r="D14">
        <f ca="1">SUM(D12:D13)</f>
        <v>1456.29</v>
      </c>
      <c r="E14">
        <f>SUM(E12:E13)</f>
        <v>1577.1599999999999</v>
      </c>
      <c r="F14" s="3460">
        <f t="shared" ca="1" si="1"/>
        <v>8.299857857981574E-2</v>
      </c>
    </row>
    <row r="17" spans="1:6">
      <c r="A17" s="3459" t="s">
        <v>3440</v>
      </c>
    </row>
    <row r="18" spans="1:6">
      <c r="A18" s="3459" t="s">
        <v>3441</v>
      </c>
      <c r="B18" s="3459" t="s">
        <v>3442</v>
      </c>
      <c r="C18" s="3459" t="s">
        <v>3438</v>
      </c>
      <c r="D18" s="3459" t="s">
        <v>3439</v>
      </c>
      <c r="E18" s="3459" t="s">
        <v>3433</v>
      </c>
      <c r="F18" s="3459" t="s">
        <v>3434</v>
      </c>
    </row>
    <row r="19" spans="1:6">
      <c r="A19" s="3458" t="str">
        <f>典型户型修正!A24</f>
        <v>2-9</v>
      </c>
      <c r="B19">
        <f>典型户型修正!B24</f>
        <v>87.01</v>
      </c>
      <c r="C19">
        <f ca="1">典型户型修正!R24</f>
        <v>39973</v>
      </c>
      <c r="D19">
        <f ca="1">ROUND(C19*B19/10000,2)</f>
        <v>347.81</v>
      </c>
      <c r="E19">
        <v>364.95</v>
      </c>
      <c r="F19" s="3460">
        <f ca="1">E19/D19-1</f>
        <v>4.9279779189787432E-2</v>
      </c>
    </row>
    <row r="20" spans="1:6">
      <c r="A20" s="3458" t="str">
        <f>典型户型修正!A28</f>
        <v>10-2</v>
      </c>
      <c r="B20">
        <f>典型户型修正!B28</f>
        <v>141.19999999999999</v>
      </c>
      <c r="C20">
        <f ca="1">典型户型修正!R28</f>
        <v>39973</v>
      </c>
      <c r="D20">
        <f ca="1">ROUND(C20*B20/10000,2)</f>
        <v>564.41999999999996</v>
      </c>
      <c r="E20">
        <v>572.54</v>
      </c>
      <c r="F20" s="3460">
        <f t="shared" ref="F20" ca="1" si="2">E20/D20-1</f>
        <v>1.4386449806881307E-2</v>
      </c>
    </row>
    <row r="21" spans="1:6">
      <c r="A21" s="3459" t="s">
        <v>3437</v>
      </c>
      <c r="B21">
        <f>219.43</f>
        <v>219.43</v>
      </c>
      <c r="C21">
        <v>25050</v>
      </c>
      <c r="D21">
        <f>ROUND(C21*B21/10000,2)</f>
        <v>549.66999999999996</v>
      </c>
      <c r="E21">
        <v>627.62</v>
      </c>
      <c r="F21" s="3460">
        <f t="shared" ref="F21" si="3">E21/D21-1</f>
        <v>0.14181236014335874</v>
      </c>
    </row>
    <row r="22" spans="1:6">
      <c r="B22">
        <f>SUM(B19:B21)</f>
        <v>447.64</v>
      </c>
      <c r="D22">
        <f ca="1">SUM(D19:D21)</f>
        <v>1461.9</v>
      </c>
      <c r="E22">
        <f>SUM(E19:E21)</f>
        <v>1565.1100000000001</v>
      </c>
      <c r="F22" s="3460">
        <f t="shared" ref="F22:F23" ca="1" si="4">E22/D22-1</f>
        <v>7.0599904234215805E-2</v>
      </c>
    </row>
    <row r="23" spans="1:6">
      <c r="D23">
        <f ca="1">D5+D14+D22</f>
        <v>4315.58</v>
      </c>
      <c r="E23">
        <f>E5+E14+E22</f>
        <v>4513.63</v>
      </c>
      <c r="F23" s="3460">
        <f t="shared" ca="1" si="4"/>
        <v>4.589186158059877E-2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9" sqref="W29:W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89">
        <v>100</v>
      </c>
      <c r="E4" s="989">
        <v>100</v>
      </c>
      <c r="F4" s="989">
        <v>100</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56" t="s">
        <v>3430</v>
      </c>
      <c r="D17" s="3457" t="s">
        <v>3432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3765</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38859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968.88999999999987</v>
      </c>
      <c r="C22" s="3652" t="s">
        <v>27</v>
      </c>
      <c r="D22" s="3653"/>
      <c r="E22" s="3653"/>
      <c r="F22" s="3653"/>
      <c r="G22" s="3653"/>
      <c r="H22" s="3653"/>
      <c r="I22" s="3653"/>
      <c r="J22" s="3653"/>
      <c r="K22" s="3653"/>
      <c r="L22" s="3653"/>
      <c r="M22" s="3653"/>
      <c r="N22" s="3653"/>
      <c r="O22" s="3653"/>
      <c r="P22" s="3653"/>
      <c r="Q22" s="3654"/>
      <c r="R22" s="663">
        <f ca="1">ROUND(S22*10000/B22,0)</f>
        <v>38859</v>
      </c>
      <c r="S22" s="21">
        <f ca="1">SUM(S24:S10000)</f>
        <v>3765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3423</v>
      </c>
      <c r="B24" s="665">
        <v>87.01</v>
      </c>
      <c r="C24" s="2809">
        <v>1</v>
      </c>
      <c r="D24" s="2810"/>
      <c r="E24" s="2809">
        <v>1</v>
      </c>
      <c r="F24" s="2810"/>
      <c r="G24" s="2809">
        <v>1</v>
      </c>
      <c r="H24" s="2810"/>
      <c r="I24" s="2809">
        <v>1</v>
      </c>
      <c r="J24" s="2810"/>
      <c r="K24" s="2809">
        <v>1</v>
      </c>
      <c r="L24" s="2810"/>
      <c r="M24" s="2809">
        <v>1</v>
      </c>
      <c r="N24" s="2810"/>
      <c r="O24" s="2809">
        <v>1</v>
      </c>
      <c r="P24" s="2810" t="s">
        <v>3429</v>
      </c>
      <c r="Q24" s="2809">
        <v>1</v>
      </c>
      <c r="R24" s="668">
        <f ca="1">结果表!G20</f>
        <v>39973</v>
      </c>
      <c r="S24" s="666">
        <f t="shared" ref="S24:S54" ca="1" si="11">ROUND(R24*B24/10000,0)</f>
        <v>348</v>
      </c>
      <c r="T24" s="730">
        <f ca="1">S25+S29</f>
        <v>1397</v>
      </c>
      <c r="U24" s="730">
        <f>B25+B29</f>
        <v>376.36</v>
      </c>
      <c r="V24" s="730">
        <f ca="1">T24/U24</f>
        <v>3.7118716122861088</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5" t="s">
        <v>3424</v>
      </c>
      <c r="B25" s="54">
        <v>223.14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3431</v>
      </c>
      <c r="Q25" s="21">
        <f>(SUMIF($17:$17,P25,$18:$18)-SUMIF($17:$17,$P$24,$18:$18)+100)/100</f>
        <v>0.88</v>
      </c>
      <c r="R25" s="663">
        <f ca="1">IF(B25="",0,ROUND($R$24*C25*E25*G25*I25*K25*M25*O25*Q25,0))</f>
        <v>35176</v>
      </c>
      <c r="S25" s="316">
        <f t="shared" ca="1" si="11"/>
        <v>785</v>
      </c>
    </row>
    <row r="26" spans="1:45">
      <c r="A26" s="3455" t="s">
        <v>3425</v>
      </c>
      <c r="B26" s="54">
        <v>201.95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0" t="s">
        <v>3429</v>
      </c>
      <c r="Q26" s="21">
        <f t="shared" ref="Q26:Q89" si="19">(SUMIF($17:$17,P26,$18:$18)-SUMIF($17:$17,$P$24,$18:$18)+100)/100</f>
        <v>1</v>
      </c>
      <c r="R26" s="663">
        <f t="shared" ref="R26:R89" ca="1" si="20">IF(B26="",0,ROUND($R$24*C26*E26*G26*I26*K26*M26*O26*Q26,0))</f>
        <v>39973</v>
      </c>
      <c r="S26" s="316">
        <f t="shared" ca="1" si="11"/>
        <v>807</v>
      </c>
    </row>
    <row r="27" spans="1:45">
      <c r="A27" s="3455" t="s">
        <v>3426</v>
      </c>
      <c r="B27" s="54">
        <v>162.37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2810" t="s">
        <v>3429</v>
      </c>
      <c r="Q27" s="21">
        <f t="shared" si="19"/>
        <v>1</v>
      </c>
      <c r="R27" s="663">
        <f t="shared" ca="1" si="20"/>
        <v>39973</v>
      </c>
      <c r="S27" s="316">
        <f t="shared" ca="1" si="11"/>
        <v>649</v>
      </c>
    </row>
    <row r="28" spans="1:45">
      <c r="A28" s="3455" t="s">
        <v>3427</v>
      </c>
      <c r="B28" s="54">
        <v>141.19999999999999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2810" t="s">
        <v>3429</v>
      </c>
      <c r="Q28" s="21">
        <f t="shared" si="19"/>
        <v>1</v>
      </c>
      <c r="R28" s="663">
        <f t="shared" ca="1" si="20"/>
        <v>39973</v>
      </c>
      <c r="S28" s="316">
        <f t="shared" ca="1" si="11"/>
        <v>564</v>
      </c>
    </row>
    <row r="29" spans="1:45">
      <c r="A29" s="3455" t="s">
        <v>3428</v>
      </c>
      <c r="B29" s="54">
        <v>153.22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0" t="s">
        <v>3429</v>
      </c>
      <c r="Q29" s="21">
        <f t="shared" si="19"/>
        <v>1</v>
      </c>
      <c r="R29" s="663">
        <f t="shared" ca="1" si="20"/>
        <v>39973</v>
      </c>
      <c r="S29" s="316">
        <f t="shared" ca="1" si="11"/>
        <v>612</v>
      </c>
    </row>
    <row r="30" spans="1:45">
      <c r="A30" s="3455"/>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3455"/>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3455"/>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3455"/>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3455"/>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3455"/>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3455"/>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3455"/>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8" zoomScaleNormal="70" zoomScaleSheetLayoutView="100" workbookViewId="0">
      <selection activeCell="N24" sqref="N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3393</v>
      </c>
      <c r="F1" s="1878" t="s">
        <v>3394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399.34109999999998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45896</v>
      </c>
      <c r="C3" s="354" t="s">
        <v>1768</v>
      </c>
      <c r="D3" s="353">
        <f>IF(D1="",'数据-汇总表'!E3,SUMIF('数据-汇总表'!$C19:$C33,D1,'数据-汇总表'!$E19:$E33))</f>
        <v>87.01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2" t="s">
        <v>1772</v>
      </c>
      <c r="AC4" s="3674" t="s">
        <v>1773</v>
      </c>
    </row>
    <row r="5" spans="1:29" ht="15">
      <c r="A5" s="358"/>
      <c r="B5" s="359"/>
      <c r="C5" s="3700" t="s">
        <v>3416</v>
      </c>
      <c r="D5" s="3696"/>
      <c r="E5" s="3703" t="s">
        <v>3417</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2"/>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2"/>
      <c r="AC6" s="3676"/>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6"/>
      <c r="M7" s="2717"/>
      <c r="N7" s="2717"/>
      <c r="O7" s="2717"/>
      <c r="P7" s="3697" t="s">
        <v>1680</v>
      </c>
      <c r="Q7" s="3699"/>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75" thickBot="1">
      <c r="A8" s="362" t="s">
        <v>1681</v>
      </c>
      <c r="B8" s="363"/>
      <c r="C8" s="368" t="s">
        <v>3395</v>
      </c>
      <c r="D8" s="365">
        <v>100</v>
      </c>
      <c r="E8" s="368" t="s">
        <v>3418</v>
      </c>
      <c r="F8" s="367">
        <f>SUMIF(61:61,E8,62:62)-SUMIF(61:61,C8,62:62)+100</f>
        <v>102</v>
      </c>
      <c r="G8" s="368" t="s">
        <v>3418</v>
      </c>
      <c r="H8" s="365">
        <f>SUMIF(61:61,G8,62:62)-SUMIF(61:61,C8,62:62)+100</f>
        <v>102</v>
      </c>
      <c r="I8" s="368" t="s">
        <v>3418</v>
      </c>
      <c r="J8" s="365">
        <f>SUMIF(61:61,I8,62:62)-SUMIF(61:61,C8,62:62)+100</f>
        <v>102</v>
      </c>
      <c r="K8" s="560"/>
      <c r="L8" s="2716"/>
      <c r="M8" s="2717"/>
      <c r="N8" s="2717"/>
      <c r="O8" s="2717"/>
      <c r="P8" s="3697" t="s">
        <v>1683</v>
      </c>
      <c r="Q8" s="3698"/>
      <c r="R8" s="701" t="s">
        <v>14</v>
      </c>
      <c r="S8" s="702">
        <f t="shared" si="0"/>
        <v>102</v>
      </c>
      <c r="T8" s="701" t="s">
        <v>14</v>
      </c>
      <c r="U8" s="702">
        <f t="shared" si="1"/>
        <v>102</v>
      </c>
      <c r="V8" s="701" t="s">
        <v>14</v>
      </c>
      <c r="W8" s="702">
        <f t="shared" si="2"/>
        <v>102</v>
      </c>
      <c r="X8" s="703"/>
      <c r="Y8" s="3697" t="s">
        <v>1683</v>
      </c>
      <c r="Z8" s="369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3" t="s">
        <v>1691</v>
      </c>
      <c r="Q15" s="1351" t="str">
        <f t="shared" si="6"/>
        <v>商业繁华度</v>
      </c>
      <c r="R15" s="705" t="s">
        <v>14</v>
      </c>
      <c r="S15" s="706">
        <f t="shared" si="0"/>
        <v>100</v>
      </c>
      <c r="T15" s="705" t="s">
        <v>14</v>
      </c>
      <c r="U15" s="706">
        <f t="shared" si="1"/>
        <v>100</v>
      </c>
      <c r="V15" s="705" t="s">
        <v>14</v>
      </c>
      <c r="W15" s="706">
        <f t="shared" si="2"/>
        <v>100</v>
      </c>
      <c r="X15" s="1354"/>
      <c r="Y15" s="3665"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64"/>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t="s">
        <v>3398</v>
      </c>
      <c r="D18" s="401"/>
      <c r="E18" s="1900" t="s">
        <v>3398</v>
      </c>
      <c r="F18" s="404"/>
      <c r="G18" s="1900" t="s">
        <v>3398</v>
      </c>
      <c r="H18" s="399"/>
      <c r="I18" s="1900" t="s">
        <v>3398</v>
      </c>
      <c r="J18" s="399"/>
      <c r="K18" s="564"/>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t="s">
        <v>3398</v>
      </c>
      <c r="D20" s="399"/>
      <c r="E20" s="1900" t="s">
        <v>3398</v>
      </c>
      <c r="F20" s="400"/>
      <c r="G20" s="1900" t="s">
        <v>3398</v>
      </c>
      <c r="H20" s="399"/>
      <c r="I20" s="1900" t="s">
        <v>3398</v>
      </c>
      <c r="J20" s="399"/>
      <c r="K20" s="564"/>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t="s">
        <v>3399</v>
      </c>
      <c r="D22" s="399"/>
      <c r="E22" s="398" t="s">
        <v>3399</v>
      </c>
      <c r="F22" s="400"/>
      <c r="G22" s="398" t="s">
        <v>3399</v>
      </c>
      <c r="H22" s="399"/>
      <c r="I22" s="398" t="s">
        <v>3399</v>
      </c>
      <c r="J22" s="399"/>
      <c r="K22" s="1129"/>
      <c r="L22" s="2721"/>
      <c r="M22" s="2715"/>
      <c r="N22" s="2715"/>
      <c r="O22" s="2715"/>
      <c r="P22" s="3664"/>
      <c r="Q22" s="1351"/>
      <c r="R22" s="705"/>
      <c r="S22" s="706"/>
      <c r="T22" s="705"/>
      <c r="U22" s="706"/>
      <c r="V22" s="705"/>
      <c r="W22" s="706"/>
      <c r="X22" s="1354"/>
      <c r="Y22" s="366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4"/>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t="s">
        <v>3398</v>
      </c>
      <c r="D24" s="399"/>
      <c r="E24" s="1900" t="s">
        <v>3398</v>
      </c>
      <c r="F24" s="400"/>
      <c r="G24" s="1900" t="s">
        <v>3398</v>
      </c>
      <c r="H24" s="399"/>
      <c r="I24" s="1900" t="s">
        <v>3398</v>
      </c>
      <c r="J24" s="399"/>
      <c r="K24" s="564"/>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4"/>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4"/>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4"/>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1783</v>
      </c>
      <c r="C28" s="565" t="s">
        <v>3414</v>
      </c>
      <c r="D28" s="386">
        <v>100</v>
      </c>
      <c r="E28" s="565" t="s">
        <v>3415</v>
      </c>
      <c r="F28" s="412">
        <f>SUMIF(92:92,E28,93:93)-SUMIF(92:92,C28,93:93)+100</f>
        <v>112</v>
      </c>
      <c r="G28" s="565" t="s">
        <v>3415</v>
      </c>
      <c r="H28" s="386">
        <f>SUMIF(92:92,G28,93:93)-SUMIF(92:92,C28,93:93)+100</f>
        <v>112</v>
      </c>
      <c r="I28" s="565" t="s">
        <v>3415</v>
      </c>
      <c r="J28" s="386">
        <f>SUMIF(92:92,I28,93:93)-SUMIF(92:92,C28,93:93)+100</f>
        <v>112</v>
      </c>
      <c r="K28" s="562"/>
      <c r="L28" s="2721"/>
      <c r="M28" s="2715"/>
      <c r="N28" s="2715"/>
      <c r="O28" s="2715"/>
      <c r="P28" s="3664"/>
      <c r="Q28" s="1351" t="str">
        <f t="shared" si="11"/>
        <v>楼层</v>
      </c>
      <c r="R28" s="705" t="s">
        <v>14</v>
      </c>
      <c r="S28" s="706">
        <f t="shared" ref="S28:S46" si="12">F28</f>
        <v>112</v>
      </c>
      <c r="T28" s="705" t="s">
        <v>14</v>
      </c>
      <c r="U28" s="706">
        <f t="shared" ref="U28:U46" si="13">H28</f>
        <v>112</v>
      </c>
      <c r="V28" s="705" t="s">
        <v>14</v>
      </c>
      <c r="W28" s="706">
        <f t="shared" ref="W28:W46" si="14">J28</f>
        <v>112</v>
      </c>
      <c r="X28" s="1354"/>
      <c r="Y28" s="3666"/>
      <c r="Z28" s="1355" t="str">
        <f t="shared" ref="Z28:Z46" si="15">Q28</f>
        <v>楼层</v>
      </c>
      <c r="AA28" s="1352">
        <f t="shared" si="3"/>
        <v>0.8928571428571429</v>
      </c>
      <c r="AB28" s="1352">
        <f t="shared" si="4"/>
        <v>0.8928571428571429</v>
      </c>
      <c r="AC28" s="1352">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4"/>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7" t="s">
        <v>1696</v>
      </c>
      <c r="Q32" s="1351" t="str">
        <f t="shared" si="11"/>
        <v>商业类型</v>
      </c>
      <c r="R32" s="705" t="s">
        <v>14</v>
      </c>
      <c r="S32" s="706">
        <f t="shared" si="12"/>
        <v>100</v>
      </c>
      <c r="T32" s="705" t="s">
        <v>14</v>
      </c>
      <c r="U32" s="706">
        <f t="shared" si="13"/>
        <v>100</v>
      </c>
      <c r="V32" s="705" t="s">
        <v>14</v>
      </c>
      <c r="W32" s="706">
        <f t="shared" si="14"/>
        <v>100</v>
      </c>
      <c r="X32" s="1354"/>
      <c r="Y32" s="3670"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99</v>
      </c>
      <c r="I33" s="380">
        <v>163.33000000000001</v>
      </c>
      <c r="J33" s="127">
        <f>LOOKUP(I33,103:103,104:104)-LOOKUP(C33,103:103,104:104)+100</f>
        <v>99</v>
      </c>
      <c r="K33" s="562"/>
      <c r="L33" s="2720"/>
      <c r="M33" s="2722"/>
      <c r="N33" s="2722"/>
      <c r="O33" s="2722"/>
      <c r="P33" s="3668"/>
      <c r="Q33" s="707" t="str">
        <f t="shared" si="11"/>
        <v>项目建筑规模</v>
      </c>
      <c r="R33" s="708" t="s">
        <v>14</v>
      </c>
      <c r="S33" s="709">
        <f t="shared" si="12"/>
        <v>100</v>
      </c>
      <c r="T33" s="708" t="s">
        <v>14</v>
      </c>
      <c r="U33" s="709">
        <f t="shared" si="13"/>
        <v>99</v>
      </c>
      <c r="V33" s="708" t="s">
        <v>14</v>
      </c>
      <c r="W33" s="709">
        <f t="shared" si="14"/>
        <v>99</v>
      </c>
      <c r="X33" s="710"/>
      <c r="Y33" s="3670"/>
      <c r="Z33" s="711" t="str">
        <f t="shared" si="15"/>
        <v>项目建筑规模</v>
      </c>
      <c r="AA33" s="1352">
        <f t="shared" si="3"/>
        <v>1</v>
      </c>
      <c r="AB33" s="1352">
        <f t="shared" si="4"/>
        <v>1.0101010101010102</v>
      </c>
      <c r="AC33" s="1352">
        <f t="shared" si="5"/>
        <v>1.0101010101010102</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c r="L34" s="2721"/>
      <c r="M34" s="2715"/>
      <c r="N34" s="2715"/>
      <c r="O34" s="2715"/>
      <c r="P34" s="3668"/>
      <c r="Q34" s="1351" t="str">
        <f t="shared" si="11"/>
        <v>建筑结构</v>
      </c>
      <c r="R34" s="705" t="s">
        <v>14</v>
      </c>
      <c r="S34" s="706">
        <f t="shared" si="12"/>
        <v>100</v>
      </c>
      <c r="T34" s="705" t="s">
        <v>14</v>
      </c>
      <c r="U34" s="706">
        <f t="shared" si="13"/>
        <v>100</v>
      </c>
      <c r="V34" s="705" t="s">
        <v>14</v>
      </c>
      <c r="W34" s="706">
        <f t="shared" si="14"/>
        <v>100</v>
      </c>
      <c r="X34" s="1354"/>
      <c r="Y34" s="367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8"/>
      <c r="Q35" s="1351" t="str">
        <f t="shared" si="11"/>
        <v>公共部分装修</v>
      </c>
      <c r="R35" s="705" t="s">
        <v>14</v>
      </c>
      <c r="S35" s="706">
        <f t="shared" si="12"/>
        <v>100</v>
      </c>
      <c r="T35" s="705" t="s">
        <v>14</v>
      </c>
      <c r="U35" s="706">
        <f t="shared" si="13"/>
        <v>100</v>
      </c>
      <c r="V35" s="705" t="s">
        <v>14</v>
      </c>
      <c r="W35" s="706">
        <f t="shared" si="14"/>
        <v>100</v>
      </c>
      <c r="X35" s="1354"/>
      <c r="Y35" s="3670"/>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68"/>
      <c r="Q36" s="1351" t="str">
        <f t="shared" si="11"/>
        <v>成新度</v>
      </c>
      <c r="R36" s="705" t="s">
        <v>14</v>
      </c>
      <c r="S36" s="706">
        <f t="shared" si="12"/>
        <v>100</v>
      </c>
      <c r="T36" s="705" t="s">
        <v>14</v>
      </c>
      <c r="U36" s="706">
        <f t="shared" si="13"/>
        <v>100</v>
      </c>
      <c r="V36" s="705" t="s">
        <v>14</v>
      </c>
      <c r="W36" s="706">
        <f t="shared" si="14"/>
        <v>100</v>
      </c>
      <c r="X36" s="1354"/>
      <c r="Y36" s="3670"/>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8"/>
      <c r="Q37" s="1342"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8" t="s">
        <v>1696</v>
      </c>
      <c r="Q38" s="1351" t="str">
        <f t="shared" si="11"/>
        <v>业态</v>
      </c>
      <c r="R38" s="705" t="s">
        <v>14</v>
      </c>
      <c r="S38" s="706">
        <f t="shared" si="12"/>
        <v>100</v>
      </c>
      <c r="T38" s="705" t="s">
        <v>14</v>
      </c>
      <c r="U38" s="706">
        <f t="shared" si="13"/>
        <v>100</v>
      </c>
      <c r="V38" s="705" t="s">
        <v>14</v>
      </c>
      <c r="W38" s="706">
        <f t="shared" si="14"/>
        <v>100</v>
      </c>
      <c r="X38" s="1354"/>
      <c r="Y38" s="367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8"/>
      <c r="Q39" s="1351" t="str">
        <f t="shared" si="11"/>
        <v>层高</v>
      </c>
      <c r="R39" s="705" t="s">
        <v>14</v>
      </c>
      <c r="S39" s="706">
        <f t="shared" si="12"/>
        <v>100</v>
      </c>
      <c r="T39" s="705" t="s">
        <v>14</v>
      </c>
      <c r="U39" s="706">
        <f t="shared" si="13"/>
        <v>100</v>
      </c>
      <c r="V39" s="705" t="s">
        <v>14</v>
      </c>
      <c r="W39" s="706">
        <f t="shared" si="14"/>
        <v>100</v>
      </c>
      <c r="X39" s="1354"/>
      <c r="Y39" s="367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8"/>
      <c r="Q40" s="1351" t="str">
        <f t="shared" si="11"/>
        <v>单套建筑面积</v>
      </c>
      <c r="R40" s="705" t="s">
        <v>14</v>
      </c>
      <c r="S40" s="706">
        <f t="shared" si="12"/>
        <v>100</v>
      </c>
      <c r="T40" s="705" t="s">
        <v>14</v>
      </c>
      <c r="U40" s="706">
        <f t="shared" si="13"/>
        <v>100</v>
      </c>
      <c r="V40" s="705" t="s">
        <v>14</v>
      </c>
      <c r="W40" s="706">
        <f t="shared" si="14"/>
        <v>100</v>
      </c>
      <c r="X40" s="1354"/>
      <c r="Y40" s="367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8"/>
      <c r="Q42" s="1351" t="str">
        <f t="shared" si="11"/>
        <v>内部装修</v>
      </c>
      <c r="R42" s="705" t="s">
        <v>14</v>
      </c>
      <c r="S42" s="706">
        <f t="shared" si="12"/>
        <v>100</v>
      </c>
      <c r="T42" s="705" t="s">
        <v>14</v>
      </c>
      <c r="U42" s="706">
        <f t="shared" si="13"/>
        <v>100</v>
      </c>
      <c r="V42" s="705" t="s">
        <v>14</v>
      </c>
      <c r="W42" s="706">
        <f t="shared" si="14"/>
        <v>100</v>
      </c>
      <c r="X42" s="1354"/>
      <c r="Y42" s="367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8"/>
      <c r="Q43" s="1351" t="str">
        <f t="shared" si="11"/>
        <v>内部装修维护情况</v>
      </c>
      <c r="R43" s="705" t="s">
        <v>14</v>
      </c>
      <c r="S43" s="706">
        <f t="shared" si="12"/>
        <v>100</v>
      </c>
      <c r="T43" s="705" t="s">
        <v>14</v>
      </c>
      <c r="U43" s="706">
        <f t="shared" si="13"/>
        <v>100</v>
      </c>
      <c r="V43" s="705" t="s">
        <v>14</v>
      </c>
      <c r="W43" s="706">
        <f t="shared" si="14"/>
        <v>100</v>
      </c>
      <c r="X43" s="1354"/>
      <c r="Y43" s="367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8"/>
      <c r="Q44" s="1342">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8"/>
      <c r="Q45" s="1351">
        <f t="shared" si="11"/>
        <v>111</v>
      </c>
      <c r="R45" s="705" t="s">
        <v>14</v>
      </c>
      <c r="S45" s="706">
        <f t="shared" si="12"/>
        <v>100</v>
      </c>
      <c r="T45" s="705" t="s">
        <v>14</v>
      </c>
      <c r="U45" s="706">
        <f t="shared" si="13"/>
        <v>100</v>
      </c>
      <c r="V45" s="705" t="s">
        <v>14</v>
      </c>
      <c r="W45" s="706">
        <f t="shared" si="14"/>
        <v>100</v>
      </c>
      <c r="X45" s="1354"/>
      <c r="Y45" s="367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9"/>
      <c r="Q46" s="1351">
        <f t="shared" si="11"/>
        <v>111</v>
      </c>
      <c r="R46" s="705" t="s">
        <v>14</v>
      </c>
      <c r="S46" s="706">
        <f t="shared" si="12"/>
        <v>100</v>
      </c>
      <c r="T46" s="705" t="s">
        <v>14</v>
      </c>
      <c r="U46" s="706">
        <f t="shared" si="13"/>
        <v>100</v>
      </c>
      <c r="V46" s="705" t="s">
        <v>14</v>
      </c>
      <c r="W46" s="706">
        <f t="shared" si="14"/>
        <v>100</v>
      </c>
      <c r="X46" s="1354"/>
      <c r="Y46" s="3671"/>
      <c r="Z46" s="1355">
        <f t="shared" si="15"/>
        <v>111</v>
      </c>
      <c r="AA46" s="1352">
        <f t="shared" si="3"/>
        <v>1</v>
      </c>
      <c r="AB46" s="1352">
        <f t="shared" si="4"/>
        <v>1</v>
      </c>
      <c r="AC46" s="1352">
        <f t="shared" si="5"/>
        <v>1</v>
      </c>
    </row>
    <row r="47" spans="1:29" ht="15">
      <c r="A47" s="430" t="s">
        <v>1708</v>
      </c>
      <c r="B47" s="431"/>
      <c r="C47" s="1153" t="s">
        <v>0</v>
      </c>
      <c r="D47" s="1154"/>
      <c r="E47" s="1155">
        <v>53725</v>
      </c>
      <c r="F47" s="1156"/>
      <c r="G47" s="1157">
        <v>48656</v>
      </c>
      <c r="H47" s="1158"/>
      <c r="I47" s="1155">
        <v>53878</v>
      </c>
      <c r="J47" s="1158"/>
      <c r="K47" s="714"/>
      <c r="L47" s="2723"/>
      <c r="M47" s="2724"/>
      <c r="N47" s="2715"/>
      <c r="O47" s="2724"/>
      <c r="P47" s="3658" t="str">
        <f>A47</f>
        <v>成交单价（元/平方米）</v>
      </c>
      <c r="Q47" s="3658"/>
      <c r="R47" s="3672">
        <f>E47</f>
        <v>53725</v>
      </c>
      <c r="S47" s="3672"/>
      <c r="T47" s="3672">
        <f>G47</f>
        <v>48656</v>
      </c>
      <c r="U47" s="3672"/>
      <c r="V47" s="3672">
        <f>I47</f>
        <v>53878</v>
      </c>
      <c r="W47" s="3672"/>
      <c r="X47" s="690"/>
      <c r="Y47" s="712"/>
      <c r="Z47" s="690"/>
      <c r="AA47" s="690"/>
      <c r="AB47" s="690"/>
      <c r="AC47" s="690"/>
    </row>
    <row r="48" spans="1:29" ht="15.75" thickBot="1">
      <c r="A48" s="437" t="s">
        <v>1793</v>
      </c>
      <c r="B48" s="438"/>
      <c r="C48" s="1159">
        <f>R49</f>
        <v>45896</v>
      </c>
      <c r="D48" s="2316" t="s">
        <v>2137</v>
      </c>
      <c r="E48" s="1160">
        <f>R48</f>
        <v>47028</v>
      </c>
      <c r="F48" s="2317"/>
      <c r="G48" s="1159">
        <f>T48</f>
        <v>43021</v>
      </c>
      <c r="H48" s="2317"/>
      <c r="I48" s="1160">
        <f>V48</f>
        <v>47638</v>
      </c>
      <c r="J48" s="2317"/>
      <c r="K48" s="2319">
        <f>F48+H48+J48</f>
        <v>0</v>
      </c>
      <c r="L48" s="2723"/>
      <c r="M48" s="2724"/>
      <c r="N48" s="2715"/>
      <c r="O48" s="2724"/>
      <c r="P48" s="3658" t="str">
        <f>A48</f>
        <v>比较价值（元/平方米）</v>
      </c>
      <c r="Q48" s="3658"/>
      <c r="R48" s="3659">
        <f>IF(F1="售价",ROUND(PRODUCT(R47,AA7:AA46),0),ROUND(PRODUCT(R47,AA7:AA46),1))</f>
        <v>47028</v>
      </c>
      <c r="S48" s="3659"/>
      <c r="T48" s="3659">
        <f>IF(F1="售价",ROUND(PRODUCT(T47,AB7:AB46),0),ROUND(PRODUCT(T47,AB7:AB46),1))</f>
        <v>43021</v>
      </c>
      <c r="U48" s="3659"/>
      <c r="V48" s="3659">
        <f>IF(F1="售价",ROUND(PRODUCT(V47,AC7:AC46),0),ROUND(PRODUCT(V47,AC7:AC46),1))</f>
        <v>47638</v>
      </c>
      <c r="W48" s="3659"/>
      <c r="X48" s="690"/>
      <c r="Y48" s="690"/>
      <c r="Z48" s="690"/>
      <c r="AA48" s="690"/>
      <c r="AB48" s="690"/>
      <c r="AC48" s="690"/>
    </row>
    <row r="49" spans="1:29" ht="15.75" thickBot="1">
      <c r="A49" s="441" t="s">
        <v>1794</v>
      </c>
      <c r="B49" s="442"/>
      <c r="C49" s="1162">
        <f>R49</f>
        <v>45896</v>
      </c>
      <c r="D49" s="1162"/>
      <c r="E49" s="1162"/>
      <c r="F49" s="1162"/>
      <c r="G49" s="1162"/>
      <c r="H49" s="1162"/>
      <c r="I49" s="1162"/>
      <c r="J49" s="1162"/>
      <c r="K49" s="715"/>
      <c r="L49" s="2723"/>
      <c r="M49" s="2724"/>
      <c r="N49" s="2715"/>
      <c r="O49" s="2724"/>
      <c r="P49" s="3660" t="str">
        <f>A49</f>
        <v>估价对象XX用房的比较价值（楼面单价，元/平方米）</v>
      </c>
      <c r="Q49" s="3661"/>
      <c r="R49" s="3662">
        <f>IF(F1="售价",ROUND(IF(D48="简单平均",AVERAGE(R48:V48),R48*F48+T48*H48+V48*J48),0),ROUND(IF(D48="简单平均",AVERAGE(R48:V48),R48*F48+T48*H48+V48*J48),1))</f>
        <v>45896</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0.14240452496385125</v>
      </c>
      <c r="F52" s="449" t="str">
        <f>IF(OR(E52&gt;=0.3,E52&lt;=-0.3),"超过30%","")</f>
        <v/>
      </c>
      <c r="G52" s="448">
        <f>IF(G47&lt;G48,G48/G47-1,G47/G48-1)</f>
        <v>0.13098254340903281</v>
      </c>
      <c r="H52" s="449" t="str">
        <f>IF(OR(G52&gt;=0.3,G52&lt;=-0.3),"超过30%","")</f>
        <v/>
      </c>
      <c r="I52" s="448">
        <f>IF(I47&lt;I48,I48/I47-1,I47/I48-1)</f>
        <v>0.1309878668290021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9.3140559261755795E-2</v>
      </c>
      <c r="F53" s="449" t="str">
        <f>IF(OR(E53&gt;=0.2,E53&lt;=-0.2),"超过20%","")</f>
        <v/>
      </c>
      <c r="G53" s="448">
        <f>IF(G48&lt;I48,I48/G48-1,G48/I48-1)</f>
        <v>0.10731968108598133</v>
      </c>
      <c r="H53" s="449" t="str">
        <f>IF(OR(G53&gt;=0.2,G53&lt;=-0.2),"超过20%","")</f>
        <v/>
      </c>
      <c r="I53" s="448">
        <f>IF(I48&lt;E48,E48/I48-1,I48/E48-1)</f>
        <v>1.2970996002381607E-2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3419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1"/>
      <c r="D90" s="3451"/>
      <c r="E90" s="3451"/>
      <c r="F90" s="3451"/>
      <c r="G90" s="3451"/>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t="s">
        <v>3402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88</v>
      </c>
      <c r="E93" s="485">
        <v>80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3404</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3399</v>
      </c>
      <c r="D112" s="503" t="s">
        <v>3405</v>
      </c>
      <c r="E112" s="503" t="s">
        <v>3406</v>
      </c>
      <c r="F112" s="503" t="s">
        <v>3407</v>
      </c>
      <c r="G112" s="503" t="s">
        <v>3408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3410</v>
      </c>
      <c r="D114" s="3451" t="s">
        <v>3409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3411</v>
      </c>
      <c r="D122" s="3451" t="s">
        <v>3412</v>
      </c>
      <c r="E122" s="3451" t="s">
        <v>3413</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30.78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227.5557</v>
      </c>
      <c r="C2" s="1386" t="s">
        <v>879</v>
      </c>
      <c r="D2" s="1470">
        <f ca="1">C40+J29+L46</f>
        <v>2275557</v>
      </c>
      <c r="E2" s="1387" t="s">
        <v>880</v>
      </c>
      <c r="F2" s="1388"/>
      <c r="G2" s="2705"/>
      <c r="H2" s="2694"/>
      <c r="I2" s="2694"/>
      <c r="J2" s="2694"/>
      <c r="K2" s="2695"/>
      <c r="L2" s="2694"/>
      <c r="M2" s="2694"/>
    </row>
    <row r="3" spans="1:37" ht="18" customHeight="1" thickBot="1">
      <c r="A3" s="1389" t="s">
        <v>881</v>
      </c>
      <c r="B3" s="1390">
        <f ca="1">IF(ISERROR(D2/F43),0,ROUND(D2/F43,0))</f>
        <v>26153</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143093</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142914</v>
      </c>
      <c r="D6" s="155" t="s">
        <v>2105</v>
      </c>
      <c r="E6" s="302" t="s">
        <v>696</v>
      </c>
      <c r="F6" s="303">
        <f ca="1">INDIRECT("'数据-取费表'!u"&amp;$G$1)</f>
        <v>5</v>
      </c>
      <c r="G6" s="1383"/>
      <c r="H6" s="1068" t="s">
        <v>398</v>
      </c>
      <c r="I6" s="3649" t="s">
        <v>694</v>
      </c>
      <c r="J6" s="301">
        <f ca="1">ROUND(M6*M8*M7*(1-M9),0)</f>
        <v>0</v>
      </c>
      <c r="K6" s="137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87.01</v>
      </c>
      <c r="G7" s="1383"/>
      <c r="H7" s="304"/>
      <c r="I7" s="3650"/>
      <c r="J7" s="306"/>
      <c r="K7" s="307"/>
      <c r="L7" s="302" t="s">
        <v>697</v>
      </c>
      <c r="M7" s="303">
        <f ca="1">F7</f>
        <v>87.01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179</v>
      </c>
      <c r="D10" s="1365" t="s">
        <v>2115</v>
      </c>
      <c r="E10" s="313" t="s">
        <v>701</v>
      </c>
      <c r="F10" s="1115" t="s">
        <v>3421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391545</v>
      </c>
      <c r="D14" s="1344" t="s">
        <v>708</v>
      </c>
      <c r="E14" s="1341"/>
      <c r="F14" s="319"/>
      <c r="G14" s="1383"/>
      <c r="H14" s="982" t="s">
        <v>398</v>
      </c>
      <c r="I14" s="302" t="s">
        <v>709</v>
      </c>
      <c r="J14" s="21">
        <f ca="1">C29</f>
        <v>582567</v>
      </c>
      <c r="K14" s="12"/>
      <c r="L14" s="807"/>
      <c r="M14" s="808"/>
    </row>
    <row r="15" spans="1:37" s="1396" customFormat="1" ht="18" customHeight="1" thickBot="1">
      <c r="A15" s="982" t="s">
        <v>399</v>
      </c>
      <c r="B15" s="302" t="s">
        <v>710</v>
      </c>
      <c r="C15" s="21">
        <f ca="1">ROUND(C14*F15,0)</f>
        <v>11746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2913</v>
      </c>
      <c r="K16" s="1086" t="s">
        <v>715</v>
      </c>
      <c r="L16" s="1087"/>
      <c r="M16" s="1071"/>
    </row>
    <row r="17" spans="1:37" s="1396" customFormat="1" ht="18" customHeight="1">
      <c r="A17" s="982" t="s">
        <v>681</v>
      </c>
      <c r="B17" s="302" t="s">
        <v>716</v>
      </c>
      <c r="C17" s="21">
        <f ca="1">ROUND(F17*(F43+INDIRECT("'数据-取费表'!S"&amp;$G$1)),0)</f>
        <v>17402</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5873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426566</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8531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582567</v>
      </c>
      <c r="D29" s="1091"/>
      <c r="E29" s="1089"/>
      <c r="F29" s="1092"/>
      <c r="G29" s="1395"/>
      <c r="H29" s="334" t="s">
        <v>396</v>
      </c>
      <c r="I29" s="335" t="s">
        <v>768</v>
      </c>
      <c r="J29" s="336">
        <f ca="1">ROUND(J26/(1+F40)^F41,0)</f>
        <v>0</v>
      </c>
      <c r="K29" s="337" t="s">
        <v>769</v>
      </c>
      <c r="L29" s="338"/>
      <c r="M29" s="339">
        <f ca="1">INDIRECT("'数据-取费表'!k"&amp;$G$1)</f>
        <v>87.01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28387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23955</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7622</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2913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804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715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114706</v>
      </c>
      <c r="D39" s="1094" t="s">
        <v>773</v>
      </c>
      <c r="E39" s="1095"/>
      <c r="F39" s="1096"/>
      <c r="G39" s="1383"/>
      <c r="H39" s="2699">
        <f ca="1">C39/C5</f>
        <v>0.80161852781058474</v>
      </c>
      <c r="I39" s="1397"/>
      <c r="J39" s="1398"/>
      <c r="K39" s="2703"/>
      <c r="L39" s="2699"/>
      <c r="M39" s="2699"/>
    </row>
    <row r="40" spans="1:18" ht="18" customHeight="1">
      <c r="A40" s="299" t="s">
        <v>395</v>
      </c>
      <c r="B40" s="300" t="s">
        <v>774</v>
      </c>
      <c r="C40" s="301">
        <f ca="1">ROUND(C39*(1-((1+F42)/(1+F40))^F41)/(F40-F42),0)</f>
        <v>2250149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25861</v>
      </c>
      <c r="D43" s="337" t="s">
        <v>777</v>
      </c>
      <c r="E43" s="338" t="s">
        <v>778</v>
      </c>
      <c r="F43" s="339">
        <f ca="1">INDIRECT("'数据-取费表'!k"&amp;$G$1)</f>
        <v>87.01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-230.4726</v>
      </c>
      <c r="D45" s="3431" t="s">
        <v>3356</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f ca="1">IF(M47="住宅",0,IF(L48&gt;J51,L60,J60))</f>
        <v>25408</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3403</v>
      </c>
      <c r="K47" s="1415" t="s">
        <v>816</v>
      </c>
      <c r="L47" s="1416">
        <f ca="1">INDIRECT("'数据-取费表'!d"&amp;$G$1)</f>
        <v>40</v>
      </c>
      <c r="M47" s="1379" t="str">
        <f>IF(ISNUMBER(FIND("住宅",C1)),"住宅","非住宅")</f>
        <v>非住宅</v>
      </c>
      <c r="O47" s="1417" t="s">
        <v>403</v>
      </c>
      <c r="P47" s="1418" t="s">
        <v>817</v>
      </c>
      <c r="Q47" s="1419">
        <f ca="1">C40+J29</f>
        <v>2250149</v>
      </c>
      <c r="R47" s="1419" t="s">
        <v>818</v>
      </c>
    </row>
    <row r="48" spans="1:18" s="1383" customFormat="1" ht="28.5" thickBot="1">
      <c r="A48" s="1109" t="s">
        <v>438</v>
      </c>
      <c r="B48" s="300" t="s">
        <v>692</v>
      </c>
      <c r="C48" s="1358">
        <f ca="1">C49+C53+C55</f>
        <v>0</v>
      </c>
      <c r="D48" s="1111"/>
      <c r="E48" s="1112"/>
      <c r="F48" s="962"/>
      <c r="G48" s="722"/>
      <c r="H48" s="723"/>
      <c r="I48" s="1420" t="s">
        <v>819</v>
      </c>
      <c r="J48" s="1421" t="s">
        <v>3422</v>
      </c>
      <c r="K48" s="1422" t="s">
        <v>820</v>
      </c>
      <c r="L48" s="1423">
        <f ca="1">INDIRECT("'数据-取费表'!f"&amp;$G$1)</f>
        <v>30.78</v>
      </c>
      <c r="O48" s="1417" t="s">
        <v>404</v>
      </c>
      <c r="P48" s="1418" t="s">
        <v>821</v>
      </c>
      <c r="Q48" s="1419">
        <f ca="1">J60</f>
        <v>25408</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2019</v>
      </c>
      <c r="K49" s="1422" t="s">
        <v>824</v>
      </c>
      <c r="L49" s="1426"/>
      <c r="O49" s="1427" t="s">
        <v>405</v>
      </c>
      <c r="P49" s="1418" t="s">
        <v>825</v>
      </c>
      <c r="Q49" s="1419">
        <f ca="1">C29</f>
        <v>582567</v>
      </c>
      <c r="R49" s="1419" t="s">
        <v>818</v>
      </c>
    </row>
    <row r="50" spans="1:18" s="1383" customFormat="1" ht="13.5" thickBot="1">
      <c r="A50" s="976"/>
      <c r="B50" s="979"/>
      <c r="C50" s="980"/>
      <c r="D50" s="953"/>
      <c r="E50" s="1055" t="s">
        <v>697</v>
      </c>
      <c r="F50" s="1056">
        <f ca="1">F7</f>
        <v>87.01</v>
      </c>
      <c r="H50" s="723"/>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1438293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30.78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30.78</v>
      </c>
      <c r="K53" s="3647" t="s">
        <v>837</v>
      </c>
      <c r="L53" s="3648"/>
      <c r="O53" s="1417" t="s">
        <v>409</v>
      </c>
      <c r="P53" s="1418" t="s">
        <v>838</v>
      </c>
      <c r="Q53" s="1419">
        <f ca="1">Q47+Q48</f>
        <v>2275557</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535962</v>
      </c>
      <c r="D56" s="1446"/>
      <c r="E56" s="1447"/>
      <c r="F56" s="1439"/>
      <c r="I56" s="1448" t="s">
        <v>842</v>
      </c>
      <c r="J56" s="1449" t="s">
        <v>3385</v>
      </c>
      <c r="K56" s="1420" t="s">
        <v>843</v>
      </c>
      <c r="L56" s="1423" t="str">
        <f ca="1">IF(L48&lt;J51,"——",L48-J51)</f>
        <v>——</v>
      </c>
      <c r="O56" s="1417" t="s">
        <v>403</v>
      </c>
      <c r="P56" s="1418" t="s">
        <v>817</v>
      </c>
      <c r="Q56" s="1419">
        <f ca="1">C40+J29</f>
        <v>2250149</v>
      </c>
      <c r="R56" s="1419" t="s">
        <v>818</v>
      </c>
    </row>
    <row r="57" spans="1:18" s="1383" customFormat="1" ht="24.75" thickBot="1">
      <c r="A57" s="1450"/>
      <c r="B57" s="950" t="s">
        <v>767</v>
      </c>
      <c r="C57" s="238">
        <f ca="1">C29</f>
        <v>582567</v>
      </c>
      <c r="D57" s="1451"/>
      <c r="E57" s="1452"/>
      <c r="F57" s="1453"/>
      <c r="I57" s="1454" t="s">
        <v>844</v>
      </c>
      <c r="J57" s="1455">
        <f ca="1">IF(OR(M47="住宅",J51&lt;L48,J56="是"),"——",J51-L48)</f>
        <v>24.22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3717</v>
      </c>
      <c r="D58" s="960" t="s">
        <v>715</v>
      </c>
      <c r="E58" s="961"/>
      <c r="F58" s="962"/>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235357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25408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2250149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804</v>
      </c>
      <c r="D65" s="964" t="s">
        <v>743</v>
      </c>
      <c r="E65" s="950" t="s">
        <v>744</v>
      </c>
      <c r="F65" s="330">
        <f t="shared" ca="1" si="0"/>
        <v>1.5E-3</v>
      </c>
      <c r="I65" s="1461" t="s">
        <v>867</v>
      </c>
      <c r="J65" s="1462">
        <v>40</v>
      </c>
      <c r="K65" s="1462">
        <v>30</v>
      </c>
      <c r="L65" s="1462">
        <v>50</v>
      </c>
      <c r="M65" s="1464">
        <v>0.02</v>
      </c>
      <c r="O65" s="1417" t="s">
        <v>403</v>
      </c>
      <c r="P65" s="1418" t="s">
        <v>868</v>
      </c>
      <c r="Q65" s="1419">
        <f ca="1">C40+J29</f>
        <v>2250149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-3717</v>
      </c>
      <c r="D67" s="963" t="s">
        <v>753</v>
      </c>
      <c r="E67" s="968"/>
      <c r="F67" s="969"/>
      <c r="O67" s="1427" t="s">
        <v>405</v>
      </c>
      <c r="P67" s="1418" t="s">
        <v>850</v>
      </c>
      <c r="Q67" s="1465">
        <f ca="1">L51</f>
        <v>1438293</v>
      </c>
      <c r="R67" s="1419" t="s">
        <v>870</v>
      </c>
    </row>
    <row r="68" spans="1:18" s="1383" customFormat="1" ht="16.5" thickBot="1">
      <c r="A68" s="947" t="s">
        <v>395</v>
      </c>
      <c r="B68" s="948" t="s">
        <v>774</v>
      </c>
      <c r="C68" s="301">
        <f ca="1">ROUND(C67*(1-((1+F70)/(1+F68))^F69)/(F68-F70),0)</f>
        <v>-54577</v>
      </c>
      <c r="D68" s="965" t="s">
        <v>758</v>
      </c>
      <c r="E68" s="950" t="s">
        <v>759</v>
      </c>
      <c r="F68" s="312">
        <f ca="1">F40</f>
        <v>5.5E-2</v>
      </c>
      <c r="O68" s="1427" t="s">
        <v>406</v>
      </c>
      <c r="P68" s="1466" t="s">
        <v>871</v>
      </c>
      <c r="Q68" s="1419">
        <f ca="1">ROUND(Q69-Q70*Q71,0)</f>
        <v>77189</v>
      </c>
      <c r="R68" s="1419" t="s">
        <v>414</v>
      </c>
    </row>
    <row r="69" spans="1:18" s="1383" customFormat="1" ht="13.5" thickBot="1">
      <c r="A69" s="951"/>
      <c r="B69" s="952"/>
      <c r="C69" s="306"/>
      <c r="D69" s="970" t="s">
        <v>762</v>
      </c>
      <c r="E69" s="950" t="s">
        <v>763</v>
      </c>
      <c r="F69" s="333">
        <f ca="1">F41</f>
        <v>30.78</v>
      </c>
      <c r="O69" s="1427" t="s">
        <v>411</v>
      </c>
      <c r="P69" s="1466" t="s">
        <v>872</v>
      </c>
      <c r="Q69" s="1419">
        <f ca="1">C39</f>
        <v>114706</v>
      </c>
      <c r="R69" s="1419" t="s">
        <v>818</v>
      </c>
    </row>
    <row r="70" spans="1:18" s="1383" customFormat="1" ht="13.5" thickBot="1">
      <c r="A70" s="954"/>
      <c r="B70" s="955"/>
      <c r="C70" s="310"/>
      <c r="D70" s="966"/>
      <c r="E70" s="950" t="s">
        <v>766</v>
      </c>
      <c r="F70" s="1053"/>
      <c r="O70" s="1427" t="s">
        <v>412</v>
      </c>
      <c r="P70" s="1466" t="s">
        <v>873</v>
      </c>
      <c r="Q70" s="1419">
        <f ca="1">C13</f>
        <v>535962</v>
      </c>
      <c r="R70" s="1419" t="s">
        <v>818</v>
      </c>
    </row>
    <row r="71" spans="1:18" s="1383" customFormat="1" ht="13.5" thickBot="1">
      <c r="A71" s="971" t="s">
        <v>396</v>
      </c>
      <c r="B71" s="972" t="s">
        <v>776</v>
      </c>
      <c r="C71" s="336">
        <f ca="1">ROUND(C68/F71,0)</f>
        <v>-627</v>
      </c>
      <c r="D71" s="973" t="s">
        <v>777</v>
      </c>
      <c r="E71" s="974" t="s">
        <v>778</v>
      </c>
      <c r="F71" s="339">
        <f ca="1">F43</f>
        <v>87.01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37517</v>
      </c>
      <c r="D75" s="1383"/>
      <c r="E75" s="1383"/>
      <c r="F75" s="1383"/>
      <c r="K75" s="1401"/>
      <c r="L75" s="1383"/>
      <c r="O75" s="1417" t="s">
        <v>409</v>
      </c>
      <c r="P75" s="1418" t="s">
        <v>838</v>
      </c>
      <c r="Q75" s="1419">
        <f ca="1">Q65+Q66</f>
        <v>2250149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11" t="s">
        <v>2320</v>
      </c>
      <c r="K2" s="371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3" t="s">
        <v>2330</v>
      </c>
      <c r="K3" s="371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3" t="s">
        <v>2332</v>
      </c>
      <c r="K4" s="371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9" t="s">
        <v>2336</v>
      </c>
      <c r="B6" s="3720"/>
      <c r="C6" s="3721"/>
      <c r="D6" s="2869"/>
      <c r="E6" s="2870"/>
      <c r="F6" s="2871"/>
      <c r="G6" s="2872"/>
      <c r="H6" s="2847"/>
      <c r="I6" s="2848"/>
      <c r="J6" s="3705">
        <v>1</v>
      </c>
      <c r="K6" s="370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5"/>
      <c r="K7" s="370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2" t="s">
        <v>2350</v>
      </c>
      <c r="C8" s="3723"/>
      <c r="D8" s="2888" t="s">
        <v>2351</v>
      </c>
      <c r="E8" s="2889" t="s">
        <v>2352</v>
      </c>
      <c r="F8" s="2890" t="s">
        <v>2353</v>
      </c>
      <c r="G8" s="2891"/>
      <c r="H8" s="2847"/>
      <c r="I8" s="2848"/>
      <c r="J8" s="3705"/>
      <c r="K8" s="370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2" t="s">
        <v>2356</v>
      </c>
      <c r="C9" s="3723"/>
      <c r="D9" s="2888">
        <f>ROUND(D6*E9,0)</f>
        <v>0</v>
      </c>
      <c r="E9" s="2892"/>
      <c r="F9" s="2893" t="s">
        <v>2357</v>
      </c>
      <c r="G9" s="2872"/>
      <c r="H9" s="2847"/>
      <c r="I9" s="2848"/>
      <c r="J9" s="3705"/>
      <c r="K9" s="3707"/>
      <c r="L9" s="2882" t="s">
        <v>2358</v>
      </c>
      <c r="M9" s="2883"/>
      <c r="N9" s="2859"/>
      <c r="O9" s="2884"/>
      <c r="P9" s="2884"/>
      <c r="Q9" s="2885">
        <v>365</v>
      </c>
      <c r="R9" s="2886">
        <f t="shared" si="0"/>
        <v>0</v>
      </c>
      <c r="S9" s="2840"/>
      <c r="T9" s="2840"/>
      <c r="U9" s="2840"/>
      <c r="V9" s="2848"/>
    </row>
    <row r="10" spans="1:22" s="2852" customFormat="1" ht="13.15" customHeight="1">
      <c r="A10" s="2887">
        <v>2</v>
      </c>
      <c r="B10" s="3722" t="s">
        <v>2359</v>
      </c>
      <c r="C10" s="3723"/>
      <c r="D10" s="2888">
        <f>ROUND(D6*E10,0)</f>
        <v>0</v>
      </c>
      <c r="E10" s="2892"/>
      <c r="F10" s="2893" t="s">
        <v>2360</v>
      </c>
      <c r="G10" s="2872"/>
      <c r="H10" s="2847"/>
      <c r="I10" s="2848"/>
      <c r="J10" s="3705"/>
      <c r="K10" s="3707"/>
      <c r="L10" s="2882" t="s">
        <v>2361</v>
      </c>
      <c r="M10" s="2883"/>
      <c r="N10" s="2859"/>
      <c r="O10" s="2884"/>
      <c r="P10" s="2884"/>
      <c r="Q10" s="2885">
        <v>365</v>
      </c>
      <c r="R10" s="2886">
        <f t="shared" si="0"/>
        <v>0</v>
      </c>
      <c r="S10" s="2840"/>
      <c r="T10" s="2840"/>
      <c r="U10" s="2840"/>
      <c r="V10" s="2848"/>
    </row>
    <row r="11" spans="1:22" s="2852" customFormat="1" ht="13.15" customHeight="1">
      <c r="A11" s="2887">
        <v>3</v>
      </c>
      <c r="B11" s="3722" t="s">
        <v>2362</v>
      </c>
      <c r="C11" s="3723"/>
      <c r="D11" s="2888">
        <f>D12+D14+D15+D16</f>
        <v>0</v>
      </c>
      <c r="E11" s="2894" t="e">
        <f>D11/D6</f>
        <v>#DIV/0!</v>
      </c>
      <c r="F11" s="2890"/>
      <c r="G11" s="2891"/>
      <c r="H11" s="2847"/>
      <c r="I11" s="2848"/>
      <c r="J11" s="3705"/>
      <c r="K11" s="370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5" t="s">
        <v>2365</v>
      </c>
      <c r="C12" s="3716"/>
      <c r="D12" s="2896">
        <f>ROUND(D13*1.2%*(1-30%),0)</f>
        <v>0</v>
      </c>
      <c r="E12" s="2897">
        <v>1.2E-2</v>
      </c>
      <c r="F12" s="2890" t="s">
        <v>2366</v>
      </c>
      <c r="G12" s="2891"/>
      <c r="H12" s="2847"/>
      <c r="I12" s="2848"/>
      <c r="J12" s="3705"/>
      <c r="K12" s="370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5"/>
      <c r="K13" s="370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5" t="s">
        <v>2371</v>
      </c>
      <c r="C14" s="3716"/>
      <c r="D14" s="2896">
        <f>ROUND(E14*B5/10000,0)</f>
        <v>0</v>
      </c>
      <c r="E14" s="2885"/>
      <c r="F14" s="2890" t="s">
        <v>2372</v>
      </c>
      <c r="G14" s="2891"/>
      <c r="H14" s="2847"/>
      <c r="I14" s="2848"/>
      <c r="J14" s="3705"/>
      <c r="K14" s="370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5" t="s">
        <v>2375</v>
      </c>
      <c r="C15" s="3716"/>
      <c r="D15" s="2896">
        <f>ROUND(D6*E15,0)</f>
        <v>0</v>
      </c>
      <c r="E15" s="2897">
        <v>5.5E-2</v>
      </c>
      <c r="F15" s="2890" t="s">
        <v>2376</v>
      </c>
      <c r="G15" s="2872"/>
      <c r="H15" s="2847"/>
      <c r="I15" s="2848"/>
      <c r="J15" s="3705">
        <v>2</v>
      </c>
      <c r="K15" s="370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5" t="s">
        <v>2384</v>
      </c>
      <c r="C16" s="3716"/>
      <c r="D16" s="2907">
        <f>D6*E16</f>
        <v>0</v>
      </c>
      <c r="E16" s="2908"/>
      <c r="F16" s="2893" t="s">
        <v>2385</v>
      </c>
      <c r="G16" s="2872"/>
      <c r="H16" s="2847"/>
      <c r="I16" s="2848"/>
      <c r="J16" s="3705"/>
      <c r="K16" s="370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2387</v>
      </c>
      <c r="C17" s="3718"/>
      <c r="D17" s="2910">
        <f>ROUND(D6*E17,0)</f>
        <v>0</v>
      </c>
      <c r="E17" s="2911"/>
      <c r="F17" s="2912" t="s">
        <v>2388</v>
      </c>
      <c r="G17" s="2872"/>
      <c r="H17" s="2847"/>
      <c r="I17" s="2848"/>
      <c r="J17" s="3705"/>
      <c r="K17" s="370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5"/>
      <c r="K18" s="370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5"/>
      <c r="K19" s="370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5"/>
      <c r="K21" s="370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5"/>
      <c r="K22" s="370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5"/>
      <c r="K23" s="370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5"/>
      <c r="K24" s="370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1" t="s">
        <v>2320</v>
      </c>
      <c r="K32" s="371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3" t="s">
        <v>2330</v>
      </c>
      <c r="K33" s="371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3" t="s">
        <v>2332</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5">
        <v>1</v>
      </c>
      <c r="K36" s="370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5"/>
      <c r="K40" s="370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227.5557</v>
      </c>
      <c r="C2" s="1871" t="s">
        <v>1651</v>
      </c>
      <c r="D2" s="1872" t="s">
        <v>1652</v>
      </c>
      <c r="E2" s="2606">
        <f>SUM(E6:E13)</f>
        <v>87.01</v>
      </c>
      <c r="F2" s="2706"/>
      <c r="G2" s="1488"/>
      <c r="H2" s="1488"/>
      <c r="I2" s="1488"/>
      <c r="J2" s="1488"/>
      <c r="K2" s="1488"/>
      <c r="L2" s="1488"/>
      <c r="M2" s="1488"/>
      <c r="N2" s="1488"/>
      <c r="O2" s="1488"/>
      <c r="P2" s="1488"/>
      <c r="Q2" s="1488"/>
      <c r="R2" s="1488"/>
      <c r="S2" s="1488"/>
    </row>
    <row r="3" spans="1:22" ht="15.75">
      <c r="A3" s="1869" t="s">
        <v>686</v>
      </c>
      <c r="B3" s="2600">
        <f ca="1">ROUND(B2*10000/E2,0)</f>
        <v>26153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227.5557</v>
      </c>
      <c r="C6" s="1871" t="s">
        <v>1651</v>
      </c>
      <c r="D6" s="2708"/>
      <c r="E6" s="2605">
        <f>IF(OR(A6=0,F6="否"),0,'数据-取费表'!K6+'数据-取费表'!S6)</f>
        <v>87.01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87.01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4"/>
      <c r="M4" s="2715"/>
      <c r="N4" s="2715"/>
      <c r="O4" s="2715"/>
      <c r="P4" s="3681" t="s">
        <v>1672</v>
      </c>
      <c r="Q4" s="3682"/>
      <c r="R4" s="3687" t="s">
        <v>1668</v>
      </c>
      <c r="S4" s="3688"/>
      <c r="T4" s="3687" t="s">
        <v>1669</v>
      </c>
      <c r="U4" s="3688"/>
      <c r="V4" s="3672" t="s">
        <v>1670</v>
      </c>
      <c r="W4" s="3672"/>
      <c r="X4" s="1354"/>
      <c r="Y4" s="3687" t="s">
        <v>1672</v>
      </c>
      <c r="Z4" s="3688"/>
      <c r="AA4" s="3674" t="s">
        <v>1668</v>
      </c>
      <c r="AB4" s="3674" t="s">
        <v>1669</v>
      </c>
      <c r="AC4" s="3674" t="s">
        <v>1670</v>
      </c>
    </row>
    <row r="5" spans="1:29" ht="15">
      <c r="A5" s="358"/>
      <c r="B5" s="359"/>
      <c r="C5" s="3695" t="s">
        <v>1673</v>
      </c>
      <c r="D5" s="3696"/>
      <c r="E5" s="3726" t="s">
        <v>1674</v>
      </c>
      <c r="F5" s="3704"/>
      <c r="G5" s="3695" t="s">
        <v>1675</v>
      </c>
      <c r="H5" s="3696"/>
      <c r="I5" s="3695" t="s">
        <v>1676</v>
      </c>
      <c r="J5" s="3696"/>
      <c r="K5" s="188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188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3" t="s">
        <v>1691</v>
      </c>
      <c r="Q15" s="1351" t="str">
        <f t="shared" si="6"/>
        <v>居住社区成熟度</v>
      </c>
      <c r="R15" s="705" t="s">
        <v>18</v>
      </c>
      <c r="S15" s="706">
        <f t="shared" si="0"/>
        <v>100</v>
      </c>
      <c r="T15" s="705" t="s">
        <v>18</v>
      </c>
      <c r="U15" s="706">
        <f t="shared" si="1"/>
        <v>100</v>
      </c>
      <c r="V15" s="705" t="s">
        <v>18</v>
      </c>
      <c r="W15" s="706">
        <f t="shared" si="2"/>
        <v>100</v>
      </c>
      <c r="X15" s="1354"/>
      <c r="Y15" s="366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4"/>
      <c r="Q16" s="1351"/>
      <c r="R16" s="705"/>
      <c r="S16" s="706"/>
      <c r="T16" s="705"/>
      <c r="U16" s="706"/>
      <c r="V16" s="705"/>
      <c r="W16" s="706"/>
      <c r="X16" s="1354"/>
      <c r="Y16" s="366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4"/>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4"/>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4"/>
      <c r="Q22" s="1351"/>
      <c r="R22" s="705"/>
      <c r="S22" s="706"/>
      <c r="T22" s="705"/>
      <c r="U22" s="706"/>
      <c r="V22" s="705"/>
      <c r="W22" s="706"/>
      <c r="X22" s="1354"/>
      <c r="Y22" s="366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4"/>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4"/>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4"/>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4"/>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4"/>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4"/>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4"/>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7" t="s">
        <v>1696</v>
      </c>
      <c r="Q32" s="1351" t="str">
        <f t="shared" si="11"/>
        <v>建筑类型</v>
      </c>
      <c r="R32" s="705" t="s">
        <v>18</v>
      </c>
      <c r="S32" s="706">
        <f t="shared" si="12"/>
        <v>100</v>
      </c>
      <c r="T32" s="705" t="s">
        <v>18</v>
      </c>
      <c r="U32" s="706">
        <f t="shared" si="13"/>
        <v>100</v>
      </c>
      <c r="V32" s="705" t="s">
        <v>18</v>
      </c>
      <c r="W32" s="706">
        <f t="shared" si="14"/>
        <v>100</v>
      </c>
      <c r="X32" s="1354"/>
      <c r="Y32" s="367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8"/>
      <c r="Q34" s="1351" t="str">
        <f t="shared" si="11"/>
        <v>建筑结构</v>
      </c>
      <c r="R34" s="705" t="s">
        <v>18</v>
      </c>
      <c r="S34" s="706">
        <f t="shared" si="12"/>
        <v>100</v>
      </c>
      <c r="T34" s="705" t="s">
        <v>18</v>
      </c>
      <c r="U34" s="706">
        <f t="shared" si="13"/>
        <v>100</v>
      </c>
      <c r="V34" s="705" t="s">
        <v>18</v>
      </c>
      <c r="W34" s="706">
        <f t="shared" si="14"/>
        <v>100</v>
      </c>
      <c r="X34" s="1354"/>
      <c r="Y34" s="367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8"/>
      <c r="Q35" s="1351" t="str">
        <f t="shared" si="11"/>
        <v>建筑品质</v>
      </c>
      <c r="R35" s="705" t="s">
        <v>18</v>
      </c>
      <c r="S35" s="706">
        <f t="shared" si="12"/>
        <v>100</v>
      </c>
      <c r="T35" s="705" t="s">
        <v>18</v>
      </c>
      <c r="U35" s="706">
        <f t="shared" si="13"/>
        <v>100</v>
      </c>
      <c r="V35" s="705" t="s">
        <v>18</v>
      </c>
      <c r="W35" s="706">
        <f t="shared" si="14"/>
        <v>100</v>
      </c>
      <c r="X35" s="1354"/>
      <c r="Y35" s="367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8"/>
      <c r="Q36" s="1351" t="str">
        <f t="shared" si="11"/>
        <v>公共部分装修</v>
      </c>
      <c r="R36" s="705" t="s">
        <v>18</v>
      </c>
      <c r="S36" s="706">
        <f t="shared" si="12"/>
        <v>100</v>
      </c>
      <c r="T36" s="705" t="s">
        <v>18</v>
      </c>
      <c r="U36" s="706">
        <f t="shared" si="13"/>
        <v>100</v>
      </c>
      <c r="V36" s="705" t="s">
        <v>18</v>
      </c>
      <c r="W36" s="706">
        <f t="shared" si="14"/>
        <v>100</v>
      </c>
      <c r="X36" s="1354"/>
      <c r="Y36" s="367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8"/>
      <c r="Q37" s="1342"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8" t="s">
        <v>1696</v>
      </c>
      <c r="Q38" s="1351" t="str">
        <f t="shared" si="11"/>
        <v>物业管理</v>
      </c>
      <c r="R38" s="705" t="s">
        <v>18</v>
      </c>
      <c r="S38" s="706">
        <f t="shared" si="12"/>
        <v>100</v>
      </c>
      <c r="T38" s="705" t="s">
        <v>18</v>
      </c>
      <c r="U38" s="706">
        <f t="shared" si="13"/>
        <v>100</v>
      </c>
      <c r="V38" s="705" t="s">
        <v>18</v>
      </c>
      <c r="W38" s="706">
        <f t="shared" si="14"/>
        <v>100</v>
      </c>
      <c r="X38" s="1354"/>
      <c r="Y38" s="367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8"/>
      <c r="Q39" s="1351" t="str">
        <f t="shared" si="11"/>
        <v>市政基础设施</v>
      </c>
      <c r="R39" s="705" t="s">
        <v>18</v>
      </c>
      <c r="S39" s="706">
        <f t="shared" si="12"/>
        <v>100</v>
      </c>
      <c r="T39" s="705" t="s">
        <v>18</v>
      </c>
      <c r="U39" s="706">
        <f t="shared" si="13"/>
        <v>100</v>
      </c>
      <c r="V39" s="705" t="s">
        <v>18</v>
      </c>
      <c r="W39" s="706">
        <f t="shared" si="14"/>
        <v>100</v>
      </c>
      <c r="X39" s="1354"/>
      <c r="Y39" s="367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8"/>
      <c r="Q40" s="1351" t="str">
        <f t="shared" si="11"/>
        <v>房型</v>
      </c>
      <c r="R40" s="705" t="s">
        <v>18</v>
      </c>
      <c r="S40" s="706">
        <f t="shared" si="12"/>
        <v>100</v>
      </c>
      <c r="T40" s="705" t="s">
        <v>18</v>
      </c>
      <c r="U40" s="706">
        <f t="shared" si="13"/>
        <v>100</v>
      </c>
      <c r="V40" s="705" t="s">
        <v>18</v>
      </c>
      <c r="W40" s="706">
        <f t="shared" si="14"/>
        <v>100</v>
      </c>
      <c r="X40" s="1354"/>
      <c r="Y40" s="367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8"/>
      <c r="Q42" s="1351" t="str">
        <f t="shared" si="11"/>
        <v>内部装修</v>
      </c>
      <c r="R42" s="705" t="s">
        <v>18</v>
      </c>
      <c r="S42" s="706">
        <f t="shared" si="12"/>
        <v>100</v>
      </c>
      <c r="T42" s="705" t="s">
        <v>18</v>
      </c>
      <c r="U42" s="706">
        <f t="shared" si="13"/>
        <v>100</v>
      </c>
      <c r="V42" s="705" t="s">
        <v>18</v>
      </c>
      <c r="W42" s="706">
        <f t="shared" si="14"/>
        <v>100</v>
      </c>
      <c r="X42" s="1354"/>
      <c r="Y42" s="367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8"/>
      <c r="Q43" s="1351" t="str">
        <f t="shared" si="11"/>
        <v>内部装修维护情况</v>
      </c>
      <c r="R43" s="705" t="s">
        <v>18</v>
      </c>
      <c r="S43" s="706">
        <f t="shared" si="12"/>
        <v>100</v>
      </c>
      <c r="T43" s="705" t="s">
        <v>18</v>
      </c>
      <c r="U43" s="706">
        <f t="shared" si="13"/>
        <v>100</v>
      </c>
      <c r="V43" s="705" t="s">
        <v>18</v>
      </c>
      <c r="W43" s="706">
        <f t="shared" si="14"/>
        <v>100</v>
      </c>
      <c r="X43" s="1354"/>
      <c r="Y43" s="367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8"/>
      <c r="Q44" s="1342">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8"/>
      <c r="Q45" s="1351">
        <f t="shared" si="11"/>
        <v>111</v>
      </c>
      <c r="R45" s="705" t="s">
        <v>18</v>
      </c>
      <c r="S45" s="706">
        <f t="shared" si="12"/>
        <v>100</v>
      </c>
      <c r="T45" s="705" t="s">
        <v>18</v>
      </c>
      <c r="U45" s="706">
        <f t="shared" si="13"/>
        <v>100</v>
      </c>
      <c r="V45" s="705" t="s">
        <v>18</v>
      </c>
      <c r="W45" s="706">
        <f t="shared" si="14"/>
        <v>100</v>
      </c>
      <c r="X45" s="1354"/>
      <c r="Y45" s="367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9"/>
      <c r="Q46" s="1351">
        <f t="shared" si="11"/>
        <v>111</v>
      </c>
      <c r="R46" s="705" t="s">
        <v>17</v>
      </c>
      <c r="S46" s="706">
        <f t="shared" si="12"/>
        <v>100</v>
      </c>
      <c r="T46" s="705" t="s">
        <v>17</v>
      </c>
      <c r="U46" s="706">
        <f t="shared" si="13"/>
        <v>100</v>
      </c>
      <c r="V46" s="705" t="s">
        <v>17</v>
      </c>
      <c r="W46" s="706">
        <f t="shared" si="14"/>
        <v>100</v>
      </c>
      <c r="X46" s="1354"/>
      <c r="Y46" s="367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695" t="s">
        <v>1673</v>
      </c>
      <c r="D5" s="3696"/>
      <c r="E5" s="3726" t="s">
        <v>1674</v>
      </c>
      <c r="F5" s="3704"/>
      <c r="G5" s="3695" t="s">
        <v>1675</v>
      </c>
      <c r="H5" s="3696"/>
      <c r="I5" s="3695" t="s">
        <v>1676</v>
      </c>
      <c r="J5" s="3696"/>
      <c r="K5" s="559"/>
      <c r="L5" s="2714"/>
      <c r="M5" s="2715"/>
      <c r="N5" s="2715"/>
      <c r="O5" s="2715"/>
      <c r="P5" s="3735"/>
      <c r="Q5" s="3684"/>
      <c r="R5" s="3689"/>
      <c r="S5" s="3690"/>
      <c r="T5" s="3689"/>
      <c r="U5" s="3690"/>
      <c r="V5" s="3672"/>
      <c r="W5" s="3672"/>
      <c r="X5" s="1354"/>
      <c r="Y5" s="3689"/>
      <c r="Z5" s="3690"/>
      <c r="AA5" s="3675"/>
      <c r="AB5" s="3675"/>
      <c r="AC5" s="3731"/>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736"/>
      <c r="Q6" s="3686"/>
      <c r="R6" s="3689"/>
      <c r="S6" s="3690"/>
      <c r="T6" s="3691"/>
      <c r="U6" s="3692"/>
      <c r="V6" s="3672"/>
      <c r="W6" s="3672"/>
      <c r="X6" s="1354"/>
      <c r="Y6" s="3691"/>
      <c r="Z6" s="3692"/>
      <c r="AA6" s="3676"/>
      <c r="AB6" s="3676"/>
      <c r="AC6" s="373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3" t="s">
        <v>1691</v>
      </c>
      <c r="Q15" s="1351" t="str">
        <f t="shared" si="6"/>
        <v>办公集聚程度</v>
      </c>
      <c r="R15" s="705" t="s">
        <v>14</v>
      </c>
      <c r="S15" s="706">
        <f t="shared" si="0"/>
        <v>100</v>
      </c>
      <c r="T15" s="705" t="s">
        <v>14</v>
      </c>
      <c r="U15" s="706">
        <f t="shared" si="1"/>
        <v>100</v>
      </c>
      <c r="V15" s="705" t="s">
        <v>14</v>
      </c>
      <c r="W15" s="706">
        <f t="shared" si="2"/>
        <v>100</v>
      </c>
      <c r="X15" s="1354"/>
      <c r="Y15" s="366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64"/>
      <c r="Q16" s="1351"/>
      <c r="R16" s="705"/>
      <c r="S16" s="706"/>
      <c r="T16" s="705"/>
      <c r="U16" s="706"/>
      <c r="V16" s="705"/>
      <c r="W16" s="706"/>
      <c r="X16" s="1354"/>
      <c r="Y16" s="366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64"/>
      <c r="Q18" s="1351"/>
      <c r="R18" s="705"/>
      <c r="S18" s="706"/>
      <c r="T18" s="705"/>
      <c r="U18" s="706"/>
      <c r="V18" s="705"/>
      <c r="W18" s="706"/>
      <c r="X18" s="1354"/>
      <c r="Y18" s="366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64"/>
      <c r="Q20" s="1351"/>
      <c r="R20" s="705"/>
      <c r="S20" s="706"/>
      <c r="T20" s="705"/>
      <c r="U20" s="706"/>
      <c r="V20" s="705"/>
      <c r="W20" s="706"/>
      <c r="X20" s="1354"/>
      <c r="Y20" s="366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64"/>
      <c r="Q22" s="1351"/>
      <c r="R22" s="705"/>
      <c r="S22" s="706"/>
      <c r="T22" s="705"/>
      <c r="U22" s="706"/>
      <c r="V22" s="705"/>
      <c r="W22" s="706"/>
      <c r="X22" s="1354"/>
      <c r="Y22" s="366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4"/>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64"/>
      <c r="Q24" s="1351"/>
      <c r="R24" s="705"/>
      <c r="S24" s="706"/>
      <c r="T24" s="705"/>
      <c r="U24" s="706"/>
      <c r="V24" s="705"/>
      <c r="W24" s="706"/>
      <c r="X24" s="1354"/>
      <c r="Y24" s="366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4"/>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64"/>
      <c r="Q26" s="1351"/>
      <c r="R26" s="705"/>
      <c r="S26" s="706"/>
      <c r="T26" s="705"/>
      <c r="U26" s="706"/>
      <c r="V26" s="705"/>
      <c r="W26" s="706"/>
      <c r="X26" s="1354"/>
      <c r="Y26" s="366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4"/>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4"/>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4"/>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4"/>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7" t="s">
        <v>1696</v>
      </c>
      <c r="Q33" s="1351" t="str">
        <f t="shared" si="11"/>
        <v>建筑类型</v>
      </c>
      <c r="R33" s="705" t="s">
        <v>14</v>
      </c>
      <c r="S33" s="706">
        <f t="shared" si="12"/>
        <v>100</v>
      </c>
      <c r="T33" s="705" t="s">
        <v>14</v>
      </c>
      <c r="U33" s="706">
        <f t="shared" si="13"/>
        <v>100</v>
      </c>
      <c r="V33" s="705" t="s">
        <v>14</v>
      </c>
      <c r="W33" s="706">
        <f t="shared" si="14"/>
        <v>100</v>
      </c>
      <c r="X33" s="1354"/>
      <c r="Y33" s="367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8"/>
      <c r="Q35" s="1351" t="str">
        <f t="shared" si="11"/>
        <v>建筑结构</v>
      </c>
      <c r="R35" s="705" t="s">
        <v>14</v>
      </c>
      <c r="S35" s="706">
        <f t="shared" si="12"/>
        <v>100</v>
      </c>
      <c r="T35" s="705" t="s">
        <v>14</v>
      </c>
      <c r="U35" s="706">
        <f t="shared" si="13"/>
        <v>100</v>
      </c>
      <c r="V35" s="705" t="s">
        <v>14</v>
      </c>
      <c r="W35" s="706">
        <f t="shared" si="14"/>
        <v>100</v>
      </c>
      <c r="X35" s="1354"/>
      <c r="Y35" s="367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8"/>
      <c r="Q36" s="1351" t="str">
        <f t="shared" si="11"/>
        <v>公共部分装修</v>
      </c>
      <c r="R36" s="705" t="s">
        <v>14</v>
      </c>
      <c r="S36" s="706">
        <f t="shared" si="12"/>
        <v>100</v>
      </c>
      <c r="T36" s="705" t="s">
        <v>14</v>
      </c>
      <c r="U36" s="706">
        <f t="shared" si="13"/>
        <v>100</v>
      </c>
      <c r="V36" s="705" t="s">
        <v>14</v>
      </c>
      <c r="W36" s="706">
        <f t="shared" si="14"/>
        <v>100</v>
      </c>
      <c r="X36" s="1354"/>
      <c r="Y36" s="367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8"/>
      <c r="Q37" s="1351" t="str">
        <f t="shared" si="11"/>
        <v>成新度</v>
      </c>
      <c r="R37" s="705" t="s">
        <v>14</v>
      </c>
      <c r="S37" s="706" t="e">
        <f t="shared" si="12"/>
        <v>#N/A</v>
      </c>
      <c r="T37" s="705" t="s">
        <v>14</v>
      </c>
      <c r="U37" s="706" t="e">
        <f t="shared" si="13"/>
        <v>#N/A</v>
      </c>
      <c r="V37" s="705" t="s">
        <v>14</v>
      </c>
      <c r="W37" s="706" t="e">
        <f t="shared" si="14"/>
        <v>#N/A</v>
      </c>
      <c r="X37" s="1354"/>
      <c r="Y37" s="367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8"/>
      <c r="Q38" s="1342"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8" t="s">
        <v>1696</v>
      </c>
      <c r="Q39" s="1351" t="str">
        <f t="shared" si="11"/>
        <v>物业管理</v>
      </c>
      <c r="R39" s="705" t="s">
        <v>14</v>
      </c>
      <c r="S39" s="706">
        <f t="shared" si="12"/>
        <v>100</v>
      </c>
      <c r="T39" s="705" t="s">
        <v>14</v>
      </c>
      <c r="U39" s="706">
        <f t="shared" si="13"/>
        <v>100</v>
      </c>
      <c r="V39" s="705" t="s">
        <v>14</v>
      </c>
      <c r="W39" s="706">
        <f t="shared" si="14"/>
        <v>100</v>
      </c>
      <c r="X39" s="1354"/>
      <c r="Y39" s="367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8"/>
      <c r="Q40" s="1351" t="str">
        <f t="shared" si="11"/>
        <v>市政基础设施</v>
      </c>
      <c r="R40" s="705" t="s">
        <v>14</v>
      </c>
      <c r="S40" s="706">
        <f t="shared" si="12"/>
        <v>100</v>
      </c>
      <c r="T40" s="705" t="s">
        <v>14</v>
      </c>
      <c r="U40" s="706">
        <f t="shared" si="13"/>
        <v>100</v>
      </c>
      <c r="V40" s="705" t="s">
        <v>14</v>
      </c>
      <c r="W40" s="706">
        <f t="shared" si="14"/>
        <v>100</v>
      </c>
      <c r="X40" s="1354"/>
      <c r="Y40" s="367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8"/>
      <c r="Q41" s="1351" t="str">
        <f t="shared" si="11"/>
        <v>层高</v>
      </c>
      <c r="R41" s="705" t="s">
        <v>14</v>
      </c>
      <c r="S41" s="706">
        <f t="shared" si="12"/>
        <v>100</v>
      </c>
      <c r="T41" s="705" t="s">
        <v>14</v>
      </c>
      <c r="U41" s="706">
        <f t="shared" si="13"/>
        <v>100</v>
      </c>
      <c r="V41" s="705" t="s">
        <v>14</v>
      </c>
      <c r="W41" s="706">
        <f t="shared" si="14"/>
        <v>100</v>
      </c>
      <c r="X41" s="1354"/>
      <c r="Y41" s="367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8"/>
      <c r="Q43" s="1351" t="str">
        <f t="shared" si="11"/>
        <v>内部装修</v>
      </c>
      <c r="R43" s="705" t="s">
        <v>14</v>
      </c>
      <c r="S43" s="706">
        <f t="shared" si="12"/>
        <v>100</v>
      </c>
      <c r="T43" s="705" t="s">
        <v>14</v>
      </c>
      <c r="U43" s="706">
        <f t="shared" si="13"/>
        <v>100</v>
      </c>
      <c r="V43" s="705" t="s">
        <v>14</v>
      </c>
      <c r="W43" s="706">
        <f t="shared" si="14"/>
        <v>100</v>
      </c>
      <c r="X43" s="1354"/>
      <c r="Y43" s="367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8"/>
      <c r="Q44" s="1351" t="str">
        <f t="shared" si="11"/>
        <v>内部装修维护情况</v>
      </c>
      <c r="R44" s="705" t="s">
        <v>14</v>
      </c>
      <c r="S44" s="706">
        <f t="shared" si="12"/>
        <v>100</v>
      </c>
      <c r="T44" s="705" t="s">
        <v>14</v>
      </c>
      <c r="U44" s="706">
        <f t="shared" si="13"/>
        <v>100</v>
      </c>
      <c r="V44" s="705" t="s">
        <v>14</v>
      </c>
      <c r="W44" s="706">
        <f t="shared" si="14"/>
        <v>100</v>
      </c>
      <c r="X44" s="1354"/>
      <c r="Y44" s="367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8"/>
      <c r="Q45" s="1342">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9"/>
      <c r="Q47" s="1351">
        <f t="shared" si="11"/>
        <v>111</v>
      </c>
      <c r="R47" s="705" t="s">
        <v>14</v>
      </c>
      <c r="S47" s="706">
        <f t="shared" si="12"/>
        <v>100</v>
      </c>
      <c r="T47" s="705" t="s">
        <v>14</v>
      </c>
      <c r="U47" s="706">
        <f t="shared" si="13"/>
        <v>100</v>
      </c>
      <c r="V47" s="705" t="s">
        <v>14</v>
      </c>
      <c r="W47" s="706">
        <f t="shared" si="14"/>
        <v>100</v>
      </c>
      <c r="X47" s="1354"/>
      <c r="Y47" s="367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3"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913"/>
      <c r="M5" s="914"/>
      <c r="N5" s="914"/>
      <c r="O5" s="914"/>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913"/>
      <c r="M6" s="914"/>
      <c r="N6" s="914"/>
      <c r="O6" s="914"/>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66"/>
      <c r="Q22" s="1351"/>
      <c r="R22" s="705"/>
      <c r="S22" s="706"/>
      <c r="T22" s="705"/>
      <c r="U22" s="706"/>
      <c r="V22" s="705"/>
      <c r="W22" s="706"/>
      <c r="X22" s="1354"/>
      <c r="Y22" s="366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7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1" t="str">
        <f t="shared" si="11"/>
        <v>建筑结构</v>
      </c>
      <c r="R31" s="705" t="s">
        <v>14</v>
      </c>
      <c r="S31" s="706">
        <f t="shared" si="12"/>
        <v>100</v>
      </c>
      <c r="T31" s="705" t="s">
        <v>14</v>
      </c>
      <c r="U31" s="706">
        <f t="shared" si="13"/>
        <v>100</v>
      </c>
      <c r="V31" s="705" t="s">
        <v>14</v>
      </c>
      <c r="W31" s="706">
        <f t="shared" si="14"/>
        <v>100</v>
      </c>
      <c r="X31" s="1354"/>
      <c r="Y31" s="367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1" t="str">
        <f t="shared" si="11"/>
        <v>公共部分装修</v>
      </c>
      <c r="R32" s="705" t="s">
        <v>14</v>
      </c>
      <c r="S32" s="706">
        <f t="shared" si="12"/>
        <v>100</v>
      </c>
      <c r="T32" s="705" t="s">
        <v>14</v>
      </c>
      <c r="U32" s="706">
        <f t="shared" si="13"/>
        <v>100</v>
      </c>
      <c r="V32" s="705" t="s">
        <v>14</v>
      </c>
      <c r="W32" s="706">
        <f t="shared" si="14"/>
        <v>100</v>
      </c>
      <c r="X32" s="1354"/>
      <c r="Y32" s="367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1" t="str">
        <f t="shared" si="11"/>
        <v>成新度</v>
      </c>
      <c r="R33" s="705" t="s">
        <v>14</v>
      </c>
      <c r="S33" s="706" t="e">
        <f t="shared" si="12"/>
        <v>#N/A</v>
      </c>
      <c r="T33" s="705" t="s">
        <v>14</v>
      </c>
      <c r="U33" s="706" t="e">
        <f t="shared" si="13"/>
        <v>#N/A</v>
      </c>
      <c r="V33" s="705" t="s">
        <v>14</v>
      </c>
      <c r="W33" s="706" t="e">
        <f t="shared" si="14"/>
        <v>#N/A</v>
      </c>
      <c r="X33" s="1354"/>
      <c r="Y33" s="367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2"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1" t="str">
        <f t="shared" si="11"/>
        <v>市政基础设施</v>
      </c>
      <c r="R35" s="705" t="s">
        <v>14</v>
      </c>
      <c r="S35" s="706">
        <f t="shared" si="12"/>
        <v>100</v>
      </c>
      <c r="T35" s="705" t="s">
        <v>14</v>
      </c>
      <c r="U35" s="706">
        <f t="shared" si="13"/>
        <v>100</v>
      </c>
      <c r="V35" s="705" t="s">
        <v>14</v>
      </c>
      <c r="W35" s="706">
        <f t="shared" si="14"/>
        <v>100</v>
      </c>
      <c r="X35" s="1354"/>
      <c r="Y35" s="367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1" t="str">
        <f t="shared" si="11"/>
        <v>内部装修</v>
      </c>
      <c r="R36" s="705" t="s">
        <v>14</v>
      </c>
      <c r="S36" s="706">
        <f t="shared" si="12"/>
        <v>100</v>
      </c>
      <c r="T36" s="705" t="s">
        <v>14</v>
      </c>
      <c r="U36" s="706">
        <f t="shared" si="13"/>
        <v>100</v>
      </c>
      <c r="V36" s="705" t="s">
        <v>14</v>
      </c>
      <c r="W36" s="706">
        <f t="shared" si="14"/>
        <v>100</v>
      </c>
      <c r="X36" s="1354"/>
      <c r="Y36" s="367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1" t="str">
        <f t="shared" si="11"/>
        <v>内部装修状况</v>
      </c>
      <c r="R37" s="705" t="s">
        <v>14</v>
      </c>
      <c r="S37" s="706">
        <f t="shared" si="12"/>
        <v>100</v>
      </c>
      <c r="T37" s="705" t="s">
        <v>14</v>
      </c>
      <c r="U37" s="706">
        <f t="shared" si="13"/>
        <v>100</v>
      </c>
      <c r="V37" s="705" t="s">
        <v>14</v>
      </c>
      <c r="W37" s="706">
        <f t="shared" si="14"/>
        <v>100</v>
      </c>
      <c r="X37" s="1354"/>
      <c r="Y37" s="367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1">
        <f t="shared" si="11"/>
        <v>111</v>
      </c>
      <c r="R39" s="705" t="s">
        <v>14</v>
      </c>
      <c r="S39" s="706">
        <f t="shared" si="12"/>
        <v>100</v>
      </c>
      <c r="T39" s="705" t="s">
        <v>14</v>
      </c>
      <c r="U39" s="706">
        <f t="shared" si="13"/>
        <v>100</v>
      </c>
      <c r="V39" s="705" t="s">
        <v>14</v>
      </c>
      <c r="W39" s="706">
        <f t="shared" si="14"/>
        <v>100</v>
      </c>
      <c r="X39" s="1354"/>
      <c r="Y39" s="367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1">
        <f t="shared" si="11"/>
        <v>111</v>
      </c>
      <c r="R40" s="705" t="s">
        <v>14</v>
      </c>
      <c r="S40" s="706">
        <f t="shared" si="12"/>
        <v>100</v>
      </c>
      <c r="T40" s="705" t="s">
        <v>14</v>
      </c>
      <c r="U40" s="706">
        <f t="shared" si="13"/>
        <v>100</v>
      </c>
      <c r="V40" s="705" t="s">
        <v>14</v>
      </c>
      <c r="W40" s="706">
        <f t="shared" si="14"/>
        <v>100</v>
      </c>
      <c r="X40" s="1354"/>
      <c r="Y40" s="367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6"/>
      <c r="Q19" s="1351"/>
      <c r="R19" s="705"/>
      <c r="S19" s="706"/>
      <c r="T19" s="705"/>
      <c r="U19" s="706"/>
      <c r="V19" s="705"/>
      <c r="W19" s="706"/>
      <c r="X19" s="1354"/>
      <c r="Y19" s="366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0"/>
      <c r="Q28" s="1351" t="str">
        <f t="shared" si="11"/>
        <v>公共部分装修</v>
      </c>
      <c r="R28" s="705" t="s">
        <v>14</v>
      </c>
      <c r="S28" s="706">
        <f t="shared" si="12"/>
        <v>100</v>
      </c>
      <c r="T28" s="705" t="s">
        <v>14</v>
      </c>
      <c r="U28" s="706">
        <f t="shared" si="13"/>
        <v>100</v>
      </c>
      <c r="V28" s="705" t="s">
        <v>14</v>
      </c>
      <c r="W28" s="706">
        <f t="shared" si="14"/>
        <v>100</v>
      </c>
      <c r="X28" s="1354"/>
      <c r="Y28" s="367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0"/>
      <c r="Q29" s="1351" t="str">
        <f t="shared" si="11"/>
        <v>成新率</v>
      </c>
      <c r="R29" s="705" t="s">
        <v>14</v>
      </c>
      <c r="S29" s="706" t="e">
        <f t="shared" si="12"/>
        <v>#N/A</v>
      </c>
      <c r="T29" s="705" t="s">
        <v>14</v>
      </c>
      <c r="U29" s="706" t="e">
        <f t="shared" si="13"/>
        <v>#N/A</v>
      </c>
      <c r="V29" s="705" t="s">
        <v>14</v>
      </c>
      <c r="W29" s="706" t="e">
        <f t="shared" si="14"/>
        <v>#N/A</v>
      </c>
      <c r="X29" s="1354"/>
      <c r="Y29" s="367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0"/>
      <c r="Q30" s="1351" t="str">
        <f t="shared" si="11"/>
        <v>物业等级</v>
      </c>
      <c r="R30" s="705" t="s">
        <v>14</v>
      </c>
      <c r="S30" s="706">
        <f t="shared" si="12"/>
        <v>100</v>
      </c>
      <c r="T30" s="705" t="s">
        <v>14</v>
      </c>
      <c r="U30" s="706">
        <f t="shared" si="13"/>
        <v>100</v>
      </c>
      <c r="V30" s="705" t="s">
        <v>14</v>
      </c>
      <c r="W30" s="706">
        <f t="shared" si="14"/>
        <v>100</v>
      </c>
      <c r="X30" s="1354"/>
      <c r="Y30" s="367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0"/>
      <c r="Q31" s="1342"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0" t="s">
        <v>1696</v>
      </c>
      <c r="Q32" s="1351" t="str">
        <f t="shared" si="11"/>
        <v>车位类型</v>
      </c>
      <c r="R32" s="705" t="s">
        <v>14</v>
      </c>
      <c r="S32" s="706">
        <f t="shared" si="12"/>
        <v>100</v>
      </c>
      <c r="T32" s="705" t="s">
        <v>14</v>
      </c>
      <c r="U32" s="706">
        <f t="shared" si="13"/>
        <v>100</v>
      </c>
      <c r="V32" s="705" t="s">
        <v>14</v>
      </c>
      <c r="W32" s="706">
        <f t="shared" si="14"/>
        <v>100</v>
      </c>
      <c r="X32" s="1354"/>
      <c r="Y32" s="367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0"/>
      <c r="Q33" s="1351" t="str">
        <f t="shared" si="11"/>
        <v>是否直接入户</v>
      </c>
      <c r="R33" s="705" t="s">
        <v>14</v>
      </c>
      <c r="S33" s="706">
        <f t="shared" si="12"/>
        <v>100</v>
      </c>
      <c r="T33" s="705" t="s">
        <v>14</v>
      </c>
      <c r="U33" s="706">
        <f t="shared" si="13"/>
        <v>100</v>
      </c>
      <c r="V33" s="705" t="s">
        <v>14</v>
      </c>
      <c r="W33" s="706">
        <f t="shared" si="14"/>
        <v>100</v>
      </c>
      <c r="X33" s="1354"/>
      <c r="Y33" s="367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0"/>
      <c r="Q36" s="1351">
        <f t="shared" si="11"/>
        <v>111</v>
      </c>
      <c r="R36" s="705" t="s">
        <v>14</v>
      </c>
      <c r="S36" s="706">
        <f t="shared" si="12"/>
        <v>100</v>
      </c>
      <c r="T36" s="705" t="s">
        <v>14</v>
      </c>
      <c r="U36" s="706">
        <f t="shared" si="13"/>
        <v>100</v>
      </c>
      <c r="V36" s="705" t="s">
        <v>14</v>
      </c>
      <c r="W36" s="706">
        <f t="shared" si="14"/>
        <v>100</v>
      </c>
      <c r="X36" s="1354"/>
      <c r="Y36" s="3670"/>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0" t="str">
        <f>A39</f>
        <v>估价对象XX用房的比较价值（楼面单价，元/平方米）</v>
      </c>
      <c r="Q39" s="366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6"/>
      <c r="Q19" s="1351"/>
      <c r="R19" s="705"/>
      <c r="S19" s="706"/>
      <c r="T19" s="705"/>
      <c r="U19" s="706"/>
      <c r="V19" s="705"/>
      <c r="W19" s="706"/>
      <c r="X19" s="1354"/>
      <c r="Y19" s="366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0"/>
      <c r="Q28" s="1351" t="str">
        <f t="shared" si="11"/>
        <v>物业等级</v>
      </c>
      <c r="R28" s="705" t="s">
        <v>14</v>
      </c>
      <c r="S28" s="706">
        <f t="shared" si="12"/>
        <v>100</v>
      </c>
      <c r="T28" s="705" t="s">
        <v>14</v>
      </c>
      <c r="U28" s="706">
        <f t="shared" si="13"/>
        <v>100</v>
      </c>
      <c r="V28" s="705" t="s">
        <v>14</v>
      </c>
      <c r="W28" s="706">
        <f t="shared" si="14"/>
        <v>100</v>
      </c>
      <c r="X28" s="1354"/>
      <c r="Y28" s="367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0"/>
      <c r="Q29" s="1351" t="str">
        <f t="shared" si="11"/>
        <v>有无电梯</v>
      </c>
      <c r="R29" s="705" t="s">
        <v>14</v>
      </c>
      <c r="S29" s="706">
        <f t="shared" si="12"/>
        <v>100</v>
      </c>
      <c r="T29" s="705" t="s">
        <v>14</v>
      </c>
      <c r="U29" s="706">
        <f t="shared" si="13"/>
        <v>100</v>
      </c>
      <c r="V29" s="705" t="s">
        <v>14</v>
      </c>
      <c r="W29" s="706">
        <f t="shared" si="14"/>
        <v>100</v>
      </c>
      <c r="X29" s="1354"/>
      <c r="Y29" s="367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0"/>
      <c r="Q30" s="1351" t="str">
        <f t="shared" si="11"/>
        <v>建筑面积</v>
      </c>
      <c r="R30" s="705" t="s">
        <v>14</v>
      </c>
      <c r="S30" s="706" t="e">
        <f t="shared" si="12"/>
        <v>#N/A</v>
      </c>
      <c r="T30" s="705" t="s">
        <v>14</v>
      </c>
      <c r="U30" s="706" t="e">
        <f t="shared" si="13"/>
        <v>#N/A</v>
      </c>
      <c r="V30" s="705" t="s">
        <v>14</v>
      </c>
      <c r="W30" s="706" t="e">
        <f t="shared" si="14"/>
        <v>#N/A</v>
      </c>
      <c r="X30" s="1354"/>
      <c r="Y30" s="367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0"/>
      <c r="Q31" s="1342"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0" t="s">
        <v>1696</v>
      </c>
      <c r="Q32" s="1351">
        <f t="shared" si="11"/>
        <v>111</v>
      </c>
      <c r="R32" s="705" t="s">
        <v>14</v>
      </c>
      <c r="S32" s="706">
        <f t="shared" si="12"/>
        <v>100</v>
      </c>
      <c r="T32" s="705" t="s">
        <v>14</v>
      </c>
      <c r="U32" s="706">
        <f t="shared" si="13"/>
        <v>100</v>
      </c>
      <c r="V32" s="705" t="s">
        <v>14</v>
      </c>
      <c r="W32" s="706">
        <f t="shared" si="14"/>
        <v>100</v>
      </c>
      <c r="X32" s="1354"/>
      <c r="Y32" s="367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0"/>
      <c r="Q33" s="1351">
        <f t="shared" si="11"/>
        <v>111</v>
      </c>
      <c r="R33" s="705" t="s">
        <v>14</v>
      </c>
      <c r="S33" s="706">
        <f t="shared" si="12"/>
        <v>100</v>
      </c>
      <c r="T33" s="705" t="s">
        <v>14</v>
      </c>
      <c r="U33" s="706">
        <f t="shared" si="13"/>
        <v>100</v>
      </c>
      <c r="V33" s="705" t="s">
        <v>14</v>
      </c>
      <c r="W33" s="706">
        <f t="shared" si="14"/>
        <v>100</v>
      </c>
      <c r="X33" s="1354"/>
      <c r="Y33" s="367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0" t="str">
        <f>A37</f>
        <v>估价对象XX用房的比较价值（楼面单价，元/平方米）</v>
      </c>
      <c r="Q37" s="366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30"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30"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30" s="108" customFormat="1" ht="15.75" thickBot="1">
      <c r="A7" s="362" t="s">
        <v>1679</v>
      </c>
      <c r="B7" s="363"/>
      <c r="C7" s="364">
        <f>'数据-取费表'!B2</f>
        <v>45322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8"/>
      <c r="Q12" s="1342"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1691</v>
      </c>
      <c r="Q15" s="1351" t="str">
        <f t="shared" si="6"/>
        <v>居住社区成熟度</v>
      </c>
      <c r="R15" s="705" t="s">
        <v>14</v>
      </c>
      <c r="S15" s="706">
        <f t="shared" si="0"/>
        <v>100</v>
      </c>
      <c r="T15" s="705" t="s">
        <v>14</v>
      </c>
      <c r="U15" s="706">
        <f t="shared" si="1"/>
        <v>100</v>
      </c>
      <c r="V15" s="705" t="s">
        <v>14</v>
      </c>
      <c r="W15" s="706">
        <f t="shared" si="2"/>
        <v>100</v>
      </c>
      <c r="X15" s="1354"/>
      <c r="Y15" s="366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67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0"/>
      <c r="Q37" s="1351">
        <f t="shared" si="8"/>
        <v>111</v>
      </c>
      <c r="R37" s="708" t="s">
        <v>14</v>
      </c>
      <c r="S37" s="709">
        <f t="shared" si="10"/>
        <v>100</v>
      </c>
      <c r="T37" s="708" t="s">
        <v>14</v>
      </c>
      <c r="U37" s="709">
        <f t="shared" si="11"/>
        <v>100</v>
      </c>
      <c r="V37" s="708" t="s">
        <v>14</v>
      </c>
      <c r="W37" s="709">
        <f t="shared" si="12"/>
        <v>100</v>
      </c>
      <c r="X37" s="710"/>
      <c r="Y37" s="367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0"/>
      <c r="Q38" s="1351" t="str">
        <f>B38</f>
        <v>宗地面积</v>
      </c>
      <c r="R38" s="705" t="s">
        <v>14</v>
      </c>
      <c r="S38" s="706" t="e">
        <f t="shared" si="10"/>
        <v>#N/A</v>
      </c>
      <c r="T38" s="705" t="s">
        <v>14</v>
      </c>
      <c r="U38" s="706" t="e">
        <f t="shared" si="11"/>
        <v>#N/A</v>
      </c>
      <c r="V38" s="705" t="s">
        <v>14</v>
      </c>
      <c r="W38" s="706" t="e">
        <f t="shared" si="12"/>
        <v>#N/A</v>
      </c>
      <c r="X38" s="1354"/>
      <c r="Y38" s="367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0"/>
      <c r="Q39" s="1351" t="str">
        <f t="shared" ref="Q39:Q45" si="14">B39</f>
        <v>宗地形状</v>
      </c>
      <c r="R39" s="705" t="s">
        <v>14</v>
      </c>
      <c r="S39" s="706">
        <f t="shared" si="10"/>
        <v>100</v>
      </c>
      <c r="T39" s="705" t="s">
        <v>14</v>
      </c>
      <c r="U39" s="706">
        <f t="shared" si="11"/>
        <v>100</v>
      </c>
      <c r="V39" s="705" t="s">
        <v>14</v>
      </c>
      <c r="W39" s="706">
        <f t="shared" si="12"/>
        <v>100</v>
      </c>
      <c r="X39" s="1354"/>
      <c r="Y39" s="367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0"/>
      <c r="Q40" s="1351" t="str">
        <f t="shared" si="14"/>
        <v>临街宽度及深度</v>
      </c>
      <c r="R40" s="705" t="s">
        <v>14</v>
      </c>
      <c r="S40" s="706">
        <f t="shared" si="10"/>
        <v>100</v>
      </c>
      <c r="T40" s="705" t="s">
        <v>14</v>
      </c>
      <c r="U40" s="706">
        <f t="shared" si="11"/>
        <v>100</v>
      </c>
      <c r="V40" s="705" t="s">
        <v>14</v>
      </c>
      <c r="W40" s="706">
        <f t="shared" si="12"/>
        <v>100</v>
      </c>
      <c r="X40" s="1354"/>
      <c r="Y40" s="367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0"/>
      <c r="Q41" s="1351"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0" t="s">
        <v>1696</v>
      </c>
      <c r="Q42" s="1351" t="str">
        <f t="shared" si="14"/>
        <v>工程地质条件</v>
      </c>
      <c r="R42" s="705" t="s">
        <v>14</v>
      </c>
      <c r="S42" s="706">
        <f t="shared" si="10"/>
        <v>100</v>
      </c>
      <c r="T42" s="705" t="s">
        <v>14</v>
      </c>
      <c r="U42" s="706">
        <f t="shared" si="11"/>
        <v>100</v>
      </c>
      <c r="V42" s="705" t="s">
        <v>14</v>
      </c>
      <c r="W42" s="706">
        <f t="shared" si="12"/>
        <v>100</v>
      </c>
      <c r="X42" s="1354"/>
      <c r="Y42" s="367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0"/>
      <c r="Q43" s="1351">
        <f t="shared" si="14"/>
        <v>111</v>
      </c>
      <c r="R43" s="705" t="s">
        <v>14</v>
      </c>
      <c r="S43" s="706">
        <f t="shared" si="10"/>
        <v>100</v>
      </c>
      <c r="T43" s="705" t="s">
        <v>14</v>
      </c>
      <c r="U43" s="706">
        <f t="shared" si="11"/>
        <v>100</v>
      </c>
      <c r="V43" s="705" t="s">
        <v>14</v>
      </c>
      <c r="W43" s="706">
        <f t="shared" si="12"/>
        <v>100</v>
      </c>
      <c r="X43" s="1354"/>
      <c r="Y43" s="367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0"/>
      <c r="Q44" s="1351">
        <f t="shared" si="14"/>
        <v>111</v>
      </c>
      <c r="R44" s="705" t="s">
        <v>14</v>
      </c>
      <c r="S44" s="706">
        <f t="shared" si="10"/>
        <v>100</v>
      </c>
      <c r="T44" s="705" t="s">
        <v>14</v>
      </c>
      <c r="U44" s="706">
        <f t="shared" si="11"/>
        <v>100</v>
      </c>
      <c r="V44" s="705" t="s">
        <v>14</v>
      </c>
      <c r="W44" s="706">
        <f t="shared" si="12"/>
        <v>100</v>
      </c>
      <c r="X44" s="1354"/>
      <c r="Y44" s="367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0"/>
      <c r="Q45" s="1351">
        <f t="shared" si="14"/>
        <v>111</v>
      </c>
      <c r="R45" s="708" t="s">
        <v>14</v>
      </c>
      <c r="S45" s="709">
        <f t="shared" si="10"/>
        <v>100</v>
      </c>
      <c r="T45" s="708" t="s">
        <v>14</v>
      </c>
      <c r="U45" s="709">
        <f t="shared" si="11"/>
        <v>100</v>
      </c>
      <c r="V45" s="708" t="s">
        <v>14</v>
      </c>
      <c r="W45" s="709">
        <f t="shared" si="12"/>
        <v>100</v>
      </c>
      <c r="X45" s="710"/>
      <c r="Y45" s="367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58" t="str">
        <f>A46</f>
        <v>成交单价</v>
      </c>
      <c r="Q46" s="3658"/>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8" t="str">
        <f>A47</f>
        <v>比较价值（元/平方米）</v>
      </c>
      <c r="Q47" s="3658"/>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0" t="str">
        <f>A48</f>
        <v>估价对象XX用房的比较价值（楼面单价，元/平方米）</v>
      </c>
      <c r="Q48" s="3661"/>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87.01</v>
      </c>
      <c r="F56" s="886" t="e">
        <f t="shared" ref="F56:F64" si="15">ROUND(B56*E56/10000,0)</f>
        <v>#DIV/0!</v>
      </c>
      <c r="G56" s="3673"/>
      <c r="H56" s="365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66"/>
      <c r="Q20" s="1351"/>
      <c r="R20" s="705"/>
      <c r="S20" s="706"/>
      <c r="T20" s="705"/>
      <c r="U20" s="706"/>
      <c r="V20" s="705"/>
      <c r="W20" s="706"/>
      <c r="X20" s="1354"/>
      <c r="Y20" s="366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67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0"/>
      <c r="Q33" s="1351">
        <f t="shared" si="8"/>
        <v>111</v>
      </c>
      <c r="R33" s="708" t="s">
        <v>14</v>
      </c>
      <c r="S33" s="709">
        <f t="shared" si="10"/>
        <v>100</v>
      </c>
      <c r="T33" s="708" t="s">
        <v>14</v>
      </c>
      <c r="U33" s="709">
        <f t="shared" si="11"/>
        <v>100</v>
      </c>
      <c r="V33" s="708" t="s">
        <v>14</v>
      </c>
      <c r="W33" s="709">
        <f t="shared" si="12"/>
        <v>100</v>
      </c>
      <c r="X33" s="710"/>
      <c r="Y33" s="367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0"/>
      <c r="Q34" s="1351" t="str">
        <f>B34</f>
        <v>宗地面积</v>
      </c>
      <c r="R34" s="705" t="s">
        <v>14</v>
      </c>
      <c r="S34" s="706" t="e">
        <f t="shared" si="10"/>
        <v>#N/A</v>
      </c>
      <c r="T34" s="705" t="s">
        <v>14</v>
      </c>
      <c r="U34" s="706" t="e">
        <f t="shared" si="11"/>
        <v>#N/A</v>
      </c>
      <c r="V34" s="705" t="s">
        <v>14</v>
      </c>
      <c r="W34" s="706" t="e">
        <f t="shared" si="12"/>
        <v>#N/A</v>
      </c>
      <c r="X34" s="1354"/>
      <c r="Y34" s="367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0"/>
      <c r="Q35" s="1351" t="str">
        <f t="shared" ref="Q35:Q40" si="14">B35</f>
        <v>宗地形状</v>
      </c>
      <c r="R35" s="705" t="s">
        <v>14</v>
      </c>
      <c r="S35" s="706">
        <f t="shared" si="10"/>
        <v>100</v>
      </c>
      <c r="T35" s="705" t="s">
        <v>14</v>
      </c>
      <c r="U35" s="706">
        <f t="shared" si="11"/>
        <v>100</v>
      </c>
      <c r="V35" s="705" t="s">
        <v>14</v>
      </c>
      <c r="W35" s="706">
        <f t="shared" si="12"/>
        <v>100</v>
      </c>
      <c r="X35" s="1354"/>
      <c r="Y35" s="367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0"/>
      <c r="Q36" s="1351"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0" t="s">
        <v>1696</v>
      </c>
      <c r="Q37" s="1351" t="str">
        <f t="shared" si="14"/>
        <v>工程地质条件</v>
      </c>
      <c r="R37" s="705" t="s">
        <v>14</v>
      </c>
      <c r="S37" s="706">
        <f t="shared" si="10"/>
        <v>100</v>
      </c>
      <c r="T37" s="705" t="s">
        <v>14</v>
      </c>
      <c r="U37" s="706">
        <f t="shared" si="11"/>
        <v>100</v>
      </c>
      <c r="V37" s="705" t="s">
        <v>14</v>
      </c>
      <c r="W37" s="706">
        <f t="shared" si="12"/>
        <v>100</v>
      </c>
      <c r="X37" s="1354"/>
      <c r="Y37" s="367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0"/>
      <c r="Q38" s="1351">
        <f t="shared" si="14"/>
        <v>111</v>
      </c>
      <c r="R38" s="705" t="s">
        <v>14</v>
      </c>
      <c r="S38" s="706">
        <f t="shared" si="10"/>
        <v>100</v>
      </c>
      <c r="T38" s="705" t="s">
        <v>14</v>
      </c>
      <c r="U38" s="706">
        <f t="shared" si="11"/>
        <v>100</v>
      </c>
      <c r="V38" s="705" t="s">
        <v>14</v>
      </c>
      <c r="W38" s="706">
        <f t="shared" si="12"/>
        <v>100</v>
      </c>
      <c r="X38" s="1354"/>
      <c r="Y38" s="367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0"/>
      <c r="Q39" s="1351">
        <f t="shared" si="14"/>
        <v>111</v>
      </c>
      <c r="R39" s="705" t="s">
        <v>14</v>
      </c>
      <c r="S39" s="706">
        <f t="shared" si="10"/>
        <v>100</v>
      </c>
      <c r="T39" s="705" t="s">
        <v>14</v>
      </c>
      <c r="U39" s="706">
        <f t="shared" si="11"/>
        <v>100</v>
      </c>
      <c r="V39" s="705" t="s">
        <v>14</v>
      </c>
      <c r="W39" s="706">
        <f t="shared" si="12"/>
        <v>100</v>
      </c>
      <c r="X39" s="1354"/>
      <c r="Y39" s="367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0"/>
      <c r="Q40" s="1351">
        <f t="shared" si="14"/>
        <v>111</v>
      </c>
      <c r="R40" s="708" t="s">
        <v>14</v>
      </c>
      <c r="S40" s="709">
        <f t="shared" si="10"/>
        <v>100</v>
      </c>
      <c r="T40" s="708" t="s">
        <v>14</v>
      </c>
      <c r="U40" s="709">
        <f t="shared" si="11"/>
        <v>100</v>
      </c>
      <c r="V40" s="708" t="s">
        <v>14</v>
      </c>
      <c r="W40" s="709">
        <f t="shared" si="12"/>
        <v>100</v>
      </c>
      <c r="X40" s="710"/>
      <c r="Y40" s="367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58" t="str">
        <f>A41</f>
        <v>成交单价</v>
      </c>
      <c r="Q41" s="3658"/>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8" t="str">
        <f>A42</f>
        <v>比较价值（元/平方米）</v>
      </c>
      <c r="Q42" s="3658"/>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0" t="str">
        <f>A43</f>
        <v>估价对象XX用房的比较价值（楼面单价，元/平方米）</v>
      </c>
      <c r="Q43" s="3661"/>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87.01</v>
      </c>
      <c r="F51" s="639" t="e">
        <f t="shared" ref="F51:F60" si="15">ROUND(B51*E51/10000,0)</f>
        <v>#DIV/0!</v>
      </c>
      <c r="G51" s="3673"/>
      <c r="H51" s="365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t="e">
        <f t="shared" si="0"/>
        <v>#DIV/0!</v>
      </c>
      <c r="U8" s="1212"/>
      <c r="V8" s="3360" t="e">
        <f t="shared" si="1"/>
        <v>#DIV/0!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t="e">
        <f t="shared" si="0"/>
        <v>#DIV/0!</v>
      </c>
      <c r="U9" s="1212"/>
      <c r="V9" s="3360" t="e">
        <f t="shared" si="1"/>
        <v>#DIV/0!</v>
      </c>
      <c r="W9" s="3757"/>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t="e">
        <f t="shared" si="0"/>
        <v>#DIV/0!</v>
      </c>
      <c r="U10" s="1212"/>
      <c r="V10" s="3360" t="e">
        <f t="shared" si="1"/>
        <v>#DIV/0!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3257</v>
      </c>
      <c r="B20" s="167" t="s">
        <v>1994</v>
      </c>
      <c r="C20" s="3324" t="e">
        <f>ROUND(IF(F21="与级别开发程度一致",0,(G21-E21)/C21),0)</f>
        <v>#DIV/0!</v>
      </c>
      <c r="D20" s="3340" t="s">
        <v>1998</v>
      </c>
      <c r="E20" s="3341"/>
      <c r="F20" s="3768" t="s">
        <v>1995</v>
      </c>
      <c r="G20" s="376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45322</v>
      </c>
      <c r="H23" s="3342" t="s">
        <v>3259</v>
      </c>
      <c r="I23" s="3343" t="str">
        <f>IF(H23="季度增幅（自定义）",SUMIF(N25:N28,E2,O25:O28),"")</f>
        <v/>
      </c>
      <c r="J23" s="3445" t="s">
        <v>3258</v>
      </c>
      <c r="K23" s="1124"/>
      <c r="L23" s="2054" t="s">
        <v>2004</v>
      </c>
      <c r="M23" s="1327">
        <f>ROUND(SUMIF(地价!B2:G2,E2,地价!B16:G16),0)</f>
        <v>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1">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3"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4">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7"/>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7"/>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7"/>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7"/>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7"/>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7"/>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3297</v>
      </c>
      <c r="B103" s="3764"/>
      <c r="C103" s="3764"/>
      <c r="D103" s="3764"/>
      <c r="E103" s="3764"/>
      <c r="F103" s="3764"/>
      <c r="G103" s="3764"/>
      <c r="H103" s="3764"/>
      <c r="I103" s="3764"/>
      <c r="J103" s="3764"/>
      <c r="K103" s="3389"/>
      <c r="L103" s="3389"/>
      <c r="M103" s="3389"/>
      <c r="N103" s="3389"/>
    </row>
    <row r="104" spans="1:14">
      <c r="A104" s="3765" t="s">
        <v>3298</v>
      </c>
      <c r="B104" s="3765" t="s">
        <v>3299</v>
      </c>
      <c r="C104" s="3390" t="s">
        <v>3300</v>
      </c>
      <c r="D104" s="3391"/>
      <c r="E104" s="3391"/>
      <c r="F104" s="3391"/>
      <c r="G104" s="3391"/>
      <c r="H104" s="3391"/>
      <c r="I104" s="3391"/>
      <c r="J104" s="3392"/>
      <c r="K104" s="3393"/>
      <c r="L104" s="3393"/>
      <c r="M104" s="3393"/>
      <c r="N104" s="3393"/>
    </row>
    <row r="105" spans="1:14">
      <c r="A105" s="3765"/>
      <c r="B105" s="3765"/>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1"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3314</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13.5">
      <c r="A113" s="3117">
        <v>41</v>
      </c>
      <c r="B113" s="3770" t="s">
        <v>2737</v>
      </c>
      <c r="C113" s="3117" t="s">
        <v>2738</v>
      </c>
      <c r="D113" s="3091" t="s">
        <v>2739</v>
      </c>
      <c r="E113" s="3117">
        <v>0.1</v>
      </c>
      <c r="F113" s="3117">
        <v>15</v>
      </c>
    </row>
    <row r="114" spans="1:6" ht="13.5">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0" t="s">
        <v>2772</v>
      </c>
      <c r="C127" s="3117" t="s">
        <v>2773</v>
      </c>
      <c r="D127" s="3091" t="s">
        <v>2774</v>
      </c>
      <c r="E127" s="3117">
        <v>0.1</v>
      </c>
      <c r="F127" s="3117">
        <v>15</v>
      </c>
    </row>
    <row r="128" spans="1:6" ht="13.5">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13.5">
      <c r="A131" s="3117">
        <v>59</v>
      </c>
      <c r="B131" s="3770"/>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0" t="s">
        <v>2792</v>
      </c>
      <c r="C135" s="3117" t="s">
        <v>2793</v>
      </c>
      <c r="D135" s="3091" t="s">
        <v>2794</v>
      </c>
      <c r="E135" s="3117">
        <v>0.1</v>
      </c>
      <c r="F135" s="3117">
        <v>15</v>
      </c>
    </row>
    <row r="136" spans="1:6" ht="13.5">
      <c r="A136" s="3117">
        <v>64</v>
      </c>
      <c r="B136" s="377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2842</v>
      </c>
      <c r="B1" s="3784"/>
      <c r="C1" s="3784"/>
      <c r="D1" s="3784"/>
      <c r="E1" s="3784"/>
      <c r="F1" s="3784"/>
      <c r="G1" s="3785"/>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2"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3"/>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3184</v>
      </c>
      <c r="B1" s="3786"/>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3235</v>
      </c>
      <c r="B1" s="3787"/>
      <c r="C1" s="3787"/>
      <c r="D1" s="3787"/>
      <c r="E1" s="3787"/>
      <c r="F1" s="3788"/>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45322</v>
      </c>
      <c r="B1" s="3209" t="s">
        <v>3374</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89" t="s">
        <v>2830</v>
      </c>
      <c r="S23" s="3790"/>
      <c r="T23" s="3790"/>
      <c r="U23" s="3790"/>
      <c r="V23" s="3790"/>
      <c r="W23" s="3790"/>
      <c r="X23" s="3164"/>
      <c r="Y23" s="3789" t="s">
        <v>2831</v>
      </c>
      <c r="Z23" s="3790"/>
      <c r="AA23" s="3790"/>
      <c r="AB23" s="3790"/>
      <c r="AC23" s="3790"/>
      <c r="AD23" s="3790"/>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4"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2024-02-01T06:17:28Z</dcterms:modified>
</cp:coreProperties>
</file>