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9440" windowHeight="5568"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典型户型修正" sheetId="31" r:id="rId24"/>
    <sheet name="比较法-商业" sheetId="33"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4" i="31" l="1"/>
  <c r="D4" i="31"/>
  <c r="B29" i="1" l="1"/>
  <c r="U24" i="31"/>
  <c r="I13" i="3" l="1"/>
  <c r="E23" i="80"/>
  <c r="E22" i="80" l="1"/>
  <c r="B21" i="80"/>
  <c r="B20" i="80"/>
  <c r="A19" i="80"/>
  <c r="B19" i="80"/>
  <c r="A20" i="80"/>
  <c r="E14" i="80"/>
  <c r="B13" i="80"/>
  <c r="B12" i="80"/>
  <c r="B14" i="80" s="1"/>
  <c r="A13" i="80"/>
  <c r="A12" i="80"/>
  <c r="B22" i="80" l="1"/>
  <c r="E5" i="80"/>
  <c r="B4" i="80"/>
  <c r="B3" i="80"/>
  <c r="A4" i="80"/>
  <c r="A3" i="80"/>
  <c r="E104" i="33"/>
  <c r="Y6" i="1"/>
  <c r="N6" i="1"/>
  <c r="F19" i="6"/>
  <c r="C33" i="33" s="1"/>
  <c r="D3" i="4"/>
  <c r="F104" i="33" l="1"/>
  <c r="F4" i="31" s="1"/>
  <c r="E4" i="31"/>
  <c r="B5" i="80"/>
  <c r="B14" i="74" s="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R34" i="31"/>
  <c r="S34" i="31" s="1"/>
  <c r="R35" i="31"/>
  <c r="S35" i="31" s="1"/>
  <c r="R36" i="31"/>
  <c r="S36" i="31" s="1"/>
  <c r="R37" i="31"/>
  <c r="R38" i="3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R55" i="31"/>
  <c r="S55" i="31" s="1"/>
  <c r="R56" i="31"/>
  <c r="S56" i="31" s="1"/>
  <c r="R57" i="31"/>
  <c r="R58" i="3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R75" i="31"/>
  <c r="S75" i="31" s="1"/>
  <c r="R76" i="31"/>
  <c r="S76" i="31" s="1"/>
  <c r="R77" i="31"/>
  <c r="R78" i="31"/>
  <c r="S78" i="31" s="1"/>
  <c r="R79" i="31"/>
  <c r="S79" i="31" s="1"/>
  <c r="R80" i="31"/>
  <c r="S80" i="31" s="1"/>
  <c r="R81" i="31"/>
  <c r="R82" i="31"/>
  <c r="S82" i="31" s="1"/>
  <c r="R83" i="31"/>
  <c r="S83" i="31" s="1"/>
  <c r="R84" i="31"/>
  <c r="S84" i="31" s="1"/>
  <c r="R85" i="31"/>
  <c r="R86" i="3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R119" i="31"/>
  <c r="S119" i="31" s="1"/>
  <c r="R120" i="31"/>
  <c r="S120" i="31" s="1"/>
  <c r="R121" i="31"/>
  <c r="R122" i="31"/>
  <c r="S122" i="31" s="1"/>
  <c r="R123" i="31"/>
  <c r="S123" i="31" s="1"/>
  <c r="R124" i="31"/>
  <c r="S124" i="31" s="1"/>
  <c r="R125" i="31"/>
  <c r="R126" i="3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R223" i="31"/>
  <c r="S223" i="31" s="1"/>
  <c r="R224" i="31"/>
  <c r="S224" i="31" s="1"/>
  <c r="R225" i="31"/>
  <c r="R226" i="3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R426" i="31"/>
  <c r="S426" i="31" s="1"/>
  <c r="R427" i="31"/>
  <c r="R428" i="31"/>
  <c r="S428" i="31" s="1"/>
  <c r="R429" i="31"/>
  <c r="R430" i="3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R449" i="31"/>
  <c r="R450" i="31"/>
  <c r="S450" i="31" s="1"/>
  <c r="R451" i="31"/>
  <c r="S451" i="31" s="1"/>
  <c r="R452" i="31"/>
  <c r="S452" i="31" s="1"/>
  <c r="R453" i="31"/>
  <c r="R454" i="3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R491" i="31"/>
  <c r="S491" i="31" s="1"/>
  <c r="R492" i="31"/>
  <c r="S492" i="31" s="1"/>
  <c r="R493" i="31"/>
  <c r="R494" i="31"/>
  <c r="S494" i="31" s="1"/>
  <c r="R495" i="31"/>
  <c r="S495" i="31" s="1"/>
  <c r="R496" i="31"/>
  <c r="S496" i="31" s="1"/>
  <c r="R497" i="31"/>
  <c r="R498" i="31"/>
  <c r="S498" i="31" s="1"/>
  <c r="R499" i="31"/>
  <c r="S499" i="31" s="1"/>
  <c r="R500" i="31"/>
  <c r="S500" i="31" s="1"/>
  <c r="R501" i="31"/>
  <c r="R502" i="31"/>
  <c r="R503" i="31"/>
  <c r="S503" i="31" s="1"/>
  <c r="R504" i="31"/>
  <c r="S504" i="31" s="1"/>
  <c r="R505" i="31"/>
  <c r="R506" i="31"/>
  <c r="S506" i="31" s="1"/>
  <c r="R507" i="31"/>
  <c r="S507" i="31" s="1"/>
  <c r="R508" i="31"/>
  <c r="S508" i="31" s="1"/>
  <c r="R509" i="31"/>
  <c r="R510" i="31"/>
  <c r="R511" i="31"/>
  <c r="S511" i="31" s="1"/>
  <c r="R512" i="31"/>
  <c r="S512" i="31" s="1"/>
  <c r="R513" i="3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0" i="31"/>
  <c r="S402" i="31"/>
  <c r="S394" i="31"/>
  <c r="S386" i="31"/>
  <c r="S378" i="31"/>
  <c r="S370" i="31"/>
  <c r="S354" i="31"/>
  <c r="S346" i="31"/>
  <c r="S338" i="31"/>
  <c r="S330" i="31"/>
  <c r="S322" i="31"/>
  <c r="S296" i="31"/>
  <c r="S253" i="31"/>
  <c r="S249" i="31"/>
  <c r="S245" i="31"/>
  <c r="S242" i="31"/>
  <c r="S241" i="31"/>
  <c r="S237" i="31"/>
  <c r="S233" i="31"/>
  <c r="S229" i="31"/>
  <c r="S226" i="31"/>
  <c r="S225" i="31"/>
  <c r="S429" i="31"/>
  <c r="S427" i="31"/>
  <c r="S425" i="31"/>
  <c r="S222" i="31"/>
  <c r="S221" i="31"/>
  <c r="S217" i="31"/>
  <c r="S213" i="31"/>
  <c r="S209" i="31"/>
  <c r="S206" i="31"/>
  <c r="S205" i="31"/>
  <c r="S201" i="31"/>
  <c r="S197" i="31"/>
  <c r="S193" i="31"/>
  <c r="S190" i="31"/>
  <c r="S189" i="31"/>
  <c r="S185" i="31"/>
  <c r="S181" i="31"/>
  <c r="S177" i="31"/>
  <c r="S174" i="31"/>
  <c r="S173" i="31"/>
  <c r="S169" i="31"/>
  <c r="S165" i="31"/>
  <c r="S161" i="31"/>
  <c r="S158" i="31"/>
  <c r="S157" i="31"/>
  <c r="S153" i="31"/>
  <c r="S149" i="31"/>
  <c r="S145" i="31"/>
  <c r="S142" i="31"/>
  <c r="S141" i="31"/>
  <c r="S137" i="31"/>
  <c r="S133" i="31"/>
  <c r="S129" i="31"/>
  <c r="S126" i="31"/>
  <c r="S125" i="31"/>
  <c r="S497" i="31"/>
  <c r="S493" i="31"/>
  <c r="S490" i="31"/>
  <c r="S489" i="31"/>
  <c r="S485" i="31"/>
  <c r="S481" i="31"/>
  <c r="S477" i="31"/>
  <c r="S474" i="31"/>
  <c r="S473" i="31"/>
  <c r="S469" i="31"/>
  <c r="S441" i="31"/>
  <c r="S437" i="31"/>
  <c r="S433" i="31"/>
  <c r="S430" i="31"/>
  <c r="S121" i="31"/>
  <c r="S118" i="31"/>
  <c r="S117" i="31"/>
  <c r="S113" i="31"/>
  <c r="S502" i="31"/>
  <c r="S465" i="31"/>
  <c r="S461" i="31"/>
  <c r="S457" i="31"/>
  <c r="S454" i="31"/>
  <c r="S453" i="31"/>
  <c r="S54" i="31"/>
  <c r="S53" i="31"/>
  <c r="S49" i="31"/>
  <c r="S45" i="31"/>
  <c r="S41" i="31"/>
  <c r="S38" i="31"/>
  <c r="S37" i="31"/>
  <c r="S33" i="31"/>
  <c r="S77" i="31"/>
  <c r="S74" i="31"/>
  <c r="S73" i="31"/>
  <c r="S69" i="31"/>
  <c r="S65" i="31"/>
  <c r="S61" i="31"/>
  <c r="S58" i="31"/>
  <c r="S57" i="31"/>
  <c r="S97" i="31"/>
  <c r="S93" i="31"/>
  <c r="S89" i="31"/>
  <c r="S86" i="31"/>
  <c r="S85" i="31"/>
  <c r="S81" i="31"/>
  <c r="S98" i="31"/>
  <c r="S101" i="31"/>
  <c r="S105" i="31"/>
  <c r="S109" i="31"/>
  <c r="S445" i="31"/>
  <c r="S448" i="31"/>
  <c r="S449" i="31"/>
  <c r="S509" i="31"/>
  <c r="S510"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F121" i="33"/>
  <c r="G121" i="33"/>
  <c r="H121" i="33"/>
  <c r="I121" i="33"/>
  <c r="J121" i="33"/>
  <c r="K121" i="33"/>
  <c r="L121" i="33"/>
  <c r="M121" i="33"/>
  <c r="S42" i="33"/>
  <c r="F36" i="33"/>
  <c r="AA36" i="33" s="1"/>
  <c r="G111" i="33"/>
  <c r="G108" i="33"/>
  <c r="H108" i="33"/>
  <c r="I108" i="33"/>
  <c r="J108" i="33"/>
  <c r="K108" i="33"/>
  <c r="L108" i="33"/>
  <c r="M108" i="33"/>
  <c r="J35" i="33"/>
  <c r="S39" i="33"/>
  <c r="F101" i="33"/>
  <c r="G101" i="33"/>
  <c r="H101" i="33"/>
  <c r="I101" i="33"/>
  <c r="J101" i="33"/>
  <c r="K101" i="33"/>
  <c r="L101" i="33"/>
  <c r="M101" i="33"/>
  <c r="J32" i="33"/>
  <c r="AC32" i="33" s="1"/>
  <c r="S46" i="33"/>
  <c r="W43" i="33"/>
  <c r="S43" i="33"/>
  <c r="F91" i="33"/>
  <c r="H27" i="33"/>
  <c r="AB27" i="33" s="1"/>
  <c r="F87" i="33"/>
  <c r="H25" i="33"/>
  <c r="F25" i="33"/>
  <c r="J23" i="33"/>
  <c r="AC23" i="33" s="1"/>
  <c r="F85" i="33"/>
  <c r="H23" i="33"/>
  <c r="AB23" i="33" s="1"/>
  <c r="F81" i="33"/>
  <c r="F19" i="33"/>
  <c r="AA19" i="33" s="1"/>
  <c r="S19" i="33"/>
  <c r="J17" i="33"/>
  <c r="W17" i="33" s="1"/>
  <c r="F79" i="33"/>
  <c r="S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G91" i="33"/>
  <c r="H91" i="33"/>
  <c r="I91" i="33"/>
  <c r="J91" i="33"/>
  <c r="K91" i="33"/>
  <c r="L91" i="33"/>
  <c r="M91" i="33"/>
  <c r="J27" i="33"/>
  <c r="W27" i="33" s="1"/>
  <c r="U25" i="33"/>
  <c r="AB25" i="33"/>
  <c r="S25" i="33"/>
  <c r="AA25" i="33"/>
  <c r="G87" i="33"/>
  <c r="H87" i="33"/>
  <c r="I87" i="33"/>
  <c r="J87" i="33"/>
  <c r="K87" i="33"/>
  <c r="L87" i="33"/>
  <c r="M87" i="33"/>
  <c r="J25" i="33"/>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5" i="33"/>
  <c r="AC25" i="33"/>
  <c r="U23" i="21"/>
  <c r="AB23" i="21"/>
  <c r="AC23" i="21"/>
  <c r="W23" i="21"/>
  <c r="H109" i="9"/>
  <c r="D16" i="53" s="1"/>
  <c r="B34" i="72" s="1"/>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15"/>
  <c r="D35" i="9"/>
  <c r="F37" i="15"/>
  <c r="M29" i="15"/>
  <c r="E2" i="68"/>
  <c r="D4" i="73"/>
  <c r="E12" i="76"/>
  <c r="M22" i="15"/>
  <c r="M6" i="67"/>
  <c r="F42" i="15"/>
  <c r="D34" i="9"/>
  <c r="B13" i="76"/>
  <c r="E8" i="76"/>
  <c r="E11" i="76"/>
  <c r="F40" i="67"/>
  <c r="F38" i="15"/>
  <c r="M9" i="15"/>
  <c r="B11" i="76"/>
  <c r="E2" i="69"/>
  <c r="F16" i="67"/>
  <c r="L47" i="67"/>
  <c r="J15" i="67"/>
  <c r="F13" i="67"/>
  <c r="F16" i="15"/>
  <c r="E10" i="76"/>
  <c r="D6" i="73"/>
  <c r="F26" i="67"/>
  <c r="D5" i="73"/>
  <c r="M26" i="15"/>
  <c r="M23" i="15"/>
  <c r="M23" i="67"/>
  <c r="L48" i="67"/>
  <c r="L48" i="15"/>
  <c r="F40" i="15"/>
  <c r="F6" i="15"/>
  <c r="M8" i="15"/>
  <c r="M9" i="67"/>
  <c r="AO13" i="1"/>
  <c r="L47" i="15"/>
  <c r="F42" i="67"/>
  <c r="B10" i="76"/>
  <c r="E13" i="76"/>
  <c r="F7" i="73"/>
  <c r="B7" i="76"/>
  <c r="D7" i="73"/>
  <c r="E7" i="76"/>
  <c r="M22" i="67"/>
  <c r="F8" i="67"/>
  <c r="M24" i="15"/>
  <c r="F26" i="15"/>
  <c r="M29" i="67"/>
  <c r="M28" i="67"/>
  <c r="J15" i="15"/>
  <c r="F20" i="31"/>
  <c r="F4" i="73"/>
  <c r="F37" i="67"/>
  <c r="F7" i="15"/>
  <c r="M28" i="15"/>
  <c r="F6" i="73"/>
  <c r="B8" i="76"/>
  <c r="F43" i="67"/>
  <c r="F43" i="15"/>
  <c r="F13" i="15"/>
  <c r="D3" i="73"/>
  <c r="F8" i="15"/>
  <c r="C76" i="67"/>
  <c r="C76" i="15"/>
  <c r="M8" i="67"/>
  <c r="F7" i="67"/>
  <c r="F36" i="15"/>
  <c r="F36" i="67"/>
  <c r="M24" i="67"/>
  <c r="B9" i="76"/>
  <c r="B12" i="76"/>
  <c r="F6" i="67"/>
  <c r="F9" i="67"/>
  <c r="F5" i="73"/>
  <c r="M6" i="15"/>
  <c r="E9" i="76"/>
  <c r="M26" i="67"/>
  <c r="F38" i="67"/>
  <c r="F3" i="73"/>
  <c r="D19" i="53" l="1"/>
  <c r="B38" i="72" s="1"/>
  <c r="H5" i="3"/>
  <c r="G13" i="3"/>
  <c r="W33" i="33"/>
  <c r="U33" i="33"/>
  <c r="S36" i="33"/>
  <c r="AA34" i="33"/>
  <c r="AB28" i="33"/>
  <c r="AB21" i="33"/>
  <c r="AA21" i="33"/>
  <c r="AC34" i="33"/>
  <c r="U32" i="33"/>
  <c r="W42" i="33"/>
  <c r="U42" i="33"/>
  <c r="W38" i="33"/>
  <c r="AA38" i="33"/>
  <c r="AC37" i="33"/>
  <c r="U37" i="33"/>
  <c r="S37" i="33"/>
  <c r="AB34" i="33"/>
  <c r="S32" i="33"/>
  <c r="W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G5" i="3" l="1"/>
  <c r="B3" i="3" s="1"/>
  <c r="E13" i="3"/>
  <c r="AB9" i="33"/>
  <c r="U9" i="33"/>
  <c r="F48" i="9"/>
  <c r="O52" i="9" s="1"/>
  <c r="F30" i="11"/>
  <c r="M18" i="67"/>
  <c r="J18" i="67" s="1"/>
  <c r="M18" i="15"/>
  <c r="J18" i="15" s="1"/>
  <c r="F30" i="69"/>
  <c r="D68" i="9"/>
  <c r="F28" i="67"/>
  <c r="C28" i="67" s="1"/>
  <c r="F32" i="67"/>
  <c r="F60" i="67" s="1"/>
  <c r="F28" i="15"/>
  <c r="C28" i="15" s="1"/>
  <c r="F31" i="12"/>
  <c r="C31" i="12" s="1"/>
  <c r="F30" i="68"/>
  <c r="F52" i="9"/>
  <c r="F32" i="15"/>
  <c r="F60" i="15" s="1"/>
  <c r="F54" i="9"/>
  <c r="N370" i="46"/>
  <c r="F26" i="43"/>
  <c r="H26" i="43"/>
  <c r="G26" i="43"/>
  <c r="E26" i="43"/>
  <c r="N94" i="46"/>
  <c r="E59" i="40"/>
  <c r="K16" i="1"/>
  <c r="C8" i="68" s="1"/>
  <c r="C5" i="68"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E510" i="3" l="1"/>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F48" i="68"/>
  <c r="C30" i="68"/>
  <c r="C48" i="68"/>
  <c r="C48" i="11"/>
  <c r="C30" i="11"/>
  <c r="F48" i="69"/>
  <c r="C30" i="69"/>
  <c r="C48" i="69"/>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H6" i="3" l="1"/>
  <c r="E6" i="3" s="1"/>
  <c r="AC6"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H25" i="6" l="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C19" i="9"/>
  <c r="D2" i="37"/>
  <c r="D2" i="35"/>
  <c r="D2" i="34"/>
  <c r="L51" i="15"/>
  <c r="C102" i="9" l="1"/>
  <c r="C21" i="9"/>
  <c r="B3" i="3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0" i="1"/>
  <c r="AO7" i="1"/>
  <c r="AO12" i="1"/>
  <c r="AO6" i="1"/>
  <c r="C20" i="9"/>
  <c r="AO11" i="1"/>
  <c r="AO8" i="1"/>
  <c r="D19" i="9"/>
  <c r="C103" i="9" l="1"/>
  <c r="D102" i="9"/>
  <c r="D22" i="9"/>
  <c r="G19"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19" i="80" s="1"/>
  <c r="C42" i="40"/>
  <c r="C43" i="40"/>
  <c r="E47" i="40"/>
  <c r="F47" i="40" s="1"/>
  <c r="E46" i="40"/>
  <c r="F46" i="40" s="1"/>
  <c r="I47" i="40"/>
  <c r="J47" i="40" s="1"/>
  <c r="D19" i="80" l="1"/>
  <c r="H19" i="80" s="1"/>
  <c r="S24" i="31"/>
  <c r="R27" i="31"/>
  <c r="R28" i="31"/>
  <c r="R26" i="31"/>
  <c r="R29"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I19" i="80" l="1"/>
  <c r="K19" i="80" s="1"/>
  <c r="F19" i="80"/>
  <c r="S28" i="31"/>
  <c r="C20" i="80"/>
  <c r="D20" i="80" s="1"/>
  <c r="S27" i="31"/>
  <c r="C13" i="80"/>
  <c r="D13" i="80" s="1"/>
  <c r="F13" i="80" s="1"/>
  <c r="S26" i="31"/>
  <c r="C12" i="80"/>
  <c r="D12" i="80" s="1"/>
  <c r="S29" i="31"/>
  <c r="C4" i="80"/>
  <c r="D4" i="80" s="1"/>
  <c r="S25" i="31"/>
  <c r="D14" i="74" s="1"/>
  <c r="C3" i="80"/>
  <c r="D3" i="80" s="1"/>
  <c r="H3" i="80" l="1"/>
  <c r="H20" i="80"/>
  <c r="H13" i="80"/>
  <c r="H4" i="80"/>
  <c r="J19" i="80"/>
  <c r="H12" i="80"/>
  <c r="F4" i="80"/>
  <c r="F3" i="80"/>
  <c r="T24" i="31"/>
  <c r="V24" i="31" s="1"/>
  <c r="F20" i="80"/>
  <c r="F12" i="80"/>
  <c r="D14" i="80"/>
  <c r="F14" i="80" s="1"/>
  <c r="D5" i="80"/>
  <c r="S22" i="31"/>
  <c r="R22" i="31" s="1"/>
  <c r="B6" i="74"/>
  <c r="D6" i="74" s="1"/>
  <c r="J3" i="80" l="1"/>
  <c r="J21" i="80"/>
  <c r="K21" i="80" s="1"/>
  <c r="I20" i="80"/>
  <c r="K20" i="80" s="1"/>
  <c r="I13" i="80"/>
  <c r="K13" i="80" s="1"/>
  <c r="I4" i="80"/>
  <c r="K4" i="80" s="1"/>
  <c r="O19" i="80"/>
  <c r="P19" i="80" s="1"/>
  <c r="I12" i="80"/>
  <c r="K12" i="80" s="1"/>
  <c r="I3" i="80"/>
  <c r="B5" i="74"/>
  <c r="C5" i="80"/>
  <c r="F5" i="80"/>
  <c r="B20" i="31"/>
  <c r="B21" i="31" s="1"/>
  <c r="O21" i="80" l="1"/>
  <c r="P21" i="80" s="1"/>
  <c r="N21" i="80"/>
  <c r="O20" i="80"/>
  <c r="P20" i="80" s="1"/>
  <c r="N20" i="80"/>
  <c r="O13" i="80"/>
  <c r="P13" i="80" s="1"/>
  <c r="N13" i="80"/>
  <c r="O12" i="80"/>
  <c r="P12" i="80" s="1"/>
  <c r="N12" i="80"/>
  <c r="O4" i="80"/>
  <c r="P4" i="80" s="1"/>
  <c r="N4" i="80"/>
  <c r="K3" i="80"/>
  <c r="N3" i="80" s="1"/>
  <c r="E14" i="74"/>
  <c r="F14" i="74"/>
  <c r="D5" i="74"/>
  <c r="O3" i="80" l="1"/>
  <c r="P3" i="80" s="1"/>
  <c r="C21" i="80" l="1"/>
  <c r="D21" i="80" s="1"/>
  <c r="F21" i="80" l="1"/>
  <c r="D22" i="80"/>
  <c r="F22" i="80" l="1"/>
  <c r="D23" i="80"/>
  <c r="F23" i="80" s="1"/>
  <c r="D52" i="9" l="1"/>
  <c r="D53" i="9"/>
  <c r="I4" i="52"/>
  <c r="C105" i="9"/>
  <c r="C104" i="9"/>
  <c r="H4" i="52"/>
  <c r="N58" i="9"/>
  <c r="P57" i="9"/>
  <c r="N61" i="9"/>
  <c r="N60" i="9"/>
  <c r="B52" i="72"/>
  <c r="N69" i="9"/>
  <c r="N59" i="9"/>
  <c r="B21" i="72"/>
  <c r="H119" i="9"/>
  <c r="H5" i="52"/>
  <c r="D8" i="52"/>
  <c r="B20" i="72"/>
  <c r="B53" i="72"/>
  <c r="C93" i="9"/>
  <c r="C86" i="9"/>
  <c r="L67" i="9"/>
  <c r="M67" i="9"/>
  <c r="B30" i="72"/>
  <c r="C81" i="9"/>
  <c r="M55" i="9"/>
  <c r="L65" i="9"/>
  <c r="M65" i="9"/>
  <c r="C78" i="9"/>
  <c r="C73" i="9"/>
  <c r="L66" i="9"/>
  <c r="M66" i="9"/>
  <c r="C6" i="74"/>
  <c r="M48" i="9"/>
  <c r="N57" i="9"/>
  <c r="D5" i="53"/>
  <c r="D6" i="53"/>
  <c r="B22" i="72"/>
  <c r="E81" i="9"/>
  <c r="B49" i="72"/>
  <c r="D55" i="9"/>
  <c r="M53" i="9"/>
  <c r="F5" i="52"/>
  <c r="D5" i="52"/>
  <c r="D15" i="53"/>
  <c r="B31" i="72"/>
  <c r="D56" i="9"/>
  <c r="M54" i="9"/>
  <c r="L68" i="9"/>
  <c r="M68" i="9"/>
  <c r="C5" i="74"/>
  <c r="H102" i="9"/>
  <c r="D7" i="53"/>
  <c r="H108" i="9"/>
  <c r="D13" i="53"/>
  <c r="D14" i="53"/>
  <c r="B32" i="72"/>
  <c r="D59" i="9"/>
  <c r="G4" i="52"/>
  <c r="L63" i="9"/>
  <c r="M63" i="9"/>
  <c r="M69" i="9"/>
  <c r="D122" i="9"/>
  <c r="D123" i="9"/>
  <c r="D9" i="52"/>
  <c r="D119" i="9"/>
  <c r="C67" i="9"/>
  <c r="C68" i="9"/>
  <c r="D54" i="9"/>
  <c r="F119" i="9"/>
  <c r="B48" i="72"/>
  <c r="H107" i="9"/>
  <c r="M49" i="9"/>
  <c r="L64" i="9"/>
  <c r="M64" i="9"/>
  <c r="D58" i="9"/>
  <c r="C64" i="9"/>
  <c r="C63" i="9"/>
  <c r="E4" i="52"/>
  <c r="E118" i="9"/>
  <c r="D118" i="9"/>
  <c r="D4" i="52"/>
  <c r="B47" i="72"/>
  <c r="C97" i="9"/>
  <c r="C96" i="9"/>
  <c r="E96" i="9"/>
  <c r="E97" i="9"/>
  <c r="G118" i="9"/>
  <c r="F118" i="9"/>
  <c r="F4" i="52"/>
  <c r="B51" i="72"/>
  <c r="C72" i="9"/>
  <c r="C79" i="9"/>
  <c r="C80" i="9"/>
  <c r="E80"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<sst xmlns="http://schemas.openxmlformats.org/spreadsheetml/2006/main" count="7927" uniqueCount="3475">
  <si>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</si>
  <si>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</si>
  <si>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</si>
  <si>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</si>
  <si>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</si>
  <si>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</si>
  <si>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</si>
  <si>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</si>
  <si>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</si>
  <si>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</si>
  <si>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</si>
  <si>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</si>
  <si>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</si>
  <si>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</si>
  <si>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</si>
  <si>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</si>
  <si>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</si>
  <si>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</si>
  <si>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</si>
  <si>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</si>
  <si>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</si>
  <si>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</si>
  <si>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</si>
  <si>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</si>
  <si>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</si>
  <si>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</si>
  <si>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</si>
  <si>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</si>
  <si>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</si>
  <si>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</si>
  <si>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</si>
  <si>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</si>
  <si>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</si>
  <si>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</si>
  <si>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</si>
  <si>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</si>
  <si>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</si>
  <si>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</si>
  <si>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</si>
  <si>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</si>
  <si>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</si>
  <si>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</si>
  <si>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</si>
  <si>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</si>
  <si>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</si>
  <si>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</si>
  <si>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</si>
  <si>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</si>
  <si>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</si>
  <si>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</si>
  <si>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</si>
  <si>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</si>
  <si>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</si>
  <si>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</si>
  <si>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</si>
  <si>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</si>
  <si>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</si>
  <si>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</si>
  <si>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</si>
  <si>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</si>
  <si>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</si>
  <si>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</si>
  <si>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</si>
  <si>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</si>
  <si>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</si>
  <si>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</si>
  <si>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</si>
  <si>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</si>
  <si>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</si>
  <si>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</si>
  <si>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</si>
  <si>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</si>
  <si>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</si>
  <si>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</si>
  <si>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</si>
  <si>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</si>
  <si>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</si>
  <si>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</si>
  <si>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</si>
  <si>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</si>
  <si>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</si>
  <si>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</si>
  <si>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</si>
  <si>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</si>
  <si>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</si>
  <si>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</si>
  <si>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</si>
  <si>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</si>
  <si>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</si>
  <si>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</si>
  <si>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</si>
  <si>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</si>
  <si>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</si>
  <si>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</si>
  <si>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</si>
  <si>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</si>
  <si>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</si>
  <si>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</si>
  <si>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</si>
  <si>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</si>
  <si>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</si>
  <si>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</si>
  <si>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</si>
  <si>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</si>
  <si>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</si>
  <si>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</si>
  <si>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</si>
  <si>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</si>
  <si>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</si>
  <si>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</si>
  <si>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</si>
  <si>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</si>
  <si>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</si>
  <si>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</si>
  <si>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</si>
  <si>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</si>
  <si>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</si>
  <si>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</si>
  <si>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</si>
  <si>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</si>
  <si>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</si>
  <si>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</si>
  <si>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</si>
  <si>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</si>
  <si>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</si>
  <si>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</si>
  <si>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</si>
  <si>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</si>
  <si>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</si>
  <si>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</si>
  <si>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</si>
  <si>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</si>
  <si>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</si>
  <si>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</si>
  <si>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</si>
  <si>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</si>
  <si>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</si>
  <si>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</si>
  <si>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</si>
  <si>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</si>
  <si>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</si>
  <si>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</si>
  <si>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</si>
  <si>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</si>
  <si>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</si>
  <si>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</si>
  <si>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</si>
  <si>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</si>
  <si>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</si>
  <si>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</si>
  <si>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</si>
  <si>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</si>
  <si>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</si>
  <si>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</si>
  <si>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</si>
  <si>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</si>
  <si>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</si>
  <si>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</si>
  <si>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</si>
  <si>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</si>
  <si>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</si>
  <si>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</si>
  <si>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</si>
  <si>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</si>
  <si>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</si>
  <si>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</si>
  <si>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</si>
  <si>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</si>
  <si>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</si>
  <si>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</si>
  <si>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</si>
  <si>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</si>
  <si>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</si>
  <si>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</si>
  <si>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</si>
  <si>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</si>
  <si>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</si>
  <si>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</si>
  <si>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</si>
  <si>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</si>
  <si>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</si>
  <si>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</si>
  <si>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</si>
  <si>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</si>
  <si>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</si>
  <si>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</si>
  <si>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</si>
  <si>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</si>
  <si>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</si>
  <si>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</si>
  <si>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</si>
  <si>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</si>
  <si>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</si>
  <si>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</si>
  <si>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</si>
  <si>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</si>
  <si>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</si>
  <si>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</si>
  <si>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</si>
  <si>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</si>
  <si>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</si>
  <si>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</si>
  <si>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</si>
  <si>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</si>
  <si>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</si>
  <si>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</si>
  <si>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</si>
  <si>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</si>
  <si>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</si>
  <si>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</si>
  <si>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</si>
  <si>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</si>
  <si>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</si>
  <si>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</si>
  <si>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</si>
  <si>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</si>
  <si>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</si>
  <si>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</si>
  <si>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</si>
  <si>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</si>
  <si>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</si>
  <si>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</si>
  <si>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</si>
  <si>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</si>
  <si>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</si>
  <si>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</si>
  <si>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</si>
  <si>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</si>
  <si>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</si>
  <si>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</si>
  <si>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</si>
  <si>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</si>
  <si>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</si>
  <si>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</si>
  <si>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</si>
  <si>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</si>
  <si>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</si>
  <si>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</si>
  <si>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</si>
  <si>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</si>
  <si>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</si>
  <si>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</si>
  <si>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</si>
  <si>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</si>
  <si>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</si>
  <si>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</si>
  <si>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</si>
  <si>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</si>
  <si>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</si>
  <si>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</si>
  <si>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</si>
  <si>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</si>
  <si>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</si>
  <si>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</si>
  <si>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</si>
  <si>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</si>
  <si>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</si>
  <si>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</si>
  <si>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</si>
  <si>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</si>
  <si>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</si>
  <si>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</si>
  <si>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</si>
  <si>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</si>
  <si>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</si>
  <si>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</si>
  <si>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</si>
  <si>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</si>
  <si>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</si>
  <si>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</si>
  <si>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</si>
  <si>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</si>
  <si>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</si>
  <si>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</si>
  <si>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</si>
  <si>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</si>
  <si>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</si>
  <si>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</si>
  <si>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</si>
  <si>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</si>
  <si>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</si>
  <si>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</si>
  <si>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</si>
  <si>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</si>
  <si>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</si>
  <si>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</si>
  <si>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</si>
  <si>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</si>
  <si>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</si>
  <si>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</si>
  <si>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</si>
  <si>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</si>
  <si>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</si>
  <si>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</si>
  <si>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</si>
  <si>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</si>
  <si>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</si>
  <si>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</si>
  <si>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</si>
  <si>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</si>
  <si>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</si>
  <si>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</si>
  <si>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</si>
  <si>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</si>
  <si>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</si>
  <si>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</si>
  <si>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</si>
  <si>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</si>
  <si>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</si>
  <si>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</si>
  <si>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</si>
  <si>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</si>
  <si>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</si>
  <si>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</si>
  <si>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</si>
  <si>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</si>
  <si>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</si>
  <si>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</si>
  <si>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</si>
  <si>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</si>
  <si>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</si>
  <si>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</si>
  <si>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</si>
  <si>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</si>
  <si>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</si>
  <si>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</si>
  <si>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</si>
  <si>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</si>
  <si>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</si>
  <si>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</si>
  <si>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</si>
  <si>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</si>
  <si>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</si>
  <si>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</si>
  <si>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</si>
  <si>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</si>
  <si>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</si>
  <si>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</si>
  <si>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</si>
  <si>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</si>
  <si>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</si>
  <si>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</si>
  <si>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</si>
  <si>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</si>
  <si>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</si>
  <si>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</si>
  <si>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</si>
  <si>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</si>
  <si>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</si>
  <si>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</si>
  <si>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</si>
  <si>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</si>
  <si>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</si>
  <si>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</si>
  <si>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</si>
  <si>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</si>
  <si>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</si>
  <si>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</si>
  <si>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</si>
  <si>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</si>
  <si>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</si>
  <si>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</si>
  <si>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</si>
  <si>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</si>
  <si>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</si>
  <si>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</si>
  <si>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</si>
  <si>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</si>
  <si>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</si>
  <si>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</si>
  <si>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</si>
  <si>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</si>
  <si>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</si>
  <si>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</si>
  <si>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</si>
  <si>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</si>
  <si>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</si>
  <si>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</si>
  <si>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</si>
  <si>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</si>
  <si>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</si>
  <si>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</si>
  <si>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</si>
  <si>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</si>
  <si>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</si>
  <si>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</si>
  <si>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</si>
  <si>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</si>
  <si>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</si>
  <si>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</si>
  <si>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</si>
  <si>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</si>
  <si>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</si>
  <si>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</si>
  <si>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</si>
  <si>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</si>
  <si>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</si>
  <si>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</si>
  <si>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</si>
  <si>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</si>
  <si>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</si>
  <si>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</si>
  <si>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</si>
  <si>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</si>
  <si>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</si>
  <si>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</si>
  <si>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</si>
  <si>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</si>
  <si>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</si>
  <si>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</si>
  <si>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</si>
  <si>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</si>
  <si>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</si>
  <si>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</si>
  <si>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</si>
  <si>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</si>
  <si>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</si>
  <si>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</si>
  <si>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</si>
  <si>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</si>
  <si>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</si>
  <si>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</si>
  <si>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</si>
  <si>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</si>
  <si>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</si>
  <si>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</si>
  <si>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</si>
  <si>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</si>
  <si>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</si>
  <si>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</si>
  <si>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</si>
  <si>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</si>
  <si>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</si>
  <si>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</si>
  <si>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</si>
  <si>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</si>
  <si>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</si>
  <si>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</si>
  <si>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</si>
  <si>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</si>
  <si>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</si>
  <si>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</si>
  <si>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</si>
  <si>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</si>
  <si>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</si>
  <si>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</si>
  <si>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</si>
  <si>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</si>
  <si>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</si>
  <si>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</si>
  <si>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</si>
  <si>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</si>
  <si>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</si>
  <si>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</si>
  <si>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</si>
  <si>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</si>
  <si>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</si>
  <si>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</si>
  <si>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</si>
  <si>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</si>
  <si>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</si>
  <si>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</si>
  <si>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</si>
  <si>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</si>
  <si>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</si>
  <si>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</si>
  <si>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</si>
  <si>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</si>
  <si>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</si>
  <si>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</si>
  <si>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</si>
  <si>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</si>
  <si>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</si>
  <si>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</si>
  <si>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</si>
  <si>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</si>
  <si>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</si>
  <si>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</si>
  <si>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</si>
  <si>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</si>
  <si>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</si>
  <si>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</si>
  <si>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</si>
  <si>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</si>
  <si>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</si>
  <si>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</si>
  <si>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</si>
  <si>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</si>
  <si>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</si>
  <si>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</si>
  <si>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</si>
  <si>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</si>
  <si>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</si>
  <si>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</si>
  <si>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</si>
  <si>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</si>
  <si>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</si>
  <si>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</si>
  <si>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</si>
  <si>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</si>
  <si>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</si>
  <si>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</si>
  <si>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</si>
  <si>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</si>
  <si>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</si>
  <si>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</si>
  <si>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</si>
  <si>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</si>
  <si>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</si>
  <si>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</si>
  <si>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</si>
  <si>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</si>
  <si>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</si>
  <si>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</si>
  <si>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</si>
  <si>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</si>
  <si>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</si>
  <si>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</si>
  <si>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</si>
  <si>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</si>
  <si>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</si>
  <si>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</si>
  <si>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</si>
  <si>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</si>
  <si>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</si>
  <si>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</si>
  <si>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</si>
  <si>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</si>
  <si>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</si>
  <si>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</si>
  <si>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</si>
  <si>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</si>
  <si>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</si>
  <si>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</si>
  <si>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</si>
  <si>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</si>
  <si>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</si>
  <si>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</si>
  <si>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</si>
  <si>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</si>
  <si>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</si>
  <si>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</si>
  <si>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</si>
  <si>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</si>
  <si>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</si>
  <si>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</si>
  <si>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</si>
  <si>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</si>
  <si>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</si>
  <si>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</si>
  <si>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</si>
  <si>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</si>
  <si>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</si>
  <si>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</si>
  <si>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</si>
  <si>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</si>
  <si>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</si>
  <si>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</si>
  <si>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</si>
  <si>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</si>
  <si>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</si>
  <si>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</si>
  <si>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</si>
  <si>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</si>
  <si>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</si>
  <si>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</si>
  <si>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</si>
  <si>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</si>
  <si>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</si>
  <si>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</si>
  <si>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</si>
  <si>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</si>
  <si>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</si>
  <si>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</si>
  <si>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</si>
  <si>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</si>
  <si>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</si>
  <si>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</si>
  <si>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</si>
  <si>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</si>
  <si>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</si>
  <si>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</si>
  <si>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</si>
  <si>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</si>
  <si>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</si>
  <si>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</si>
  <si>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</si>
  <si>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</si>
  <si>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</si>
  <si>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</si>
  <si>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</si>
  <si>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</si>
  <si>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</si>
  <si>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</si>
  <si>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</si>
  <si>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</si>
  <si>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</si>
  <si>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</si>
  <si>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</si>
  <si>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</si>
  <si>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</si>
  <si>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</si>
  <si>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</si>
  <si>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</si>
  <si>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</si>
  <si>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</si>
  <si>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</si>
  <si>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</si>
  <si>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</si>
  <si>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</si>
  <si>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</si>
  <si>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</si>
  <si>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</si>
  <si>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</si>
  <si>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</si>
  <si>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</si>
  <si>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</si>
  <si>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</si>
  <si>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</si>
  <si>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</si>
  <si>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</si>
  <si>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</si>
  <si>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</si>
  <si>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</si>
  <si>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</si>
  <si>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</si>
  <si>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</si>
  <si>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</si>
  <si>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</si>
  <si>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</si>
  <si>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</si>
  <si>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</si>
  <si>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</si>
  <si>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</si>
  <si>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</si>
  <si>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</si>
  <si>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</si>
  <si>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</si>
  <si>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</si>
  <si>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</si>
  <si>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</si>
  <si>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</si>
  <si>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</si>
  <si>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</si>
  <si>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</si>
  <si>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</si>
  <si>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</si>
  <si>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</si>
  <si>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</si>
  <si>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</si>
  <si>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</si>
  <si>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</si>
  <si>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</si>
  <si>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</si>
  <si>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</si>
  <si>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</si>
  <si>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</si>
  <si>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</si>
  <si>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</si>
  <si>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</si>
  <si>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</si>
  <si>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</si>
  <si>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</si>
  <si>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</si>
  <si>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</si>
  <si>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</si>
  <si>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</si>
  <si>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</si>
  <si>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</si>
  <si>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</si>
  <si>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</si>
  <si>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</si>
  <si>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</si>
  <si>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</si>
  <si>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</si>
  <si>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</si>
  <si>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</si>
  <si>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</si>
  <si>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</si>
  <si>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</si>
  <si>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</si>
  <si>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</si>
  <si>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</si>
  <si>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</si>
  <si>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</si>
  <si>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</si>
  <si>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</si>
  <si>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</si>
  <si>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</si>
  <si>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</si>
  <si>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</si>
  <si>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</si>
  <si>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</si>
  <si>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</si>
  <si>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</si>
  <si>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</si>
  <si>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</si>
  <si>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</si>
  <si>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</si>
  <si>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</si>
  <si>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</si>
  <si>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</si>
  <si>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</si>
  <si>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</si>
  <si>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</si>
  <si>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</si>
  <si>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</si>
  <si>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</si>
  <si>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</si>
  <si>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</si>
  <si>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</si>
  <si>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</si>
  <si>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</si>
  <si>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</si>
  <si>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</si>
  <si>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</si>
  <si>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</si>
  <si>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</si>
  <si>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</si>
  <si>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</si>
  <si>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</si>
  <si>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</si>
  <si>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</si>
  <si>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</si>
  <si>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</si>
  <si>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</si>
  <si>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</si>
  <si>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</si>
  <si>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</si>
  <si>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</si>
  <si>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</si>
  <si>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</si>
  <si>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</si>
  <si>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</si>
  <si>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</si>
  <si>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</si>
  <si>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</si>
  <si>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</si>
  <si>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</si>
  <si>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</si>
  <si>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</si>
  <si>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</si>
  <si>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</si>
  <si>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</si>
  <si>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</si>
  <si>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</si>
  <si>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</si>
  <si>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</si>
  <si>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</si>
  <si>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</si>
  <si>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</si>
  <si>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</si>
  <si>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</si>
  <si>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</si>
  <si>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</si>
  <si>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</si>
  <si>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</si>
  <si>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</si>
  <si>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</si>
  <si>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</si>
  <si>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</si>
  <si>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</si>
  <si>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</si>
  <si>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</si>
  <si>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</si>
  <si>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</si>
  <si>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</si>
  <si>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</si>
  <si>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</si>
  <si>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</si>
  <si>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</si>
  <si>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</si>
  <si>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</si>
  <si>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</si>
  <si>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</si>
  <si>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</si>
  <si>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</si>
  <si>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</si>
  <si>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</si>
  <si>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</si>
  <si>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</si>
  <si>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</si>
  <si>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</si>
  <si>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</si>
  <si>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</si>
  <si>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</si>
  <si>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</si>
  <si>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</si>
  <si>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</si>
  <si>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</si>
  <si>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</si>
  <si>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</si>
  <si>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</si>
  <si>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</si>
  <si>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</si>
  <si>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</si>
  <si>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</si>
  <si>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</si>
  <si>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</si>
  <si>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</si>
  <si>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</si>
  <si>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</si>
  <si>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</si>
  <si>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</si>
  <si>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</si>
  <si>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</si>
  <si>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</si>
  <si>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</si>
  <si>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</si>
  <si>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</si>
  <si>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</si>
  <si>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</si>
  <si>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</si>
  <si>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</si>
  <si>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</si>
  <si>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</si>
  <si>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</si>
  <si>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</si>
  <si>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</si>
  <si>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</si>
  <si>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</si>
  <si>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</si>
  <si>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</si>
  <si>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</si>
  <si>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</si>
  <si>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</si>
  <si>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</si>
  <si>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</si>
  <si>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</si>
  <si>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</si>
  <si>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</si>
  <si>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</si>
  <si>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</si>
  <si>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</si>
  <si>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</si>
  <si>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</si>
  <si>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</si>
  <si>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</si>
  <si>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</si>
  <si>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</si>
  <si>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</si>
  <si>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</si>
  <si>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</si>
  <si>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</si>
  <si>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</si>
  <si>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</si>
  <si>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</si>
  <si>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</si>
  <si>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</si>
  <si>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</si>
  <si>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</si>
  <si>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</si>
  <si>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</si>
  <si>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</si>
  <si>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</si>
  <si>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</si>
  <si>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</si>
  <si>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</si>
  <si>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</si>
  <si>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</si>
  <si>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</si>
  <si>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</si>
  <si>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</si>
  <si>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</si>
  <si>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</si>
  <si>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</si>
  <si>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</si>
  <si>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</si>
  <si>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</si>
  <si>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</si>
  <si>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</si>
  <si>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</si>
  <si>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</si>
  <si>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</si>
  <si>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</si>
  <si>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</si>
  <si>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</si>
  <si>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</si>
  <si>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</si>
  <si>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</si>
  <si>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</si>
  <si>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</si>
  <si>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</si>
  <si>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</si>
  <si>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</si>
  <si>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</si>
  <si>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</si>
  <si>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</si>
  <si>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</si>
  <si>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</si>
  <si>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</si>
  <si>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</si>
  <si>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</si>
  <si>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</si>
  <si>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</si>
  <si>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</si>
  <si>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</si>
  <si>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</si>
  <si>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</si>
  <si>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</si>
  <si>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</si>
  <si>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</si>
  <si>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</si>
  <si>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</si>
  <si>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</si>
  <si>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</si>
  <si>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</si>
  <si>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</si>
  <si>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</si>
  <si>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</si>
  <si>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</si>
  <si>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</si>
  <si>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</si>
  <si>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</si>
  <si>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</si>
  <si>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</si>
  <si>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</si>
  <si>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</si>
  <si>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</si>
  <si>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</si>
  <si>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</si>
  <si>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</si>
  <si>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</si>
  <si>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</si>
  <si>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</si>
  <si>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</si>
  <si>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</si>
  <si>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</si>
  <si>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</si>
  <si>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</si>
  <si>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</si>
  <si>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</si>
  <si>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</si>
  <si>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</si>
  <si>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</si>
  <si>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</si>
  <si>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</si>
  <si>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</si>
  <si>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</si>
  <si>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</si>
  <si>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</si>
  <si>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</si>
  <si>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</si>
  <si>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</si>
  <si>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</si>
  <si>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</si>
  <si>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</si>
  <si>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</si>
  <si>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</si>
  <si>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</si>
  <si>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</si>
  <si>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</si>
  <si>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</si>
  <si>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</si>
  <si>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</si>
  <si>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</si>
  <si>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</si>
  <si>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</si>
  <si>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</si>
  <si>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</si>
  <si>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</si>
  <si>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</si>
  <si>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</si>
  <si>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</si>
  <si>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</si>
  <si>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</si>
  <si>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</si>
  <si>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</si>
  <si>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</si>
  <si>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</si>
  <si>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</si>
  <si>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</si>
  <si>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</si>
  <si>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</si>
  <si>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</si>
  <si>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</si>
  <si>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</si>
  <si>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</si>
  <si>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</si>
  <si>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</si>
  <si>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</si>
  <si>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</si>
  <si>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</si>
  <si>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</si>
  <si>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</si>
  <si>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</si>
  <si>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</si>
  <si>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</si>
  <si>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</si>
  <si>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</si>
  <si>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</si>
  <si>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</si>
  <si>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</si>
  <si>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</si>
  <si>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</si>
  <si>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</si>
  <si>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</si>
  <si>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</si>
  <si>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</si>
  <si>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</si>
  <si>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</si>
  <si>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</si>
  <si>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</si>
  <si>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</si>
  <si>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</si>
  <si>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</si>
  <si>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</si>
  <si>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</si>
  <si>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</si>
  <si>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</si>
  <si>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</si>
  <si>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</si>
  <si>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</si>
  <si>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</si>
  <si>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</si>
  <si>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</si>
  <si>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</si>
  <si>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</si>
  <si>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</si>
  <si>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</si>
  <si>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</si>
  <si>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</si>
  <si>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</si>
  <si>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</si>
  <si>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</si>
  <si>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</si>
  <si>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</si>
  <si>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</si>
  <si>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</si>
  <si>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</si>
  <si>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</si>
  <si>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</si>
  <si>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</si>
  <si>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</si>
  <si>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</si>
  <si>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</si>
  <si>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</si>
  <si>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</si>
  <si>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</si>
  <si>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</si>
  <si>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</si>
  <si>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</si>
  <si>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</si>
  <si>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</si>
  <si>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</si>
  <si>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</si>
  <si>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</si>
  <si>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</si>
  <si>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</si>
  <si>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</si>
  <si>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</si>
  <si>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</si>
  <si>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</si>
  <si>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</si>
  <si>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</si>
  <si>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</si>
  <si>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</si>
  <si>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</si>
  <si>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</si>
  <si>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</si>
  <si>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</si>
  <si>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</si>
  <si>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</si>
  <si>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</si>
  <si>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</si>
  <si>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</si>
  <si>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</si>
  <si>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</si>
  <si>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</si>
  <si>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</si>
  <si>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</si>
  <si>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</si>
  <si>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</si>
  <si>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</si>
  <si>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</si>
  <si>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</si>
  <si>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</si>
  <si>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</si>
  <si>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</si>
  <si>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</si>
  <si>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</si>
  <si>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</si>
  <si>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</si>
  <si>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</si>
  <si>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</si>
  <si>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</si>
  <si>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</si>
  <si>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</si>
  <si>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</si>
  <si>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</si>
  <si>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</si>
  <si>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</si>
  <si>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</si>
  <si>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</si>
  <si>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</si>
  <si>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</si>
  <si>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</si>
  <si>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</si>
  <si>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</si>
  <si>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</si>
  <si>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</si>
  <si>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</si>
  <si>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</si>
  <si>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</si>
  <si>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</si>
  <si>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</si>
  <si>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</si>
  <si>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</si>
  <si>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</si>
  <si>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</si>
  <si>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</si>
  <si>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</si>
  <si>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</si>
  <si>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</si>
  <si>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</si>
  <si>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</si>
  <si>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</si>
  <si>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</si>
  <si>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</si>
  <si>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</si>
  <si>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</si>
  <si>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</si>
  <si>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</si>
  <si>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</si>
  <si>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</si>
  <si>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</si>
  <si>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</si>
  <si>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</si>
  <si>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</si>
  <si>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</si>
  <si>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</si>
  <si>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</si>
  <si>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</si>
  <si>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</si>
  <si>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</si>
  <si>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</si>
  <si>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</si>
  <si>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</si>
  <si>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</si>
  <si>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</si>
  <si>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</si>
  <si>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</si>
  <si>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</si>
  <si>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</si>
  <si>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</si>
  <si>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</si>
  <si>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</si>
  <si>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</si>
  <si>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</si>
  <si>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</si>
  <si>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</si>
  <si>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</si>
  <si>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</si>
  <si>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</si>
  <si>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</si>
  <si>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</si>
  <si>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</si>
  <si>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</si>
  <si>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</si>
  <si>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</si>
  <si>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</si>
  <si>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</si>
  <si>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</si>
  <si>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</si>
  <si>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</si>
  <si>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</si>
  <si>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</si>
  <si>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</si>
  <si>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</si>
  <si>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</si>
  <si>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</si>
  <si>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</si>
  <si>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</si>
  <si>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</si>
  <si>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</si>
  <si>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</si>
  <si>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</si>
  <si>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</si>
  <si>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</si>
  <si>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</si>
  <si>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</si>
  <si>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</si>
  <si>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</si>
  <si>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</si>
  <si>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</si>
  <si>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</si>
  <si>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</si>
  <si>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</si>
  <si>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</si>
  <si>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</si>
  <si>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</si>
  <si>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</si>
  <si>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</si>
  <si>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</si>
  <si>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</si>
  <si>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</si>
  <si>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</si>
  <si>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</si>
  <si>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</si>
  <si>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</si>
  <si>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</si>
  <si>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</si>
  <si>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</si>
  <si>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</si>
  <si>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</si>
  <si>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</si>
  <si>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</si>
  <si>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</si>
  <si>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</si>
  <si>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</si>
  <si>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</si>
  <si>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</si>
  <si>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</si>
  <si>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</si>
  <si>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</si>
  <si>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</si>
  <si>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</si>
  <si>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</si>
  <si>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</si>
  <si>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</si>
  <si>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</si>
  <si>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</si>
  <si>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</si>
  <si>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</si>
  <si>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</si>
  <si>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</si>
  <si>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</si>
  <si>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</si>
  <si>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</si>
  <si>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</si>
  <si>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</si>
  <si>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</si>
  <si>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</si>
  <si>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</si>
  <si>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</si>
  <si>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</si>
  <si>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</si>
  <si>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</si>
  <si>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</si>
  <si>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</si>
  <si>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</si>
  <si>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</si>
  <si>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</si>
  <si>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</si>
  <si>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</si>
  <si>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</si>
  <si>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</si>
  <si>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</si>
  <si>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</si>
  <si>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</si>
  <si>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</si>
  <si>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</si>
  <si>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</si>
  <si>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</si>
  <si>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</si>
  <si>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</si>
  <si>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</si>
  <si>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</si>
  <si>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</si>
  <si>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</si>
  <si>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</si>
  <si>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</si>
  <si>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</si>
  <si>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</si>
  <si>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</si>
  <si>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</si>
  <si>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</si>
  <si>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</si>
  <si>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</si>
  <si>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</si>
  <si>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</si>
  <si>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</si>
  <si>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</si>
  <si>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</si>
  <si>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</si>
  <si>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</si>
  <si>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</si>
  <si>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</si>
  <si>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</si>
  <si>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</si>
  <si>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</si>
  <si>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</si>
  <si>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</si>
  <si>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</si>
  <si>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</si>
  <si>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</si>
  <si>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</si>
  <si>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</si>
  <si>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</si>
  <si>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</si>
  <si>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</si>
  <si>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</si>
  <si>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</si>
  <si>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</si>
  <si>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</si>
  <si>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</si>
  <si>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</si>
  <si>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</si>
  <si>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</si>
  <si>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</si>
  <si>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</si>
  <si>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</si>
  <si>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</si>
  <si>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</si>
  <si>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</si>
  <si>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</si>
  <si>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</si>
  <si>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</si>
  <si>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</si>
  <si>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</si>
  <si>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</si>
  <si>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</si>
  <si>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</si>
  <si>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</si>
  <si>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</si>
  <si>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</si>
  <si>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</si>
  <si>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</si>
  <si>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</si>
  <si>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</si>
  <si>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</si>
  <si>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</si>
  <si>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</si>
  <si>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</si>
  <si>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</si>
  <si>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</si>
  <si>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</si>
  <si>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</si>
  <si>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</si>
  <si>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</si>
  <si>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</si>
  <si>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</si>
  <si>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</si>
  <si>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</si>
  <si>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</si>
  <si>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</si>
  <si>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</si>
  <si>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</si>
  <si>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</si>
  <si>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</si>
  <si>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</si>
  <si>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</si>
  <si>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</si>
  <si>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</si>
  <si>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</si>
  <si>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</si>
  <si>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</si>
  <si>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</si>
  <si>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</si>
  <si>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</si>
  <si>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</si>
  <si>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</si>
  <si>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</si>
  <si>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</si>
  <si>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</si>
  <si>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</si>
  <si>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</si>
  <si>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</si>
  <si>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</si>
  <si>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</si>
  <si>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</si>
  <si>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</si>
  <si>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</si>
  <si>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</si>
  <si>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</si>
  <si>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</si>
  <si>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</si>
  <si>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</si>
  <si>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</si>
  <si>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</si>
  <si>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</si>
  <si>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</si>
  <si>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</si>
  <si>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</si>
  <si>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</si>
  <si>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</si>
  <si>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</si>
  <si>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</si>
  <si>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</si>
  <si>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</si>
  <si>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</si>
  <si>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</si>
  <si>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</si>
  <si>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</si>
  <si>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</si>
  <si>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</si>
  <si>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</si>
  <si>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</si>
  <si>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</si>
  <si>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</si>
  <si>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</si>
  <si>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</si>
  <si>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</si>
  <si>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</si>
  <si>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</si>
  <si>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</si>
  <si>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</si>
  <si>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</si>
  <si>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</si>
  <si>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</si>
  <si>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</si>
  <si>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</si>
  <si>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</si>
  <si>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</si>
  <si>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</si>
  <si>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</si>
  <si>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</si>
  <si>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</si>
  <si>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</si>
  <si>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</si>
  <si>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</si>
  <si>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</si>
  <si>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</si>
  <si>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</si>
  <si>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</si>
  <si>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</si>
  <si>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</si>
  <si>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</si>
  <si>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</si>
  <si>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</si>
  <si>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</si>
  <si>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</si>
  <si>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</si>
  <si>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</si>
  <si>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</si>
  <si>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</si>
  <si>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</si>
  <si>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</si>
  <si>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</si>
  <si>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</si>
  <si>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</si>
  <si>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</si>
  <si>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</si>
  <si>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</si>
  <si>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</si>
  <si>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</si>
  <si>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</si>
  <si>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</si>
  <si>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</si>
  <si>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</si>
  <si>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</si>
  <si>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</si>
  <si>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</si>
  <si>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</si>
  <si>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</si>
  <si>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</si>
  <si>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</si>
  <si>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</si>
  <si>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</si>
  <si>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</si>
  <si>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</si>
  <si>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</si>
  <si>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</si>
  <si>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</si>
  <si>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</si>
  <si>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</si>
  <si>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</si>
  <si>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</si>
  <si>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</si>
  <si>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</si>
  <si>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</si>
  <si>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</si>
  <si>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</si>
  <si>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</si>
  <si>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</si>
  <si>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</si>
  <si>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</si>
  <si>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</si>
  <si>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</si>
  <si>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</si>
  <si>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</si>
  <si>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</si>
  <si>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</si>
  <si>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</si>
  <si>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</si>
  <si>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</si>
  <si>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</si>
  <si>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</si>
  <si>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</si>
  <si>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</si>
  <si>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</si>
  <si>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</si>
  <si>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</si>
  <si>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</si>
  <si>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</si>
  <si>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</si>
  <si>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</si>
  <si>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</si>
  <si>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</si>
  <si>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</si>
  <si>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</si>
  <si>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</si>
  <si>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</si>
  <si>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</si>
  <si>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</si>
  <si>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</si>
  <si>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</si>
  <si>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</si>
  <si>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</si>
  <si>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</si>
  <si>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</si>
  <si>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</si>
  <si>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</si>
  <si>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</si>
  <si>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</si>
  <si>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</si>
  <si>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</si>
  <si>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</si>
  <si>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</si>
  <si>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</si>
  <si>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</si>
  <si>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</si>
  <si>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</si>
  <si>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</si>
  <si>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</si>
  <si>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</si>
  <si>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</si>
  <si>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</si>
  <si>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</si>
  <si>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</si>
  <si>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</si>
  <si>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</si>
  <si>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</si>
  <si>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</si>
  <si>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</si>
  <si>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</si>
  <si>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</si>
  <si>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</si>
  <si>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</si>
  <si>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</si>
  <si>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</si>
  <si>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</si>
  <si>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</si>
  <si>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</si>
  <si>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</si>
  <si>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</si>
  <si>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</si>
  <si>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</si>
  <si>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</si>
  <si>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</si>
  <si>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</si>
  <si>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</si>
  <si>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</si>
  <si>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</si>
  <si>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</si>
  <si>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</si>
  <si>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</si>
  <si>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</si>
  <si>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</si>
  <si>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</si>
  <si>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</si>
  <si>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</si>
  <si>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</si>
  <si>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</si>
  <si>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</si>
  <si>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</si>
  <si>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</si>
  <si>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</si>
  <si>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</si>
  <si>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</si>
  <si>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</si>
  <si>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</si>
  <si>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</si>
  <si>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</si>
  <si>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</si>
  <si>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</si>
  <si>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</si>
  <si>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</si>
  <si>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</si>
  <si>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</si>
  <si>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</si>
  <si>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</si>
  <si>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</si>
  <si>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</si>
  <si>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</si>
  <si>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</si>
  <si>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</si>
  <si>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</si>
  <si>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</si>
  <si>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</si>
  <si>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</si>
  <si>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</si>
  <si>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</si>
  <si>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</si>
  <si>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</si>
  <si>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</si>
  <si>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</si>
  <si>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</si>
  <si>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</si>
  <si>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</si>
  <si>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</si>
  <si>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</si>
  <si>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</si>
  <si>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</si>
  <si>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</si>
  <si>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</si>
  <si>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</si>
  <si>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</si>
  <si>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</si>
  <si>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</si>
  <si>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</si>
  <si>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</si>
  <si>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</si>
  <si>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</si>
  <si>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</si>
  <si>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</si>
  <si>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</si>
  <si>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</si>
  <si>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</si>
  <si>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</si>
  <si>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</si>
  <si>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</si>
  <si>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</si>
  <si>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</si>
  <si>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</si>
  <si>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</si>
  <si>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</si>
  <si>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</si>
  <si>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</si>
  <si>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</si>
  <si>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</si>
  <si>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</si>
  <si>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</si>
  <si>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</si>
  <si>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</si>
  <si>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</si>
  <si>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</si>
  <si>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</si>
  <si>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</si>
  <si>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</si>
  <si>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</si>
  <si>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</si>
  <si>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</si>
  <si>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</si>
  <si>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</si>
  <si>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</si>
  <si>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</si>
  <si>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</si>
  <si>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</si>
  <si>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</si>
  <si>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</si>
  <si>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</si>
  <si>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</si>
  <si>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</si>
  <si>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</si>
  <si>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</si>
  <si>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</si>
  <si>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</si>
  <si>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</si>
  <si>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</si>
  <si>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</si>
  <si>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</si>
  <si>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</si>
  <si>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</si>
  <si>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</si>
  <si>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</si>
  <si>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</si>
  <si>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</si>
  <si>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</si>
  <si>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</si>
  <si>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</si>
  <si>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</si>
  <si>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</si>
  <si>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</si>
  <si>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</si>
  <si>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</si>
  <si>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</si>
  <si>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</si>
  <si>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</si>
  <si>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</si>
  <si>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</si>
  <si>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</si>
  <si>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</si>
  <si>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</si>
  <si>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</si>
  <si>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</si>
  <si>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</si>
  <si>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</si>
  <si>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</si>
  <si>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</si>
  <si>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</si>
  <si>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</si>
  <si>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</si>
  <si>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</si>
  <si>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</si>
  <si>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</si>
  <si>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</si>
  <si>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</si>
  <si>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</si>
  <si>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</si>
  <si>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</si>
  <si>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</si>
  <si>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</si>
  <si>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</si>
  <si>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</si>
  <si>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</si>
  <si>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</si>
  <si>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</si>
  <si>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</si>
  <si>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</si>
  <si>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</si>
  <si>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</si>
  <si>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</si>
  <si>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</si>
  <si>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</si>
  <si>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</si>
  <si>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</si>
  <si>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</si>
  <si>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</si>
  <si>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</si>
  <si>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</si>
  <si>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</si>
  <si>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</si>
  <si>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</si>
  <si>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</si>
  <si>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</si>
  <si>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</si>
  <si>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</si>
  <si>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</si>
  <si>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</si>
  <si>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</si>
  <si>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</si>
  <si>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</si>
  <si>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</si>
  <si>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</si>
  <si>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</si>
  <si>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</si>
  <si>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</si>
  <si>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</si>
  <si>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</si>
  <si>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</si>
  <si>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</si>
  <si>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</si>
  <si>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</si>
  <si>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</si>
  <si>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</si>
  <si>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</si>
  <si>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</si>
  <si>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</si>
  <si>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</si>
  <si>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</si>
  <si>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</si>
  <si>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</si>
  <si>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</si>
  <si>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</si>
  <si>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</si>
  <si>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</si>
  <si>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</si>
  <si>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</si>
  <si>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</si>
  <si>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</si>
  <si>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</si>
  <si>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</si>
  <si>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</si>
  <si>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</si>
  <si>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</si>
  <si>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</si>
  <si>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</si>
  <si>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</si>
  <si>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</si>
  <si>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</si>
  <si>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</si>
  <si>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</si>
  <si>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</si>
  <si>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</si>
  <si>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</si>
  <si>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</si>
  <si>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</si>
  <si>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</si>
  <si>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</si>
  <si>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</si>
  <si>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</si>
  <si>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</si>
  <si>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</si>
  <si>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</si>
  <si>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</si>
  <si>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</si>
  <si>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</si>
  <si>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</si>
  <si>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</si>
  <si>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</si>
  <si>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</si>
  <si>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</si>
  <si>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</si>
  <si>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</si>
  <si>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</si>
  <si>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</si>
  <si>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</si>
  <si>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</si>
  <si>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</si>
  <si>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</si>
  <si>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</si>
  <si>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</si>
  <si>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</si>
  <si>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</si>
  <si>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</si>
  <si>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</si>
  <si>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</si>
  <si>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</si>
  <si>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</si>
  <si>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</si>
  <si>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</si>
  <si>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</si>
  <si>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</si>
  <si>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</si>
  <si>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</si>
  <si>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</si>
  <si>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</si>
  <si>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</si>
  <si>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</si>
  <si>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</si>
  <si>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</si>
  <si>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</si>
  <si>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</si>
  <si>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</si>
  <si>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</si>
  <si>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</si>
  <si>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</si>
  <si>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</si>
  <si>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</si>
  <si>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</si>
  <si>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</si>
  <si>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</si>
  <si>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</si>
  <si>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</si>
  <si>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</si>
  <si>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</si>
  <si>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</si>
  <si>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</si>
  <si>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</si>
  <si>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</si>
  <si>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</si>
  <si>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</si>
  <si>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</si>
  <si>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</si>
  <si>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</si>
  <si>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</si>
  <si>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</si>
  <si>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</si>
  <si>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</si>
  <si>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</si>
  <si>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</si>
  <si>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</si>
  <si>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</si>
  <si>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</si>
  <si>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</si>
  <si>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</si>
  <si>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</si>
  <si>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</si>
  <si>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</si>
  <si>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</si>
  <si>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</si>
  <si>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</si>
  <si>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</si>
  <si>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</si>
  <si>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</si>
  <si>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</si>
  <si>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</si>
  <si>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</si>
  <si>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</si>
  <si>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</si>
  <si>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</si>
  <si>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</si>
  <si>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</si>
  <si>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</si>
  <si>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</si>
  <si>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</si>
  <si>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</si>
  <si>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</si>
  <si>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</si>
  <si>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</si>
  <si>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</si>
  <si>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</si>
  <si>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</si>
  <si>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</si>
  <si>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</si>
  <si>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</si>
  <si>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</si>
  <si>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</si>
  <si>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</si>
  <si>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</si>
  <si>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</si>
  <si>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</si>
  <si>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</si>
  <si>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</si>
  <si>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</si>
  <si>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</si>
  <si>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</si>
  <si>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</si>
  <si>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</si>
  <si>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</si>
  <si>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</si>
  <si>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</si>
  <si>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</si>
  <si>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</si>
  <si>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</si>
  <si>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</si>
  <si>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</si>
  <si>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</si>
  <si>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</si>
  <si>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</si>
  <si>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</si>
  <si>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</si>
  <si>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</si>
  <si>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</si>
  <si>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</si>
  <si>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</si>
  <si>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</si>
  <si>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</si>
  <si>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</si>
  <si>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</si>
  <si>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</si>
  <si>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</si>
  <si>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</si>
  <si>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</si>
  <si>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</si>
  <si>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</si>
  <si>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</si>
  <si>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</si>
  <si>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</si>
  <si>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</si>
  <si>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</si>
  <si>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</si>
  <si>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</si>
  <si>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</si>
  <si>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</si>
  <si>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</si>
  <si>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</si>
  <si>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</si>
  <si>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</si>
  <si>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</si>
  <si>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</si>
  <si>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</si>
  <si>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</si>
  <si>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</si>
  <si>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</si>
  <si>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</si>
  <si>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</si>
  <si>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</si>
  <si>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</si>
  <si>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</si>
  <si>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</si>
  <si>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</si>
  <si>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</si>
  <si>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</si>
  <si>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</si>
  <si>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</si>
  <si>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</si>
  <si>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</si>
  <si>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</si>
  <si>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</si>
  <si>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</si>
  <si>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</si>
  <si>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</si>
  <si>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</si>
  <si>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</si>
  <si>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</si>
  <si>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</si>
  <si>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</si>
  <si>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</si>
  <si>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</si>
  <si>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</si>
  <si>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</si>
  <si>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</si>
  <si>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</si>
  <si>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</si>
  <si>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</si>
  <si>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</si>
  <si>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</si>
  <si>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</si>
  <si>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</si>
  <si>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</si>
  <si>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</si>
  <si>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</si>
  <si>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</si>
  <si>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</si>
  <si>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</si>
  <si>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</si>
  <si>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</si>
  <si>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</si>
  <si>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</si>
  <si>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</si>
  <si>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</si>
  <si>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</si>
  <si>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</si>
  <si>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</si>
  <si>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</si>
  <si>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</si>
  <si>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</si>
  <si>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</si>
  <si>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</si>
  <si>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</si>
  <si>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</si>
  <si>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</si>
  <si>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</si>
  <si>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</si>
  <si>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</si>
  <si>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</si>
  <si>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</si>
  <si>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</si>
  <si>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</si>
  <si>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</si>
  <si>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</si>
  <si>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</si>
  <si>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</si>
  <si>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</si>
  <si>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</si>
  <si>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</si>
  <si>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</si>
  <si>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</si>
  <si>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</si>
  <si>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</si>
  <si>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</si>
  <si>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</si>
  <si>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</si>
  <si>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</si>
  <si>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</si>
  <si>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</si>
  <si>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</si>
  <si>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</si>
  <si>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</si>
  <si>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</si>
  <si>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</si>
  <si>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</si>
  <si>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</si>
  <si>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</si>
  <si>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</si>
  <si>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</si>
  <si>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</si>
  <si>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</si>
  <si>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</si>
  <si>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</si>
  <si>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</si>
  <si>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</si>
  <si>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</si>
  <si>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</si>
  <si>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</si>
  <si>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</si>
  <si>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</si>
  <si>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</si>
  <si>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</si>
  <si>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</si>
  <si>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</si>
  <si>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</si>
  <si>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</si>
  <si>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</si>
  <si>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</si>
  <si>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</si>
  <si>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</si>
  <si>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</si>
  <si>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</si>
  <si>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</si>
  <si>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</si>
  <si>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</si>
  <si>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</si>
  <si>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</si>
  <si>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</si>
  <si>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</si>
  <si>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</si>
  <si>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</si>
  <si>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</si>
  <si>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</si>
  <si>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</si>
  <si>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</si>
  <si>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</si>
  <si>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</si>
  <si>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</si>
  <si>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</si>
  <si>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</si>
  <si>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</si>
  <si>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</si>
  <si>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</si>
  <si>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</si>
  <si>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</si>
  <si>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</si>
  <si>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</si>
  <si>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</si>
  <si>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</si>
  <si>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</si>
  <si>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</si>
  <si>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</si>
  <si>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</si>
  <si>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</si>
  <si>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</si>
  <si>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</si>
  <si>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</si>
  <si>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</si>
  <si>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</si>
  <si>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</si>
  <si>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</si>
  <si>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</si>
  <si>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</si>
  <si>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</si>
  <si>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</si>
  <si>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</si>
  <si>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</si>
  <si>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</si>
  <si>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</si>
  <si>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</si>
  <si>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</si>
  <si>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</si>
  <si>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</si>
  <si>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</si>
  <si>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</si>
  <si>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</si>
  <si>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</si>
  <si>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</si>
  <si>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</si>
  <si>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</si>
  <si>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</si>
  <si>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</si>
  <si>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</si>
  <si>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</si>
  <si>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</si>
  <si>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</si>
  <si>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</si>
  <si>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</si>
  <si>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</si>
  <si>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</si>
  <si>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</si>
  <si>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</si>
  <si>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</si>
  <si>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</si>
  <si>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</si>
  <si>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</si>
  <si>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</si>
  <si>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</si>
  <si>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</si>
  <si>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</si>
  <si>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</si>
  <si>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</si>
  <si>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</si>
  <si>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</si>
  <si>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</si>
  <si>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</si>
  <si>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</si>
  <si>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</si>
  <si>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</si>
  <si>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</si>
  <si>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</si>
  <si>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</si>
  <si>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</si>
  <si>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</si>
  <si>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</si>
  <si>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</si>
  <si>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</si>
  <si>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</si>
  <si>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</si>
  <si>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</si>
  <si>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</si>
  <si>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</si>
  <si>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</si>
  <si>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</si>
  <si>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</si>
  <si>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</si>
  <si>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</si>
  <si>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</si>
  <si>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</si>
  <si>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</si>
  <si>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</si>
  <si>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</si>
  <si>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</si>
  <si>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</si>
  <si>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</si>
  <si>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</si>
  <si>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</si>
  <si>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</si>
  <si>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</si>
  <si>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</si>
  <si>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</si>
  <si>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</si>
  <si>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</si>
  <si>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</si>
  <si>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</si>
  <si>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</si>
  <si>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</si>
  <si>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</si>
  <si>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</si>
  <si>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</si>
  <si>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</si>
  <si>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</si>
  <si>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</si>
  <si>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</si>
  <si>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</si>
  <si>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</si>
  <si>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</si>
  <si>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</si>
  <si>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</si>
  <si>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</si>
  <si>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</si>
  <si>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</si>
  <si>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</si>
  <si>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</si>
  <si>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</si>
  <si>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</si>
  <si>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</si>
  <si>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</si>
  <si>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</si>
  <si>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</si>
  <si>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</si>
  <si>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</si>
  <si>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</si>
  <si>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</si>
  <si>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</si>
  <si>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</si>
  <si>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</si>
  <si>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</si>
  <si>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</si>
  <si>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</si>
  <si>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</si>
  <si>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</si>
  <si>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</si>
  <si>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</si>
  <si>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</si>
  <si>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</si>
  <si>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</si>
  <si>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</si>
  <si>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</si>
  <si>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</si>
  <si>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</si>
  <si>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</si>
  <si>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</si>
  <si>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</si>
  <si>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</si>
  <si>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</si>
  <si>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</si>
  <si>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</si>
  <si>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</si>
  <si>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</si>
  <si>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</si>
  <si>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</si>
  <si>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</si>
  <si>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</si>
  <si>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</si>
  <si>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</si>
  <si>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</si>
  <si>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</si>
  <si>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</si>
  <si>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</si>
  <si>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</si>
  <si>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</si>
  <si>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</si>
  <si>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</si>
  <si>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</si>
  <si>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</si>
  <si>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</si>
  <si>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</si>
  <si>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</si>
  <si>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</si>
  <si>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</si>
  <si>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</si>
  <si>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</si>
  <si>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</si>
  <si>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</si>
  <si>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</si>
  <si>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</si>
  <si>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</si>
  <si>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</si>
  <si>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</si>
  <si>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</si>
  <si>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</si>
  <si>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</si>
  <si>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</si>
  <si>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</si>
  <si>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</si>
  <si>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</si>
  <si>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</si>
  <si>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</si>
  <si>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</si>
  <si>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</si>
  <si>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</si>
  <si>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</si>
  <si>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</si>
  <si>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</si>
  <si>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</si>
  <si>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</si>
  <si>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</si>
  <si>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</si>
  <si>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</si>
  <si>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</si>
  <si>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</si>
  <si>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</si>
  <si>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</si>
  <si>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</si>
  <si>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</si>
  <si>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</si>
  <si>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</si>
  <si>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</si>
  <si>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</si>
  <si>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</si>
  <si>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</si>
  <si>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</si>
  <si>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</si>
  <si>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</si>
  <si>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</si>
  <si>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</si>
  <si>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</si>
  <si>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</si>
  <si>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</si>
  <si>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</si>
  <si>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</si>
  <si>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</si>
  <si>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</si>
  <si>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</si>
  <si>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</si>
  <si>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</si>
  <si>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</si>
  <si>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</si>
  <si>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</si>
  <si>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</si>
  <si>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</si>
  <si>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</si>
  <si>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</si>
  <si>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</si>
  <si>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</si>
  <si>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</si>
  <si>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</si>
  <si>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</si>
  <si>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</si>
  <si>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</si>
  <si>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</si>
  <si>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</si>
  <si>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</si>
  <si>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</si>
  <si>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</si>
  <si>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</si>
  <si>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</si>
  <si>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</si>
  <si>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</si>
  <si>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</si>
  <si>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</si>
  <si>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</si>
  <si>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</si>
  <si>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</si>
  <si>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</si>
  <si>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</si>
  <si>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</si>
  <si>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</si>
  <si>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</si>
  <si>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</si>
  <si>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</si>
  <si>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</si>
  <si>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</si>
  <si>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</si>
  <si>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</si>
  <si>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</si>
  <si>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</si>
  <si>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</si>
  <si>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</si>
  <si>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</si>
  <si>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</si>
  <si>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</si>
  <si>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</si>
  <si>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</si>
  <si>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</si>
  <si>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</si>
  <si>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</si>
  <si>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</si>
  <si>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</si>
  <si>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</si>
  <si>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</si>
  <si>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</si>
  <si>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</si>
  <si>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</si>
  <si>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</si>
  <si>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</si>
  <si>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</si>
  <si>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</si>
  <si>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</si>
  <si>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</si>
  <si>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</si>
  <si>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</si>
  <si>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</si>
  <si>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</si>
  <si>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</si>
  <si>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</si>
  <si>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</si>
  <si>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</si>
  <si>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</si>
  <si>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</si>
  <si>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</si>
  <si>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</si>
  <si>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</si>
  <si>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</si>
  <si>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</si>
  <si>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</si>
  <si>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</si>
  <si>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</si>
  <si>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</si>
  <si>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</si>
  <si>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</si>
  <si>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</si>
  <si>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</si>
  <si>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</si>
  <si>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</si>
  <si>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</si>
  <si>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</si>
  <si>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</si>
  <si>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</si>
  <si>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</si>
  <si>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</si>
  <si>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</si>
  <si>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</si>
  <si>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</si>
  <si>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</si>
  <si>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</si>
  <si>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</si>
  <si>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</si>
  <si>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</si>
  <si>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</si>
  <si>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</si>
  <si>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</si>
  <si>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</si>
  <si>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</si>
  <si>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</si>
  <si>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</si>
  <si>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</si>
  <si>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</si>
  <si>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</si>
  <si>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</si>
  <si>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</si>
  <si>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</si>
  <si>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</si>
  <si>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</si>
  <si>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</si>
  <si>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</si>
  <si>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</si>
  <si>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</si>
  <si>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</si>
  <si>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</si>
  <si>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</si>
  <si>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</si>
  <si>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</si>
  <si>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</si>
  <si>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</si>
  <si>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</si>
  <si>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</si>
  <si>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</si>
  <si>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</si>
  <si>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</si>
  <si>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</si>
  <si>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</si>
  <si>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</si>
  <si>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</si>
  <si>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</si>
  <si>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</si>
  <si>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</si>
  <si>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</si>
  <si>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</si>
  <si>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</si>
  <si>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</si>
  <si>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</si>
  <si>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</si>
  <si>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</si>
  <si>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</si>
  <si>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</si>
  <si>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</si>
  <si>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</si>
  <si>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</si>
  <si>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</si>
  <si>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</si>
  <si>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</si>
  <si>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</si>
  <si>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</si>
  <si>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</si>
  <si>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</si>
  <si>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</si>
  <si>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</si>
  <si>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</si>
  <si>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</si>
  <si>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</si>
  <si>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</si>
  <si>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</si>
  <si>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</si>
  <si>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</si>
  <si>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</si>
  <si>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</si>
  <si>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</si>
  <si>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</si>
  <si>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</si>
  <si>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</si>
  <si>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</si>
  <si>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</si>
  <si>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</si>
  <si>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</si>
  <si>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</si>
  <si>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</si>
  <si>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</si>
  <si>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</si>
  <si>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</si>
  <si>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</si>
  <si>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</si>
  <si>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</si>
  <si>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</si>
  <si>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</si>
  <si>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</si>
  <si>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</si>
  <si>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</si>
  <si>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</si>
  <si>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</si>
  <si>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</si>
  <si>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</si>
  <si>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</si>
  <si>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</si>
  <si>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</si>
  <si>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</si>
  <si>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</si>
  <si>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</si>
  <si>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</si>
  <si>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</si>
  <si>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</si>
  <si>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</si>
  <si>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</si>
  <si>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</si>
  <si>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</si>
  <si>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</si>
  <si>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</si>
  <si>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</si>
  <si>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</si>
  <si>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</si>
  <si>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</si>
  <si>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</si>
  <si>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</si>
  <si>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</si>
  <si>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</si>
  <si>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</si>
  <si>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</si>
  <si>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</si>
  <si>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</si>
  <si>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</si>
  <si>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</si>
  <si>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</si>
  <si>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</si>
  <si>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</si>
  <si>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</si>
  <si>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</si>
  <si>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</si>
  <si>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</si>
  <si>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</si>
  <si>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</si>
  <si>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</si>
  <si>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</si>
  <si>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</si>
  <si>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</si>
  <si>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</si>
  <si>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</si>
  <si>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</si>
  <si>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</si>
  <si>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</si>
  <si>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</si>
  <si>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</si>
  <si>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</si>
  <si>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</si>
  <si>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</si>
  <si>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</si>
  <si>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</si>
  <si>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</si>
  <si>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</si>
  <si>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</si>
  <si>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</si>
  <si>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</si>
  <si>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</si>
  <si>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</si>
  <si>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</si>
  <si>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</si>
  <si>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</si>
  <si>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</si>
  <si>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</si>
  <si>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</si>
  <si>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</si>
  <si>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</si>
  <si>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</si>
  <si>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</si>
  <si>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</si>
  <si>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</si>
  <si>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</si>
  <si>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</si>
  <si>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</si>
  <si>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</si>
  <si>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</si>
  <si>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</si>
  <si>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</si>
  <si>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</si>
  <si>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</si>
  <si>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</si>
  <si>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</si>
  <si>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</si>
  <si>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</si>
  <si>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</si>
  <si>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</si>
  <si>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</si>
  <si>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</si>
  <si>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</si>
  <si>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</si>
  <si>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</si>
  <si>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</si>
  <si>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</si>
  <si>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</si>
  <si>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</si>
  <si>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</si>
  <si>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</si>
  <si>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</si>
  <si>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</si>
  <si>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</si>
  <si>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</si>
  <si>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</si>
  <si>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</si>
  <si>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</si>
  <si>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</si>
  <si>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</si>
  <si>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</si>
  <si>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</si>
  <si>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</si>
  <si>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</si>
  <si>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</si>
  <si>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</si>
  <si>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</si>
  <si>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</si>
  <si>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</si>
  <si>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</si>
  <si>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</si>
  <si>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</si>
  <si>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</si>
  <si>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</si>
  <si>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</si>
  <si>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</si>
  <si>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</si>
  <si>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</si>
  <si>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</si>
  <si>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</si>
  <si>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</si>
  <si>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</si>
  <si>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</si>
  <si>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</si>
  <si>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</si>
  <si>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</si>
  <si>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</si>
  <si>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</si>
  <si>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</si>
  <si>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</si>
  <si>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</si>
  <si>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</si>
  <si>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</si>
  <si>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</si>
  <si>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</si>
  <si>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</si>
  <si>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</si>
  <si>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</si>
  <si>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</si>
  <si>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</si>
  <si>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</si>
  <si>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</si>
  <si>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</si>
  <si>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</si>
  <si>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</si>
  <si>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</si>
  <si>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</si>
  <si>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</si>
  <si>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</si>
  <si>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</si>
  <si>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</si>
  <si>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</si>
  <si>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</si>
  <si>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</si>
  <si>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</si>
  <si>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</si>
  <si>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</si>
  <si>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</si>
  <si>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</si>
  <si>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</si>
  <si>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</si>
  <si>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</si>
  <si>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</si>
  <si>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</si>
  <si>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</si>
  <si>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</si>
  <si>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</si>
  <si>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</si>
  <si>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</si>
  <si>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</si>
  <si>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</si>
  <si>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</si>
  <si>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</si>
  <si>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</si>
  <si>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</si>
  <si>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</si>
  <si>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</si>
  <si>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</si>
  <si>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</si>
  <si>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</si>
  <si>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</si>
  <si>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</si>
  <si>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</si>
  <si>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</si>
  <si>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</si>
  <si>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</si>
  <si>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</si>
  <si>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</si>
  <si>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</si>
  <si>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</si>
  <si>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</si>
  <si>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</si>
  <si>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</si>
  <si>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</si>
  <si>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</si>
  <si>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</si>
  <si>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</si>
  <si>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</si>
  <si>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</si>
  <si>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</si>
  <si>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</si>
  <si>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</si>
  <si>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</si>
  <si>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</si>
  <si>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</si>
  <si>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</si>
  <si>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</si>
  <si>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</si>
  <si>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</si>
  <si>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</si>
  <si>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</si>
  <si>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</si>
  <si>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</si>
  <si>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</si>
  <si>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</si>
  <si>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</si>
  <si>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</si>
  <si>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</si>
  <si>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</si>
  <si>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</si>
  <si>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</si>
  <si>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</si>
  <si>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</si>
  <si>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</si>
  <si>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</si>
  <si>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</si>
  <si>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</si>
  <si>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</si>
  <si>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</si>
  <si>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</si>
  <si>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</si>
  <si>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</si>
  <si>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</si>
  <si>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</si>
  <si>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</si>
  <si>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</si>
  <si>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</si>
  <si>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</si>
  <si>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</si>
  <si>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</si>
  <si>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</si>
  <si>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</si>
  <si>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</si>
  <si>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</si>
  <si>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</si>
  <si>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</si>
  <si>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</si>
  <si>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</si>
  <si>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</si>
  <si>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</si>
  <si>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</si>
  <si>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</si>
  <si>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</si>
  <si>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</si>
  <si>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</si>
  <si>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</si>
  <si>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</si>
  <si>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</si>
  <si>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</si>
  <si>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</si>
  <si>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</si>
  <si>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</si>
  <si>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</si>
  <si>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</si>
  <si>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</si>
  <si>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</si>
  <si>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</si>
  <si>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</si>
  <si>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</si>
  <si>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</si>
  <si>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</si>
  <si>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</si>
  <si>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</si>
  <si>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</si>
  <si>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</si>
  <si>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</si>
  <si>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</si>
  <si>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</si>
  <si>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</si>
  <si>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</si>
  <si>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</si>
  <si>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</si>
  <si>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</si>
  <si>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</si>
  <si>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</si>
  <si>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</si>
  <si>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</si>
  <si>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</si>
  <si>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</si>
  <si>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</si>
  <si>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</si>
  <si>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</si>
  <si>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</si>
  <si>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</si>
  <si>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</si>
  <si>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</si>
  <si>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</si>
  <si>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</si>
  <si>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</si>
  <si>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</si>
  <si>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</si>
  <si>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</si>
  <si>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</si>
  <si>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</si>
  <si>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</si>
  <si>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</si>
  <si>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</si>
  <si>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</si>
  <si>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</si>
  <si>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</si>
  <si>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</si>
  <si>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</si>
  <si>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</si>
  <si>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</si>
  <si>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</si>
  <si>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</si>
  <si>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</si>
  <si>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</si>
  <si>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</si>
  <si>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</si>
  <si>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</si>
  <si>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</si>
  <si>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</si>
  <si>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</si>
  <si>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</si>
  <si>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</si>
  <si>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</si>
  <si>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</si>
  <si>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</si>
  <si>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</si>
  <si>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</si>
  <si>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</si>
  <si>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</si>
  <si>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</si>
  <si>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</si>
  <si>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</si>
  <si>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</si>
  <si>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</si>
  <si>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</si>
  <si>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</si>
  <si>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</si>
  <si>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</si>
  <si>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</si>
  <si>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</si>
  <si>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</si>
  <si>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</si>
  <si>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</si>
  <si>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</si>
  <si>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</si>
  <si>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</si>
  <si>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</si>
  <si>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</si>
  <si>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</si>
  <si>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</si>
  <si>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</si>
  <si>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</si>
  <si>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</si>
  <si>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</si>
  <si>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</si>
  <si>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</si>
  <si>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</si>
  <si>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</si>
  <si>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</si>
  <si>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</si>
  <si>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</si>
  <si>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</si>
  <si>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</si>
  <si>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</si>
  <si>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</si>
  <si>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</si>
  <si>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</si>
  <si>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</si>
  <si>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</si>
  <si>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</si>
  <si>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</si>
  <si>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</si>
  <si>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</si>
  <si>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</si>
  <si>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</si>
  <si>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</si>
  <si>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</si>
  <si>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</si>
  <si>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</si>
  <si>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</si>
  <si>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</si>
  <si>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</si>
  <si>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</si>
  <si>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</si>
  <si>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</si>
  <si>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</si>
  <si>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</si>
  <si>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</si>
  <si>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</si>
  <si>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</si>
  <si>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</si>
  <si>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</si>
  <si>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</si>
  <si>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</si>
  <si>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</si>
  <si>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</si>
  <si>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</si>
  <si>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</si>
  <si>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</si>
  <si>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</si>
  <si>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</si>
  <si>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</si>
  <si>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</si>
  <si>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</si>
  <si>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</si>
  <si>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</si>
  <si>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</si>
  <si>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</si>
  <si>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</si>
  <si>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</si>
  <si>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</si>
  <si>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</si>
  <si>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</si>
  <si>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</si>
  <si>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</si>
  <si>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</si>
  <si>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</si>
  <si>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</si>
  <si>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</si>
  <si>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</si>
  <si>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</si>
  <si>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</si>
  <si>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</si>
  <si>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</si>
  <si>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</si>
  <si>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</si>
  <si>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</si>
  <si>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</si>
  <si>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</si>
  <si>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</si>
  <si>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</si>
  <si>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</si>
  <si>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</si>
  <si>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</si>
  <si>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</si>
  <si>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</si>
  <si>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</si>
  <si>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</si>
  <si>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</si>
  <si>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</si>
  <si>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</si>
  <si>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</si>
  <si>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</si>
  <si>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</si>
  <si>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</si>
  <si>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</si>
  <si>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</si>
  <si>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</si>
  <si>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</si>
  <si>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</si>
  <si>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</si>
  <si>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</si>
  <si>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</si>
  <si>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</si>
  <si>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</si>
  <si>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</si>
  <si>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</si>
  <si>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</si>
  <si>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</si>
  <si>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</si>
  <si>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</si>
  <si>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</si>
  <si>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</si>
  <si>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</si>
  <si>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</si>
  <si>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</si>
  <si>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</si>
  <si>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</si>
  <si>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</si>
  <si>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</si>
  <si>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</si>
  <si>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</si>
  <si>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</si>
  <si>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</si>
  <si>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</si>
  <si>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</si>
  <si>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</si>
  <si>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</si>
  <si>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</si>
  <si>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</si>
  <si>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</si>
  <si>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</si>
  <si>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</si>
  <si>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</si>
  <si>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</si>
  <si>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</si>
  <si>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</si>
  <si>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</si>
  <si>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</si>
  <si>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</si>
  <si>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</si>
  <si>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</si>
  <si>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</si>
  <si>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</si>
  <si>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</si>
  <si>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</si>
  <si>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</si>
  <si>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</si>
  <si>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</si>
  <si>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</si>
  <si>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</si>
  <si>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</si>
  <si>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</si>
  <si>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</si>
  <si>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</si>
  <si>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</si>
  <si>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</si>
  <si>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</si>
  <si>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</si>
  <si>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</si>
  <si>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</si>
  <si>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</si>
  <si>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</si>
  <si>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</si>
  <si>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</si>
  <si>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</si>
  <si>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</si>
  <si>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</si>
  <si>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</si>
  <si>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</si>
  <si>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</si>
  <si>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</si>
  <si>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</si>
  <si>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</si>
  <si>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</si>
  <si>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</si>
  <si>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</si>
  <si>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</si>
  <si>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</si>
  <si>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</si>
  <si>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</si>
  <si>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</si>
  <si>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</si>
  <si>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</si>
  <si>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</si>
  <si>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</si>
  <si>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</si>
  <si>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</si>
  <si>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</si>
  <si>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</si>
  <si>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</si>
  <si>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</si>
  <si>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</si>
  <si>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</si>
  <si>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</si>
  <si>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</si>
  <si>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</si>
  <si>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</si>
  <si>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</si>
  <si>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</si>
  <si>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</si>
  <si>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</si>
  <si>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</si>
  <si>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</si>
  <si>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</si>
  <si>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</si>
  <si>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</si>
  <si>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</si>
  <si>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</si>
  <si>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</si>
  <si>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</si>
  <si>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</si>
  <si>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</si>
  <si>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</si>
  <si>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</si>
  <si>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</si>
  <si>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</si>
  <si>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</si>
  <si>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</si>
  <si>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</si>
  <si>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</si>
  <si>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</si>
  <si>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</si>
  <si>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</si>
  <si>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</si>
  <si>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</si>
  <si>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</si>
  <si>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</si>
  <si>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</si>
  <si>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</si>
  <si>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</si>
  <si>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</si>
  <si>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</si>
  <si>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</si>
  <si>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</si>
  <si>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</si>
  <si>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</si>
  <si>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</si>
  <si>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</si>
  <si>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</si>
  <si>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</si>
  <si>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</si>
  <si>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</si>
  <si>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</si>
  <si>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</si>
  <si>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</si>
  <si>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</si>
  <si>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</si>
  <si>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</si>
  <si>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</si>
  <si>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</si>
  <si>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</si>
  <si>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</si>
  <si>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</si>
  <si>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</si>
  <si>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</si>
  <si>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</si>
  <si>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</si>
  <si>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</si>
  <si>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</si>
  <si>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</si>
  <si>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</si>
  <si>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</si>
  <si>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</si>
  <si>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</si>
  <si>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</si>
  <si>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</si>
  <si>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</si>
  <si>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</si>
  <si>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</si>
  <si>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</si>
  <si>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</si>
  <si>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</si>
  <si>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</si>
  <si>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</si>
  <si>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</si>
  <si>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</si>
  <si>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</si>
  <si>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</si>
  <si>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</si>
  <si>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</si>
  <si>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</si>
  <si>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</si>
  <si>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</si>
  <si>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</si>
  <si>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</si>
  <si>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</si>
  <si>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</si>
  <si>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</si>
  <si>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</si>
  <si>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</si>
  <si>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</si>
  <si>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</si>
  <si>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</si>
  <si>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</si>
  <si>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</si>
  <si>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</si>
  <si>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</si>
  <si>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</si>
  <si>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</si>
  <si>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</si>
  <si>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</si>
  <si>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</si>
  <si>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</si>
  <si>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</si>
  <si>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</si>
  <si>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</si>
  <si>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</si>
  <si>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</si>
  <si>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</si>
  <si>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</si>
  <si>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</si>
  <si>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</si>
  <si>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</si>
  <si>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</si>
  <si>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</si>
  <si>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</si>
  <si>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</si>
  <si>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</si>
  <si>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</si>
  <si>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</si>
  <si>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</si>
  <si>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</si>
  <si>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</si>
  <si>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</si>
  <si>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</si>
  <si>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</si>
  <si>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</si>
  <si>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</si>
  <si>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</si>
  <si>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</si>
  <si>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</si>
  <si>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</si>
  <si>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</si>
  <si>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</si>
  <si>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</si>
  <si>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</si>
  <si>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</si>
  <si>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</si>
  <si>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</si>
  <si>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</si>
  <si>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</si>
  <si>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</si>
  <si>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</si>
  <si>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</si>
  <si>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</si>
  <si>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</si>
  <si>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</si>
  <si>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</si>
  <si>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</si>
  <si>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</si>
  <si>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</si>
  <si>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</si>
  <si>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</si>
  <si>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</si>
  <si>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</si>
  <si>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</si>
  <si>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</si>
  <si>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</si>
  <si>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</si>
  <si>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</si>
  <si>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</si>
  <si>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</si>
  <si>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</si>
  <si>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</si>
  <si>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</si>
  <si>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</si>
  <si>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</si>
  <si>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</si>
  <si>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</si>
  <si>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</si>
  <si>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</si>
  <si>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</si>
  <si>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</si>
  <si>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</si>
  <si>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</si>
  <si>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</si>
  <si>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</si>
  <si>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</si>
  <si>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</si>
  <si>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</si>
  <si>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</si>
  <si>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</si>
  <si>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</si>
  <si>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</si>
  <si>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</si>
  <si>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</si>
  <si>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</si>
  <si>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</si>
  <si>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</si>
  <si>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</si>
  <si>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</si>
  <si>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</si>
  <si>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</si>
  <si>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</si>
  <si>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</si>
  <si>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</si>
  <si>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</si>
  <si>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</si>
  <si>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</si>
  <si>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</si>
  <si>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</si>
  <si>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</si>
  <si>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</si>
  <si>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</si>
  <si>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</si>
  <si>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</si>
  <si>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</si>
  <si>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</si>
  <si>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</si>
  <si>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</si>
  <si>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</si>
  <si>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</si>
  <si>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</si>
  <si>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</si>
  <si>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</si>
  <si>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</si>
  <si>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</si>
  <si>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</si>
  <si>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</si>
  <si>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</si>
  <si>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</si>
  <si>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</si>
  <si>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</si>
  <si>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</si>
  <si>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</si>
  <si>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</si>
  <si>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</si>
  <si>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</si>
  <si>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</si>
  <si>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</si>
  <si>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</si>
  <si>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</si>
  <si>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</si>
  <si>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</si>
  <si>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</si>
  <si>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</si>
  <si>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</si>
  <si>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</si>
  <si>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</si>
  <si>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</si>
  <si>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</si>
  <si>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</si>
  <si>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</si>
  <si>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</si>
  <si>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</si>
  <si>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</si>
  <si>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</si>
  <si>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</si>
  <si>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</si>
  <si>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</si>
  <si>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</si>
  <si>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</si>
  <si>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</si>
  <si>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</si>
  <si>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</si>
  <si>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</si>
  <si>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</si>
  <si>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</si>
  <si>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</si>
  <si>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</si>
  <si>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</si>
  <si>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</si>
  <si>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</si>
  <si>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</si>
  <si>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</si>
  <si>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</si>
  <si>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</si>
  <si>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</si>
  <si>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</si>
  <si>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</si>
  <si>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</si>
  <si>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</si>
  <si>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</si>
  <si>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</si>
  <si>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</si>
  <si>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</si>
  <si>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</si>
  <si>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</si>
  <si>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</si>
  <si>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</si>
  <si>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</si>
  <si>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</si>
  <si>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</si>
  <si>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</si>
  <si>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</si>
  <si>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</si>
  <si>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</si>
  <si>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</si>
  <si>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</si>
  <si>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</si>
  <si>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</si>
  <si>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</si>
  <si>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</si>
  <si>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</si>
  <si>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</si>
  <si>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</si>
  <si>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</si>
  <si>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</si>
  <si>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</si>
  <si>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</si>
  <si>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</si>
  <si>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</si>
  <si>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</si>
  <si>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</si>
  <si>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</si>
  <si>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</si>
  <si>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</si>
  <si>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</si>
  <si>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</si>
  <si>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</si>
  <si>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</si>
  <si>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</si>
  <si>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</si>
  <si>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</si>
  <si>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</si>
  <si>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</si>
  <si>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</si>
  <si>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</si>
  <si>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</si>
  <si>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</si>
  <si>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2-2-9</t>
    <phoneticPr fontId="3" type="noConversion"/>
  </si>
  <si>
    <t>商业</t>
    <phoneticPr fontId="7" type="noConversion"/>
  </si>
  <si>
    <t>成新度</t>
  </si>
  <si>
    <t>收益法 (元)</t>
  </si>
  <si>
    <t>单套模式</t>
  </si>
  <si>
    <t>售价</t>
  </si>
  <si>
    <t>正常</t>
  </si>
  <si>
    <t>商业</t>
    <phoneticPr fontId="30" type="noConversion"/>
  </si>
  <si>
    <t>一般</t>
  </si>
  <si>
    <t>较好</t>
  </si>
  <si>
    <t>七通</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</si>
  <si>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</si>
  <si>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</si>
  <si>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</si>
  <si>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</si>
  <si>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</si>
  <si>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</si>
  <si>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</si>
  <si>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</si>
  <si>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</si>
  <si>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</si>
  <si>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</si>
  <si>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</si>
  <si>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</si>
  <si>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</si>
  <si>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1-2层</t>
  </si>
  <si>
    <t>1层</t>
  </si>
  <si>
    <t>首开保利欢乐大都汇</t>
    <phoneticPr fontId="3" type="noConversion"/>
  </si>
  <si>
    <t>首开保利欢乐大都汇</t>
    <phoneticPr fontId="3" type="noConversion"/>
  </si>
  <si>
    <t>报价</t>
  </si>
  <si>
    <t>报价</t>
    <phoneticPr fontId="30" type="noConversion"/>
  </si>
  <si>
    <t>比较法-商业</t>
  </si>
  <si>
    <t>押一</t>
  </si>
  <si>
    <t>非生产用房</t>
  </si>
  <si>
    <t>2-9</t>
    <phoneticPr fontId="24" type="noConversion"/>
  </si>
  <si>
    <t>2-10</t>
    <phoneticPr fontId="24" type="noConversion"/>
  </si>
  <si>
    <t>3-4</t>
    <phoneticPr fontId="24" type="noConversion"/>
  </si>
  <si>
    <t>4-14</t>
    <phoneticPr fontId="24" type="noConversion"/>
  </si>
  <si>
    <t>10-2</t>
    <phoneticPr fontId="24" type="noConversion"/>
  </si>
  <si>
    <t>10-18</t>
    <phoneticPr fontId="24" type="noConversion"/>
  </si>
  <si>
    <t>1-2</t>
  </si>
  <si>
    <t>1-2</t>
    <phoneticPr fontId="24" type="noConversion"/>
  </si>
  <si>
    <t>1-3</t>
  </si>
  <si>
    <t>1-3</t>
    <phoneticPr fontId="24" type="noConversion"/>
  </si>
  <si>
    <t>正评总值</t>
    <phoneticPr fontId="134" type="noConversion"/>
  </si>
  <si>
    <t>差值比例</t>
    <phoneticPr fontId="134" type="noConversion"/>
  </si>
  <si>
    <r>
      <t>P</t>
    </r>
    <r>
      <rPr>
        <sz val="11"/>
        <color theme="1"/>
        <rFont val="宋体"/>
        <family val="3"/>
        <charset val="134"/>
        <scheme val="minor"/>
      </rPr>
      <t>01</t>
    </r>
    <phoneticPr fontId="134" type="noConversion"/>
  </si>
  <si>
    <t>P02</t>
    <phoneticPr fontId="134" type="noConversion"/>
  </si>
  <si>
    <r>
      <t>5</t>
    </r>
    <r>
      <rPr>
        <sz val="11"/>
        <color theme="1"/>
        <rFont val="宋体"/>
        <family val="3"/>
        <charset val="134"/>
        <scheme val="minor"/>
      </rPr>
      <t>-301</t>
    </r>
    <phoneticPr fontId="134" type="noConversion"/>
  </si>
  <si>
    <t>单价</t>
    <phoneticPr fontId="134" type="noConversion"/>
  </si>
  <si>
    <t>总价</t>
    <phoneticPr fontId="134" type="noConversion"/>
  </si>
  <si>
    <t>P03</t>
    <phoneticPr fontId="134" type="noConversion"/>
  </si>
  <si>
    <t>房号</t>
    <phoneticPr fontId="134" type="noConversion"/>
  </si>
  <si>
    <t>面积</t>
    <phoneticPr fontId="134" type="noConversion"/>
  </si>
  <si>
    <t>企业</t>
  </si>
  <si>
    <t>北京市</t>
  </si>
  <si>
    <t>房地产抵押价值</t>
  </si>
  <si>
    <r>
      <t>2</t>
    </r>
    <r>
      <rPr>
        <sz val="11"/>
        <color indexed="8"/>
        <rFont val="宋体"/>
        <family val="3"/>
        <charset val="134"/>
      </rPr>
      <t>层</t>
    </r>
    <phoneticPr fontId="30" type="noConversion"/>
  </si>
  <si>
    <t>1层</t>
    <phoneticPr fontId="134" type="noConversion"/>
  </si>
  <si>
    <t>2层</t>
    <phoneticPr fontId="134" type="noConversion"/>
  </si>
  <si>
    <t>3层</t>
    <phoneticPr fontId="134" type="noConversion"/>
  </si>
  <si>
    <t>三角形</t>
    <phoneticPr fontId="134" type="noConversion"/>
  </si>
  <si>
    <t>平均</t>
  </si>
  <si>
    <t>平均</t>
    <phoneticPr fontId="134" type="noConversion"/>
  </si>
  <si>
    <t>1层小</t>
  </si>
  <si>
    <t>1层小</t>
    <phoneticPr fontId="134" type="noConversion"/>
  </si>
  <si>
    <t>1层大</t>
  </si>
  <si>
    <t>1层大</t>
    <phoneticPr fontId="134" type="noConversion"/>
  </si>
  <si>
    <r>
      <t>1、</t>
    </r>
    <r>
      <rPr>
        <sz val="11"/>
        <color theme="1"/>
        <rFont val="宋体"/>
        <family val="3"/>
        <charset val="134"/>
        <scheme val="minor"/>
      </rPr>
      <t>2层小</t>
    </r>
    <phoneticPr fontId="134" type="noConversion"/>
  </si>
  <si>
    <t>修正项2</t>
    <phoneticPr fontId="3" type="noConversion"/>
  </si>
  <si>
    <t>形状</t>
    <phoneticPr fontId="3" type="noConversion"/>
  </si>
  <si>
    <t>方正</t>
  </si>
  <si>
    <t>方正</t>
    <phoneticPr fontId="24" type="noConversion"/>
  </si>
  <si>
    <t>三角</t>
  </si>
  <si>
    <t>三角</t>
    <phoneticPr fontId="24" type="noConversion"/>
  </si>
  <si>
    <t>分层面积</t>
    <phoneticPr fontId="3" type="noConversion"/>
  </si>
  <si>
    <t>平均</t>
    <phoneticPr fontId="24" type="noConversion"/>
  </si>
  <si>
    <t>1层大</t>
    <phoneticPr fontId="24" type="noConversion"/>
  </si>
  <si>
    <r>
      <t>1</t>
    </r>
    <r>
      <rPr>
        <sz val="10"/>
        <color indexed="8"/>
        <rFont val="宋体"/>
        <family val="3"/>
        <charset val="134"/>
      </rPr>
      <t>层小</t>
    </r>
    <phoneticPr fontId="24" type="noConversion"/>
  </si>
  <si>
    <r>
      <t>1</t>
    </r>
    <r>
      <rPr>
        <sz val="10"/>
        <color indexed="8"/>
        <rFont val="宋体"/>
        <family val="3"/>
        <charset val="134"/>
      </rPr>
      <t>、</t>
    </r>
    <r>
      <rPr>
        <sz val="10"/>
        <color indexed="8"/>
        <rFont val="Arial"/>
        <family val="2"/>
      </rPr>
      <t>2</t>
    </r>
    <r>
      <rPr>
        <sz val="10"/>
        <color indexed="8"/>
        <rFont val="宋体"/>
        <family val="3"/>
        <charset val="134"/>
      </rPr>
      <t>层小</t>
    </r>
    <phoneticPr fontId="24" type="noConversion"/>
  </si>
  <si>
    <t>房型</t>
    <phoneticPr fontId="134" type="noConversion"/>
  </si>
  <si>
    <t>方正</t>
    <phoneticPr fontId="134" type="noConversion"/>
  </si>
  <si>
    <t>分层面积</t>
    <phoneticPr fontId="134" type="noConversion"/>
  </si>
  <si>
    <t>1、2层小</t>
  </si>
  <si>
    <t>平面位置</t>
    <phoneticPr fontId="3" type="noConversion"/>
  </si>
  <si>
    <t>较好</t>
    <phoneticPr fontId="24" type="noConversion"/>
  </si>
  <si>
    <t>一般</t>
    <phoneticPr fontId="24" type="noConversion"/>
  </si>
  <si>
    <t>较方正</t>
  </si>
  <si>
    <t>较方正</t>
    <phoneticPr fontId="24" type="noConversion"/>
  </si>
  <si>
    <t>较方正</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</si>
</sst>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38376;&#22836;&#27807;&#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Sheet1"/>
      <sheetName val="典型户型修正"/>
      <sheetName val="比较法-商业"/>
      <sheetName val="比较法-办公"/>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219.43</v>
          </cell>
        </row>
      </sheetData>
      <sheetData sheetId="17">
        <row r="32">
          <cell r="C32">
            <v>25328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估价对象为北京市房地产，为所有。根据《国有土地使用证》[]，估价对象（分摊）出让国有建设用地使用权面积为0平方米，建筑面积为87.01平方米。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估价对象为北京市房地产,属开发建设的商业项目，该项目尚在开发建设中。根据《国有土地使用证》[]，估价对象（分摊）出让国有建设用地使用权面积为0平方米，规划建筑面积为87.01平方米。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2024年1月31日（评估专业人员实地查勘之日）</v>
      </c>
    </row>
    <row r="13" spans="1:2" s="1202" customFormat="1">
      <c r="A13" s="1200" t="s">
        <v>529</v>
      </c>
      <c r="B13" s="1201" t="str">
        <f>'预评函-1'!A18</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6.2" thickBot="1">
      <c r="A18" s="1203" t="s">
        <v>534</v>
      </c>
      <c r="B18" s="1204" t="str">
        <f>'预评函-1'!A24</f>
        <v>本次评估采用的主估价方法为比较法和收益法。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ht="31.2">
      <c r="A42" s="1200" t="s">
        <v>590</v>
      </c>
      <c r="B42" s="1201" t="str">
        <f>'预评函-3'!B2</f>
        <v>建筑面积</v>
      </c>
    </row>
    <row r="43" spans="1:2" s="1202" customFormat="1">
      <c r="A43" s="1200" t="s">
        <v>591</v>
      </c>
      <c r="B43" s="1201">
        <f>'预评函-3'!B4</f>
        <v>87.01</v>
      </c>
    </row>
    <row r="44" spans="1:2" s="1202" customFormat="1" ht="31.2">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f>'预评函-4'!A4</f>
        <v>0</v>
      </c>
    </row>
    <row r="71" spans="1:2">
      <c r="A71" s="1200" t="s">
        <v>563</v>
      </c>
      <c r="B71" s="1201">
        <f>'预评函-4'!B4</f>
        <v>0</v>
      </c>
    </row>
    <row r="72" spans="1:2">
      <c r="A72" s="1200" t="s">
        <v>564</v>
      </c>
      <c r="B72" s="1209">
        <f>'预评函-4'!A5</f>
        <v>0</v>
      </c>
    </row>
    <row r="73" spans="1:2" s="1196" customFormat="1" ht="16.2" thickBot="1">
      <c r="A73" s="1203" t="s">
        <v>565</v>
      </c>
      <c r="B73" s="1204">
        <f>'预评函-4'!B5</f>
        <v>0</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4" customWidth="1"/>
    <col min="2" max="2" width="23.21875" style="1505" customWidth="1"/>
    <col min="3" max="3" width="13" style="1549" customWidth="1"/>
    <col min="4" max="4" width="5.77734375" style="1546" customWidth="1"/>
    <col min="5" max="5" width="7.109375" style="1546" customWidth="1"/>
    <col min="6" max="6" width="10.6640625" style="1546" customWidth="1"/>
    <col min="7" max="7" width="7.44140625" style="1546" customWidth="1"/>
    <col min="8" max="8" width="11.88671875" style="1549" customWidth="1"/>
    <col min="9" max="9" width="11.6640625" style="1549" customWidth="1"/>
    <col min="10" max="10" width="9" style="1549" customWidth="1"/>
    <col min="11" max="19" width="9" style="1546" customWidth="1"/>
    <col min="20" max="23" width="9" style="1549" customWidth="1"/>
    <col min="24" max="24" width="21.109375" style="1505" customWidth="1"/>
    <col min="25" max="16384" width="9" style="1505"/>
  </cols>
  <sheetData>
    <row r="1" spans="1:23" s="1543" customFormat="1" ht="43.2">
      <c r="A1" s="1537" t="s">
        <v>44</v>
      </c>
      <c r="B1" s="1538" t="s">
        <v>977</v>
      </c>
      <c r="C1" s="1539" t="s">
        <v>314</v>
      </c>
      <c r="D1" s="1541" t="s">
        <v>3350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3341</v>
      </c>
    </row>
    <row r="8" spans="1:23">
      <c r="A8" s="1544" t="s">
        <v>1026</v>
      </c>
      <c r="B8" s="1544" t="s">
        <v>1027</v>
      </c>
      <c r="C8" s="1545" t="s">
        <v>319</v>
      </c>
      <c r="F8" s="1546" t="s">
        <v>1028</v>
      </c>
      <c r="H8" s="1546" t="s">
        <v>2576</v>
      </c>
      <c r="I8" s="1546" t="s">
        <v>3342</v>
      </c>
    </row>
    <row r="9" spans="1:23">
      <c r="A9" s="1544" t="s">
        <v>1029</v>
      </c>
      <c r="B9" s="1544" t="s">
        <v>1030</v>
      </c>
      <c r="C9" s="1545" t="s">
        <v>320</v>
      </c>
      <c r="F9" s="1546" t="s">
        <v>1031</v>
      </c>
      <c r="H9" s="1546"/>
      <c r="I9" s="1549" t="s">
        <v>3343</v>
      </c>
    </row>
    <row r="10" spans="1:23">
      <c r="A10" s="1544" t="s">
        <v>1032</v>
      </c>
      <c r="B10" s="1544" t="s">
        <v>1033</v>
      </c>
      <c r="C10" s="1545" t="s">
        <v>321</v>
      </c>
      <c r="F10" s="1546" t="s">
        <v>2577</v>
      </c>
      <c r="I10" s="1549" t="s">
        <v>3344</v>
      </c>
    </row>
    <row r="11" spans="1:23">
      <c r="A11" s="1544" t="s">
        <v>1034</v>
      </c>
      <c r="B11" s="1544" t="s">
        <v>1035</v>
      </c>
      <c r="C11" s="1545" t="s">
        <v>322</v>
      </c>
      <c r="F11" s="1546" t="s">
        <v>13</v>
      </c>
      <c r="I11" s="1549" t="s">
        <v>3345</v>
      </c>
    </row>
    <row r="12" spans="1:23">
      <c r="A12" s="1544" t="s">
        <v>1036</v>
      </c>
      <c r="B12" s="1544" t="s">
        <v>1037</v>
      </c>
      <c r="C12" s="1545" t="s">
        <v>323</v>
      </c>
      <c r="I12" s="1549" t="s">
        <v>3346</v>
      </c>
    </row>
    <row r="13" spans="1:23">
      <c r="A13" s="1544" t="s">
        <v>1038</v>
      </c>
      <c r="B13" s="1544" t="s">
        <v>1039</v>
      </c>
      <c r="C13" s="1545" t="s">
        <v>324</v>
      </c>
      <c r="I13" s="1549" t="s">
        <v>3347</v>
      </c>
    </row>
    <row r="14" spans="1:23">
      <c r="A14" s="1544" t="s">
        <v>1040</v>
      </c>
      <c r="B14" s="1544" t="s">
        <v>1041</v>
      </c>
      <c r="C14" s="1546" t="s">
        <v>13</v>
      </c>
      <c r="I14" s="1549" t="s">
        <v>3348</v>
      </c>
    </row>
    <row r="15" spans="1:23">
      <c r="A15" s="1544" t="s">
        <v>1042</v>
      </c>
      <c r="B15" s="1544" t="s">
        <v>1043</v>
      </c>
      <c r="C15" s="1545"/>
      <c r="I15" s="1549" t="s">
        <v>3349</v>
      </c>
    </row>
    <row r="16" spans="1:23">
      <c r="A16" s="1544" t="s">
        <v>1044</v>
      </c>
      <c r="B16" s="1544" t="s">
        <v>312</v>
      </c>
      <c r="C16" s="1545"/>
    </row>
    <row r="17" spans="1:3">
      <c r="A17" s="1544" t="s">
        <v>1045</v>
      </c>
      <c r="B17" s="1544" t="s">
        <v>2288</v>
      </c>
      <c r="C17" s="1545"/>
    </row>
    <row r="18" spans="1:3">
      <c r="A18" s="1544" t="s">
        <v>1046</v>
      </c>
      <c r="B18" s="1544" t="s">
        <v>2432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4"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2" t="s">
        <v>385</v>
      </c>
      <c r="C54" s="1549" t="s">
        <v>583</v>
      </c>
    </row>
    <row r="55" spans="1:4">
      <c r="A55" s="3504"/>
      <c r="B55" s="1552" t="s">
        <v>386</v>
      </c>
      <c r="C55" s="1549" t="s">
        <v>584</v>
      </c>
    </row>
    <row r="56" spans="1:4">
      <c r="A56" s="3504"/>
      <c r="B56" s="1552" t="s">
        <v>387</v>
      </c>
      <c r="C56" s="1549" t="s">
        <v>588</v>
      </c>
    </row>
    <row r="57" spans="1:4">
      <c r="A57" s="3504"/>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2499</v>
      </c>
      <c r="B1" s="3012"/>
      <c r="C1" s="3012"/>
      <c r="D1" s="3012"/>
      <c r="E1" s="3012"/>
      <c r="F1" s="3013"/>
      <c r="I1" s="3435" t="s">
        <v>2592</v>
      </c>
      <c r="J1" s="3224"/>
      <c r="K1" s="3224"/>
      <c r="L1" s="3224"/>
      <c r="M1" s="3224"/>
      <c r="N1" s="3436"/>
      <c r="O1" s="3436"/>
      <c r="P1" s="3436"/>
      <c r="Q1" s="3436"/>
      <c r="R1" s="3436"/>
    </row>
    <row r="2" spans="1:18">
      <c r="A2" s="3015"/>
      <c r="B2" s="3016"/>
      <c r="C2" s="3016"/>
      <c r="D2" s="3016"/>
      <c r="E2" s="3016"/>
      <c r="F2" s="3017"/>
      <c r="I2" s="3505" t="s">
        <v>2579</v>
      </c>
      <c r="J2" s="3505"/>
      <c r="K2" s="3505"/>
      <c r="L2" s="3505"/>
      <c r="M2" s="3505"/>
      <c r="N2" s="3505"/>
      <c r="O2" s="3505"/>
      <c r="P2" s="3505"/>
      <c r="Q2" s="3505"/>
      <c r="R2" s="3505"/>
    </row>
    <row r="3" spans="1:18">
      <c r="A3" s="3018" t="s">
        <v>2500</v>
      </c>
      <c r="B3" s="3019">
        <f>项目基本情况!D3</f>
        <v>45322</v>
      </c>
      <c r="C3" s="3021"/>
      <c r="D3" s="3021"/>
      <c r="E3" s="3021"/>
      <c r="F3" s="3017"/>
      <c r="I3" s="3437"/>
      <c r="J3" s="3437" t="s">
        <v>2583</v>
      </c>
      <c r="K3" s="3437" t="s">
        <v>2584</v>
      </c>
      <c r="L3" s="3437" t="s">
        <v>2585</v>
      </c>
      <c r="M3" s="3437" t="s">
        <v>2586</v>
      </c>
      <c r="N3" s="3438" t="s">
        <v>2587</v>
      </c>
      <c r="O3" s="3438" t="s">
        <v>2588</v>
      </c>
      <c r="P3" s="3438" t="s">
        <v>2589</v>
      </c>
      <c r="Q3" s="3438" t="s">
        <v>2590</v>
      </c>
      <c r="R3" s="3438" t="s">
        <v>2591</v>
      </c>
    </row>
    <row r="4" spans="1:18">
      <c r="A4" s="3018" t="s">
        <v>2501</v>
      </c>
      <c r="B4" s="3021" t="s">
        <v>2502</v>
      </c>
      <c r="C4" s="3021" t="s">
        <v>2503</v>
      </c>
      <c r="D4" s="3021" t="s">
        <v>2504</v>
      </c>
      <c r="E4" s="3021" t="s">
        <v>2505</v>
      </c>
      <c r="F4" s="3017"/>
      <c r="I4" s="3437" t="s">
        <v>2580</v>
      </c>
      <c r="J4" s="3437">
        <v>80</v>
      </c>
      <c r="K4" s="3437">
        <v>70</v>
      </c>
      <c r="L4" s="3437">
        <v>20</v>
      </c>
      <c r="M4" s="3437">
        <v>30</v>
      </c>
      <c r="N4" s="3021">
        <v>45</v>
      </c>
      <c r="O4" s="3021">
        <v>60</v>
      </c>
      <c r="P4" s="3021">
        <v>50</v>
      </c>
      <c r="Q4" s="3021">
        <v>20</v>
      </c>
      <c r="R4" s="3021">
        <v>375</v>
      </c>
    </row>
    <row r="5" spans="1:18">
      <c r="A5" s="3022">
        <v>40</v>
      </c>
      <c r="B5" s="3019">
        <v>46375</v>
      </c>
      <c r="C5" s="3021">
        <f>ROUNDDOWN(MIN((B5-B3)/365,A5),2)</f>
        <v>2.88</v>
      </c>
      <c r="D5" s="3023">
        <f>IF(ISERROR(ROUND(POWER(1+E5,A5-C5)*(POWER(1+E5,C5)-1)/(POWER(1+E5,A5)-1),3)),0,ROUND(POWER(1+E5,A5-C5)*(POWER(1+E5,C5)-1)/(POWER(1+E5,A5)-1),4))</f>
        <v>0.13489999999999999</v>
      </c>
      <c r="E5" s="3024">
        <v>0.04</v>
      </c>
      <c r="F5" s="3017"/>
      <c r="I5" s="3437" t="s">
        <v>2581</v>
      </c>
      <c r="J5" s="3437">
        <v>70</v>
      </c>
      <c r="K5" s="3437">
        <v>60</v>
      </c>
      <c r="L5" s="3437">
        <v>15</v>
      </c>
      <c r="M5" s="3437">
        <v>25</v>
      </c>
      <c r="N5" s="3021">
        <v>40</v>
      </c>
      <c r="O5" s="3021">
        <v>50</v>
      </c>
      <c r="P5" s="3021">
        <v>40</v>
      </c>
      <c r="Q5" s="3021">
        <v>15</v>
      </c>
      <c r="R5" s="3021">
        <v>315</v>
      </c>
    </row>
    <row r="6" spans="1:18">
      <c r="A6" s="3022">
        <v>50</v>
      </c>
      <c r="B6" s="3019">
        <v>50028</v>
      </c>
      <c r="C6" s="3021">
        <f>ROUNDDOWN(MIN((B6-B3)/365,A6),2)</f>
        <v>12.89</v>
      </c>
      <c r="D6" s="3023">
        <f>IF(ISERROR(ROUND(POWER(1+E6,A6-C6)*(POWER(1+E6,C6)-1)/(POWER(1+E6,A6)-1),3)),0,ROUND(POWER(1+E6,A6-C6)*(POWER(1+E6,C6)-1)/(POWER(1+E6,A6)-1),4))</f>
        <v>0.46179999999999999</v>
      </c>
      <c r="E6" s="3024">
        <v>0.04</v>
      </c>
      <c r="F6" s="3017"/>
      <c r="I6" s="3437" t="s">
        <v>2582</v>
      </c>
      <c r="J6" s="3437">
        <v>60</v>
      </c>
      <c r="K6" s="3437">
        <v>50</v>
      </c>
      <c r="L6" s="3437">
        <v>10</v>
      </c>
      <c r="M6" s="3437">
        <v>20</v>
      </c>
      <c r="N6" s="3021">
        <v>35</v>
      </c>
      <c r="O6" s="3021">
        <v>40</v>
      </c>
      <c r="P6" s="3021">
        <v>30</v>
      </c>
      <c r="Q6" s="3021">
        <v>10</v>
      </c>
      <c r="R6" s="3021">
        <v>255</v>
      </c>
    </row>
    <row r="7" spans="1:18">
      <c r="A7" s="3022">
        <v>70</v>
      </c>
      <c r="B7" s="3019">
        <v>57333</v>
      </c>
      <c r="C7" s="3021">
        <f>ROUNDDOWN(MIN((B7-B3)/365,A7),2)</f>
        <v>32.9</v>
      </c>
      <c r="D7" s="3023">
        <f>IF(ISERROR(ROUND(POWER(1+E7,A7-C7)*(POWER(1+E7,C7)-1)/(POWER(1+E7,A7)-1),3)),0,ROUND(POWER(1+E7,A7-C7)*(POWER(1+E7,C7)-1)/(POWER(1+E7,A7)-1),4))</f>
        <v>0.77459999999999996</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3">
      <c r="A17" s="3018" t="s">
        <v>2516</v>
      </c>
      <c r="B17" s="3027">
        <v>4810</v>
      </c>
      <c r="C17" s="3020"/>
      <c r="D17" s="3016"/>
      <c r="E17" s="3016"/>
      <c r="F17" s="3017"/>
    </row>
    <row r="18" spans="1:13" ht="15" thickBot="1">
      <c r="A18" s="3029" t="s">
        <v>2515</v>
      </c>
      <c r="B18" s="3030">
        <f>ROUND(B17*F11/F12,2)</f>
        <v>5541.87</v>
      </c>
      <c r="C18" s="3030">
        <f>ROUND(F11/F12,4)</f>
        <v>1.1521999999999999</v>
      </c>
      <c r="D18" s="3031"/>
      <c r="E18" s="3031"/>
      <c r="F18" s="3032"/>
    </row>
    <row r="19" spans="1:13" ht="15" thickBot="1"/>
    <row r="20" spans="1:13" s="3067" customFormat="1" ht="15" thickTop="1">
      <c r="A20" s="3064" t="s">
        <v>2518</v>
      </c>
      <c r="B20" s="3065"/>
      <c r="C20" s="3065"/>
      <c r="D20" s="3065"/>
      <c r="E20" s="3065"/>
      <c r="F20" s="3065"/>
      <c r="G20" s="3066"/>
      <c r="I20" s="3068" t="s">
        <v>2563</v>
      </c>
      <c r="J20" s="3068" t="s">
        <v>2568</v>
      </c>
      <c r="K20" s="3068"/>
      <c r="L20" s="3068"/>
      <c r="M20" s="3068"/>
    </row>
    <row r="21" spans="1:13">
      <c r="A21" s="3033"/>
      <c r="B21" s="3034" t="s">
        <v>2519</v>
      </c>
      <c r="C21" s="3034" t="s">
        <v>2520</v>
      </c>
      <c r="D21" s="3034" t="s">
        <v>2521</v>
      </c>
      <c r="E21" s="3034" t="s">
        <v>2522</v>
      </c>
      <c r="F21" s="3034" t="s">
        <v>2523</v>
      </c>
      <c r="G21" s="3035" t="s">
        <v>2524</v>
      </c>
      <c r="I21" s="3056">
        <v>5</v>
      </c>
      <c r="J21" s="3056">
        <v>54.2</v>
      </c>
    </row>
    <row r="22" spans="1:13">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M23" s="3056" t="s">
        <v>2567</v>
      </c>
    </row>
    <row r="24" spans="1:13">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M24" s="3056">
        <v>10</v>
      </c>
    </row>
    <row r="25" spans="1:13">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M25" s="3056">
        <v>8</v>
      </c>
    </row>
    <row r="26" spans="1:13">
      <c r="A26" s="3038"/>
      <c r="B26" s="3039"/>
      <c r="C26" s="3039"/>
      <c r="D26" s="3039"/>
      <c r="E26" s="3039"/>
      <c r="F26" s="3039"/>
      <c r="G26" s="3040"/>
      <c r="I26" s="3056">
        <v>30</v>
      </c>
      <c r="J26" s="3056">
        <v>90.5</v>
      </c>
      <c r="K26" s="3056">
        <f t="shared" si="2"/>
        <v>4.2000000000000028</v>
      </c>
      <c r="L26" s="3056" t="s">
        <v>2570</v>
      </c>
      <c r="M26" s="3056">
        <v>5</v>
      </c>
    </row>
    <row r="27" spans="1:13">
      <c r="A27" s="3038" t="s">
        <v>2529</v>
      </c>
      <c r="B27" s="3039"/>
      <c r="C27" s="3039"/>
      <c r="D27" s="3039"/>
      <c r="E27" s="3039"/>
      <c r="F27" s="3039"/>
      <c r="G27" s="3040"/>
      <c r="I27" s="3056">
        <v>35</v>
      </c>
      <c r="J27" s="3056">
        <v>93.8</v>
      </c>
      <c r="K27" s="3056">
        <f t="shared" si="2"/>
        <v>3.2999999999999972</v>
      </c>
      <c r="L27" s="3056" t="s">
        <v>2571</v>
      </c>
      <c r="M27" s="3056">
        <v>3</v>
      </c>
    </row>
    <row r="28" spans="1:13">
      <c r="A28" s="3038" t="s">
        <v>2530</v>
      </c>
      <c r="B28" s="3039"/>
      <c r="C28" s="3039"/>
      <c r="D28" s="3039"/>
      <c r="E28" s="3039"/>
      <c r="F28" s="3039"/>
      <c r="G28" s="3040"/>
      <c r="I28" s="3056">
        <v>40</v>
      </c>
      <c r="J28" s="3056">
        <v>96.4</v>
      </c>
      <c r="K28" s="3056">
        <f t="shared" si="2"/>
        <v>2.6000000000000085</v>
      </c>
      <c r="L28" s="3056" t="s">
        <v>2572</v>
      </c>
      <c r="M28" s="3056">
        <v>2</v>
      </c>
    </row>
    <row r="29" spans="1:13">
      <c r="A29" s="3038" t="s">
        <v>2531</v>
      </c>
      <c r="B29" s="3039"/>
      <c r="C29" s="3039"/>
      <c r="D29" s="3039"/>
      <c r="E29" s="3039"/>
      <c r="F29" s="3039"/>
      <c r="G29" s="3040"/>
      <c r="I29" s="3056">
        <v>45</v>
      </c>
      <c r="J29" s="3056">
        <v>98.4</v>
      </c>
      <c r="K29" s="3056">
        <f t="shared" si="2"/>
        <v>2</v>
      </c>
    </row>
    <row r="30" spans="1:13">
      <c r="A30" s="3038" t="s">
        <v>2532</v>
      </c>
      <c r="B30" s="3039"/>
      <c r="C30" s="3039"/>
      <c r="D30" s="3039"/>
      <c r="E30" s="3039"/>
      <c r="F30" s="3039"/>
      <c r="G30" s="3040"/>
      <c r="I30" s="3056">
        <v>50</v>
      </c>
      <c r="J30" s="3056">
        <v>100</v>
      </c>
      <c r="K30" s="3056">
        <f t="shared" si="2"/>
        <v>1.5999999999999943</v>
      </c>
    </row>
    <row r="31" spans="1:13">
      <c r="A31" s="3038" t="s">
        <v>2533</v>
      </c>
      <c r="B31" s="3039"/>
      <c r="C31" s="3039"/>
      <c r="D31" s="3039"/>
      <c r="E31" s="3039"/>
      <c r="F31" s="3039"/>
      <c r="G31" s="3040"/>
      <c r="I31" s="3056" t="s">
        <v>2564</v>
      </c>
    </row>
    <row r="32" spans="1:13">
      <c r="A32" s="3038" t="s">
        <v>2534</v>
      </c>
      <c r="B32" s="3039"/>
      <c r="C32" s="3039"/>
      <c r="D32" s="3039"/>
      <c r="E32" s="3039"/>
      <c r="F32" s="3039"/>
      <c r="G32" s="3040"/>
    </row>
    <row r="33" spans="1:13">
      <c r="A33" s="3038" t="s">
        <v>2535</v>
      </c>
      <c r="B33" s="3039"/>
      <c r="C33" s="3039"/>
      <c r="D33" s="3039"/>
      <c r="E33" s="3039"/>
      <c r="F33" s="3039"/>
      <c r="G33" s="3040"/>
      <c r="I33" s="3056" t="s">
        <v>2563</v>
      </c>
      <c r="J33" s="3056" t="s">
        <v>2573</v>
      </c>
    </row>
    <row r="34" spans="1:13">
      <c r="A34" s="3038" t="s">
        <v>2536</v>
      </c>
      <c r="B34" s="3039"/>
      <c r="C34" s="3039"/>
      <c r="D34" s="3039"/>
      <c r="E34" s="3039"/>
      <c r="F34" s="3039"/>
      <c r="G34" s="3040"/>
      <c r="I34" s="3056">
        <v>5</v>
      </c>
      <c r="J34" s="3056">
        <v>55.1</v>
      </c>
    </row>
    <row r="35" spans="1:13">
      <c r="A35" s="3038" t="s">
        <v>2537</v>
      </c>
      <c r="B35" s="3039"/>
      <c r="C35" s="3039"/>
      <c r="D35" s="3039"/>
      <c r="E35" s="3039"/>
      <c r="F35" s="3039"/>
      <c r="G35" s="3040"/>
      <c r="I35" s="3056">
        <v>10</v>
      </c>
      <c r="J35" s="3056">
        <v>67</v>
      </c>
      <c r="K35" s="3056">
        <f>J35-J34</f>
        <v>11.899999999999999</v>
      </c>
    </row>
    <row r="36" spans="1:13">
      <c r="A36" s="3038" t="s">
        <v>2538</v>
      </c>
      <c r="B36" s="3039"/>
      <c r="C36" s="3039"/>
      <c r="D36" s="3039"/>
      <c r="E36" s="3039"/>
      <c r="F36" s="3039"/>
      <c r="G36" s="3040"/>
      <c r="I36" s="3056">
        <v>15</v>
      </c>
      <c r="J36" s="3056">
        <v>76.3</v>
      </c>
      <c r="K36" s="3056">
        <f t="shared" ref="K36:K41" si="3">J36-J35</f>
        <v>9.2999999999999972</v>
      </c>
      <c r="L36" s="3056" t="s">
        <v>2566</v>
      </c>
      <c r="M36" s="3056" t="s">
        <v>2567</v>
      </c>
    </row>
    <row r="37" spans="1:13">
      <c r="A37" s="3038" t="s">
        <v>2539</v>
      </c>
      <c r="B37" s="3039"/>
      <c r="C37" s="3039"/>
      <c r="D37" s="3039"/>
      <c r="E37" s="3039"/>
      <c r="F37" s="3039"/>
      <c r="G37" s="3040"/>
      <c r="I37" s="3056">
        <v>20</v>
      </c>
      <c r="J37" s="3056">
        <v>83.6</v>
      </c>
      <c r="K37" s="3056">
        <f t="shared" si="3"/>
        <v>7.2999999999999972</v>
      </c>
      <c r="L37" s="3056" t="s">
        <v>2565</v>
      </c>
      <c r="M37" s="3056">
        <v>10</v>
      </c>
    </row>
    <row r="38" spans="1:13">
      <c r="A38" s="3038" t="s">
        <v>2540</v>
      </c>
      <c r="B38" s="3039"/>
      <c r="C38" s="3039"/>
      <c r="D38" s="3039"/>
      <c r="E38" s="3039"/>
      <c r="F38" s="3039"/>
      <c r="G38" s="3040"/>
      <c r="I38" s="3056">
        <v>25</v>
      </c>
      <c r="J38" s="3056">
        <v>89.3</v>
      </c>
      <c r="K38" s="3056">
        <f t="shared" si="3"/>
        <v>5.7000000000000028</v>
      </c>
      <c r="L38" s="3056" t="s">
        <v>2569</v>
      </c>
      <c r="M38" s="3056">
        <v>8</v>
      </c>
    </row>
    <row r="39" spans="1:13">
      <c r="A39" s="3038"/>
      <c r="B39" s="3039"/>
      <c r="C39" s="3039"/>
      <c r="D39" s="3039"/>
      <c r="E39" s="3039"/>
      <c r="F39" s="3039"/>
      <c r="G39" s="3040"/>
      <c r="I39" s="3056">
        <v>30</v>
      </c>
      <c r="J39" s="3056">
        <v>93.8</v>
      </c>
      <c r="K39" s="3056">
        <f t="shared" si="3"/>
        <v>4.5</v>
      </c>
      <c r="L39" s="3056" t="s">
        <v>2570</v>
      </c>
      <c r="M39" s="3056">
        <v>6</v>
      </c>
    </row>
    <row r="40" spans="1:13">
      <c r="A40" s="3041" t="s">
        <v>2541</v>
      </c>
      <c r="B40" s="3042"/>
      <c r="C40" s="3042"/>
      <c r="D40" s="3042"/>
      <c r="E40" s="3042"/>
      <c r="F40" s="3042"/>
      <c r="G40" s="3043"/>
      <c r="I40" s="3056">
        <v>35</v>
      </c>
      <c r="J40" s="3056">
        <v>97.2</v>
      </c>
      <c r="K40" s="3056">
        <f t="shared" si="3"/>
        <v>3.4000000000000057</v>
      </c>
      <c r="L40" s="3056" t="s">
        <v>2571</v>
      </c>
      <c r="M40" s="3056">
        <v>3</v>
      </c>
    </row>
    <row r="41" spans="1:13">
      <c r="A41" s="3044" t="s">
        <v>2542</v>
      </c>
      <c r="B41" s="3045" t="s">
        <v>2543</v>
      </c>
      <c r="C41" s="3046" t="s">
        <v>2544</v>
      </c>
      <c r="D41" s="3046" t="s">
        <v>2545</v>
      </c>
      <c r="E41" s="3047"/>
      <c r="F41" s="3048"/>
      <c r="G41" s="3049"/>
      <c r="I41" s="3056">
        <v>40</v>
      </c>
      <c r="J41" s="3056">
        <v>100</v>
      </c>
      <c r="K41" s="3056">
        <f t="shared" si="3"/>
        <v>2.7999999999999972</v>
      </c>
    </row>
    <row r="42" spans="1:13">
      <c r="A42" s="3044" t="s">
        <v>2546</v>
      </c>
      <c r="B42" s="3045" t="s">
        <v>2547</v>
      </c>
      <c r="C42" s="3046" t="s">
        <v>2548</v>
      </c>
      <c r="D42" s="3050" t="s">
        <v>2549</v>
      </c>
      <c r="E42" s="3042" t="s">
        <v>2550</v>
      </c>
      <c r="F42" s="3042"/>
      <c r="G42" s="3043"/>
    </row>
    <row r="43" spans="1:13">
      <c r="A43" s="3044" t="s">
        <v>2551</v>
      </c>
      <c r="B43" s="3045" t="s">
        <v>2552</v>
      </c>
      <c r="C43" s="3046" t="s">
        <v>2553</v>
      </c>
      <c r="D43" s="3046" t="s">
        <v>2554</v>
      </c>
      <c r="E43" s="3047" t="s">
        <v>2555</v>
      </c>
      <c r="F43" s="3048"/>
      <c r="G43" s="3049"/>
      <c r="I43" s="3056" t="s">
        <v>2563</v>
      </c>
      <c r="J43" s="3056" t="s">
        <v>2574</v>
      </c>
    </row>
    <row r="44" spans="1:13">
      <c r="A44" s="3044" t="s">
        <v>2556</v>
      </c>
      <c r="B44" s="3045" t="s">
        <v>2557</v>
      </c>
      <c r="C44" s="3046" t="s">
        <v>2558</v>
      </c>
      <c r="D44" s="3050">
        <v>0.5</v>
      </c>
      <c r="E44" s="3047" t="s">
        <v>2559</v>
      </c>
      <c r="F44" s="3048"/>
      <c r="G44" s="3049"/>
      <c r="I44" s="3056">
        <v>30</v>
      </c>
      <c r="J44" s="3056">
        <v>81.7</v>
      </c>
    </row>
    <row r="45" spans="1:13" ht="15" thickBot="1">
      <c r="A45" s="3051" t="s">
        <v>2560</v>
      </c>
      <c r="B45" s="3052" t="s">
        <v>2547</v>
      </c>
      <c r="C45" s="3053" t="s">
        <v>2547</v>
      </c>
      <c r="D45" s="3053" t="s">
        <v>2561</v>
      </c>
      <c r="E45" s="3054" t="s">
        <v>2562</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38" sqref="L38"/>
    </sheetView>
  </sheetViews>
  <sheetFormatPr defaultColWidth="10" defaultRowHeight="13.2"/>
  <cols>
    <col min="1" max="1" width="16.88671875" style="1743" customWidth="1"/>
    <col min="2" max="2" width="10" style="1743" customWidth="1"/>
    <col min="3" max="3" width="11.44140625" style="1743" customWidth="1"/>
    <col min="4" max="4" width="10" style="1743" customWidth="1"/>
    <col min="5" max="5" width="12.6640625" style="1743" customWidth="1"/>
    <col min="6" max="6" width="10" style="1743" customWidth="1"/>
    <col min="7" max="7" width="10.77734375" style="1743" customWidth="1"/>
    <col min="8" max="8" width="10" style="1743" customWidth="1"/>
    <col min="9" max="9" width="11.10937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8" thickBot="1">
      <c r="A1" s="2364" t="s">
        <v>2163</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2164</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2165</v>
      </c>
      <c r="B3" s="2371">
        <v>45322</v>
      </c>
      <c r="C3" s="2372" t="s">
        <v>2166</v>
      </c>
      <c r="D3" s="2371">
        <f>B3</f>
        <v>45322</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8" thickBot="1">
      <c r="A4" s="1089" t="s">
        <v>2167</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8" thickTop="1">
      <c r="A5" s="2377" t="s">
        <v>2168</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2169</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2170</v>
      </c>
      <c r="B7" s="2385"/>
      <c r="C7" s="2383"/>
      <c r="D7" s="2384"/>
      <c r="E7" s="2660"/>
      <c r="F7" s="2662"/>
      <c r="G7" s="2662"/>
      <c r="H7" s="2662"/>
      <c r="I7" s="2662"/>
      <c r="J7" s="2437"/>
      <c r="K7" s="2614"/>
      <c r="L7" s="2611"/>
      <c r="M7" s="2611"/>
      <c r="N7" s="2437"/>
      <c r="O7" s="2448"/>
      <c r="P7" s="2437"/>
      <c r="Q7" s="2437"/>
      <c r="R7" s="2437"/>
    </row>
    <row r="8" spans="1:30">
      <c r="A8" s="2386" t="s">
        <v>2171</v>
      </c>
      <c r="B8" s="2387" t="s">
        <v>3375</v>
      </c>
      <c r="C8" s="2388"/>
      <c r="D8" s="3517" t="s">
        <v>2172</v>
      </c>
      <c r="E8" s="2389" t="s">
        <v>3441</v>
      </c>
      <c r="F8" s="2390"/>
      <c r="G8" s="2661"/>
      <c r="H8" s="2661"/>
      <c r="I8" s="2661"/>
      <c r="J8" s="2437"/>
      <c r="K8" s="2612"/>
      <c r="L8" s="2611"/>
      <c r="M8" s="2611"/>
      <c r="N8" s="2437"/>
      <c r="O8" s="2448"/>
      <c r="P8" s="2437"/>
      <c r="Q8" s="2437"/>
      <c r="R8" s="2437"/>
    </row>
    <row r="9" spans="1:30" ht="13.8" thickBot="1">
      <c r="A9" s="2391" t="s">
        <v>2173</v>
      </c>
      <c r="B9" s="2392" t="s">
        <v>3441</v>
      </c>
      <c r="C9" s="2393"/>
      <c r="D9" s="3518"/>
      <c r="E9" s="2392"/>
      <c r="F9" s="2394"/>
      <c r="G9" s="2663"/>
      <c r="H9" s="2663"/>
      <c r="I9" s="2663"/>
      <c r="J9" s="2437"/>
      <c r="K9" s="2614"/>
      <c r="L9" s="2611"/>
      <c r="M9" s="2611"/>
      <c r="N9" s="2437"/>
      <c r="O9" s="2448"/>
      <c r="P9" s="2437"/>
      <c r="Q9" s="2437"/>
      <c r="R9" s="2437"/>
    </row>
    <row r="10" spans="1:30" ht="13.8" thickTop="1">
      <c r="A10" s="2395" t="s">
        <v>2174</v>
      </c>
      <c r="B10" s="2396" t="s">
        <v>3440</v>
      </c>
      <c r="C10" s="2397"/>
      <c r="D10" s="2380"/>
      <c r="E10" s="2398" t="s">
        <v>2175</v>
      </c>
      <c r="F10" s="2664"/>
      <c r="G10" s="2665"/>
      <c r="H10" s="2666"/>
      <c r="I10" s="2667"/>
      <c r="J10" s="2437"/>
      <c r="K10" s="2614"/>
      <c r="L10" s="2611"/>
      <c r="M10" s="2611"/>
      <c r="N10" s="2437"/>
      <c r="O10" s="2448"/>
      <c r="P10" s="2437"/>
      <c r="Q10" s="2437"/>
      <c r="R10" s="2437"/>
    </row>
    <row r="11" spans="1:30">
      <c r="A11" s="2399" t="s">
        <v>2176</v>
      </c>
      <c r="B11" s="2400" t="s">
        <v>3439</v>
      </c>
      <c r="C11" s="2401"/>
      <c r="D11" s="2402"/>
      <c r="E11" s="2368"/>
      <c r="F11" s="2368"/>
      <c r="G11" s="2368"/>
      <c r="H11" s="2368"/>
      <c r="I11" s="2368"/>
      <c r="J11" s="3059"/>
      <c r="K11" s="3058"/>
      <c r="L11" s="2611"/>
      <c r="M11" s="2611"/>
      <c r="N11" s="2437"/>
      <c r="O11" s="2448"/>
      <c r="P11" s="2437"/>
      <c r="Q11" s="2437"/>
      <c r="R11" s="2437"/>
    </row>
    <row r="12" spans="1:30">
      <c r="A12" s="2403" t="s">
        <v>2177</v>
      </c>
      <c r="B12" s="323" t="s">
        <v>2178</v>
      </c>
      <c r="C12" s="2404" t="s">
        <v>2179</v>
      </c>
      <c r="D12" s="2404" t="s">
        <v>2180</v>
      </c>
      <c r="E12" s="2404" t="s">
        <v>2181</v>
      </c>
      <c r="F12" s="2404" t="s">
        <v>2182</v>
      </c>
      <c r="G12" s="2404" t="s">
        <v>2183</v>
      </c>
      <c r="H12" s="2404" t="s">
        <v>2184</v>
      </c>
      <c r="I12" s="3057" t="s">
        <v>2575</v>
      </c>
      <c r="J12" s="3060"/>
      <c r="K12" s="2611"/>
      <c r="L12" s="2611"/>
      <c r="M12" s="2437"/>
      <c r="N12" s="2448"/>
      <c r="O12" s="2437"/>
      <c r="P12" s="2437"/>
      <c r="Q12" s="2437"/>
      <c r="AD12" s="1743"/>
    </row>
    <row r="13" spans="1:30">
      <c r="A13" s="3421" t="s">
        <v>3331</v>
      </c>
      <c r="B13" s="2405" t="s">
        <v>2185</v>
      </c>
      <c r="C13" s="856"/>
      <c r="D13" s="856">
        <v>56557</v>
      </c>
      <c r="E13" s="856"/>
      <c r="F13" s="856"/>
      <c r="G13" s="856"/>
      <c r="H13" s="856"/>
      <c r="I13" s="856"/>
      <c r="J13" s="3060"/>
      <c r="K13" s="2611"/>
      <c r="L13" s="2611"/>
      <c r="M13" s="2437"/>
      <c r="N13" s="2448"/>
      <c r="O13" s="2437"/>
      <c r="P13" s="2437"/>
      <c r="Q13" s="2437"/>
      <c r="AD13" s="1743"/>
    </row>
    <row r="14" spans="1:30">
      <c r="A14" s="1080"/>
      <c r="B14" s="2405" t="s">
        <v>2186</v>
      </c>
      <c r="C14" s="2406"/>
      <c r="D14" s="2406">
        <v>40</v>
      </c>
      <c r="E14" s="2406"/>
      <c r="F14" s="2406"/>
      <c r="G14" s="2406"/>
      <c r="H14" s="2406"/>
      <c r="I14" s="2406"/>
      <c r="J14" s="3061"/>
      <c r="K14" s="2611"/>
      <c r="L14" s="2611"/>
      <c r="M14" s="2437"/>
      <c r="N14" s="2448"/>
      <c r="O14" s="2437"/>
      <c r="P14" s="2437"/>
      <c r="Q14" s="2437"/>
      <c r="AD14" s="1743"/>
    </row>
    <row r="15" spans="1:30">
      <c r="A15" s="320"/>
      <c r="B15" s="2407" t="s">
        <v>2187</v>
      </c>
      <c r="C15" s="2408" t="str">
        <f>IF(A13="出让",IF(C13="","",ROUNDDOWN(MIN((C13-$D$3)/365,C14),2)),C14)</f>
        <v/>
      </c>
      <c r="D15" s="2408">
        <f>IF(A13="出让",IF(D13="","",ROUNDDOWN(MIN((D13-$D$3)/365,D14),2)),D14)</f>
        <v>30.78</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2188</v>
      </c>
      <c r="B16" s="3524"/>
      <c r="C16" s="3525"/>
      <c r="D16" s="3526"/>
      <c r="E16" s="2411" t="s">
        <v>2189</v>
      </c>
      <c r="F16" s="3527"/>
      <c r="G16" s="3528"/>
      <c r="H16" s="3528"/>
      <c r="I16" s="3529"/>
      <c r="J16" s="2437"/>
      <c r="K16" s="2615"/>
      <c r="L16" s="2449"/>
      <c r="M16" s="2449"/>
      <c r="N16" s="2507"/>
      <c r="O16" s="2449"/>
      <c r="P16" s="2507"/>
      <c r="Q16" s="2437"/>
      <c r="R16" s="2437"/>
    </row>
    <row r="17" spans="1:28">
      <c r="A17" s="313" t="s">
        <v>2190</v>
      </c>
      <c r="B17" s="302" t="s">
        <v>2191</v>
      </c>
      <c r="C17" s="8">
        <f>'数据-汇总表'!E3</f>
        <v>87.01</v>
      </c>
      <c r="D17" s="2320" t="s">
        <v>2192</v>
      </c>
      <c r="E17" s="3530" t="s">
        <v>2193</v>
      </c>
      <c r="F17" s="3531"/>
      <c r="G17" s="3531"/>
      <c r="H17" s="3531"/>
      <c r="I17" s="3532"/>
      <c r="J17" s="2437"/>
      <c r="K17" s="2616"/>
      <c r="L17" s="2449"/>
      <c r="M17" s="2449"/>
      <c r="N17" s="2507"/>
      <c r="O17" s="2449"/>
      <c r="P17" s="2507"/>
      <c r="Q17" s="2437"/>
      <c r="R17" s="2437"/>
      <c r="S17" s="2437"/>
      <c r="T17" s="2437"/>
      <c r="U17" s="2437"/>
      <c r="V17" s="2437"/>
    </row>
    <row r="18" spans="1:28" ht="24.6" thickBot="1">
      <c r="A18" s="2412" t="s">
        <v>2194</v>
      </c>
      <c r="B18" s="1089" t="s">
        <v>2195</v>
      </c>
      <c r="C18" s="2413">
        <f>'数据-汇总表'!D3</f>
        <v>0</v>
      </c>
      <c r="D18" s="1091" t="s">
        <v>2196</v>
      </c>
      <c r="E18" s="3533" t="s">
        <v>2197</v>
      </c>
      <c r="F18" s="3534"/>
      <c r="G18" s="3534"/>
      <c r="H18" s="3534"/>
      <c r="I18" s="3535"/>
      <c r="J18" s="2437"/>
      <c r="K18" s="2616"/>
      <c r="L18" s="2449"/>
      <c r="M18" s="2449"/>
      <c r="N18" s="2507"/>
      <c r="O18" s="2449"/>
      <c r="P18" s="2507"/>
      <c r="Q18" s="2437"/>
      <c r="R18" s="2437"/>
      <c r="S18" s="2437"/>
      <c r="T18" s="2437"/>
      <c r="U18" s="2437"/>
      <c r="V18" s="2437"/>
    </row>
    <row r="19" spans="1:28" ht="37.200000000000003" thickTop="1" thickBot="1">
      <c r="A19" s="327" t="s">
        <v>1055</v>
      </c>
      <c r="B19" s="307" t="s">
        <v>2198</v>
      </c>
      <c r="C19" s="1561"/>
      <c r="D19" s="1562" t="s">
        <v>2199</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2200</v>
      </c>
      <c r="B20" s="3520" t="s">
        <v>2201</v>
      </c>
      <c r="C20" s="3521"/>
      <c r="D20" s="3522" t="s">
        <v>2202</v>
      </c>
      <c r="E20" s="3523"/>
      <c r="F20" s="2645" t="s">
        <v>1056</v>
      </c>
      <c r="G20" s="2662"/>
      <c r="H20" s="2662"/>
      <c r="I20" s="2662"/>
      <c r="J20" s="2437"/>
      <c r="K20" s="3519"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36.6" thickBot="1">
      <c r="A21" s="2630"/>
      <c r="B21" s="2631" t="s">
        <v>2204</v>
      </c>
      <c r="C21" s="2632" t="s">
        <v>1057</v>
      </c>
      <c r="D21" s="1566" t="s">
        <v>2205</v>
      </c>
      <c r="E21" s="2633" t="s">
        <v>1057</v>
      </c>
      <c r="F21" s="2646"/>
      <c r="G21" s="2662"/>
      <c r="H21" s="2662"/>
      <c r="I21" s="2662"/>
      <c r="J21" s="2437"/>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36.6" thickBot="1">
      <c r="A22" s="2630"/>
      <c r="B22" s="2634" t="s">
        <v>2206</v>
      </c>
      <c r="C22" s="2632" t="s">
        <v>1058</v>
      </c>
      <c r="D22" s="2661"/>
      <c r="E22" s="2661"/>
      <c r="F22" s="2661"/>
      <c r="G22" s="2662"/>
      <c r="H22" s="2662"/>
      <c r="I22" s="2662"/>
      <c r="J22" s="2437"/>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507" t="s">
        <v>2209</v>
      </c>
      <c r="B27" s="320" t="s">
        <v>2210</v>
      </c>
      <c r="C27" s="2414" t="s">
        <v>3379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7"/>
      <c r="B28" s="302" t="s">
        <v>2211</v>
      </c>
      <c r="C28" s="2416" t="s">
        <v>3380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7"/>
      <c r="B29" s="302" t="s">
        <v>2212</v>
      </c>
      <c r="C29" s="2418" t="s">
        <v>3381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8"/>
      <c r="B30" s="302" t="s">
        <v>2213</v>
      </c>
      <c r="C30" s="3509"/>
      <c r="D30" s="3510"/>
      <c r="E30" s="2662"/>
      <c r="F30" s="2662"/>
      <c r="G30" s="2662"/>
      <c r="H30" s="2662"/>
      <c r="I30" s="2662"/>
      <c r="J30" s="2437"/>
      <c r="K30" s="2614"/>
      <c r="L30" s="2611"/>
      <c r="M30" s="2611"/>
      <c r="N30" s="2437"/>
      <c r="O30" s="2448"/>
      <c r="P30" s="2437"/>
      <c r="Q30" s="2437"/>
      <c r="R30" s="2437"/>
      <c r="S30" s="2437"/>
      <c r="T30" s="2437"/>
      <c r="U30" s="2437"/>
      <c r="V30" s="2437"/>
    </row>
    <row r="31" spans="1:28">
      <c r="A31" s="3511" t="s">
        <v>2214</v>
      </c>
      <c r="B31" s="2420" t="s">
        <v>3382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12"/>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12"/>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2215</v>
      </c>
      <c r="B34" s="2024"/>
      <c r="C34" s="2024"/>
      <c r="D34" s="2024"/>
      <c r="E34" s="2024"/>
      <c r="F34" s="2024"/>
      <c r="G34" s="2024"/>
      <c r="H34" s="2024"/>
      <c r="I34" s="2662"/>
      <c r="J34" s="2437"/>
      <c r="K34" s="2425">
        <f>COUNTIF(B34:H34,"——")</f>
        <v>0</v>
      </c>
      <c r="L34" s="323" t="s">
        <v>2216</v>
      </c>
      <c r="M34" s="323" t="s">
        <v>2217</v>
      </c>
      <c r="N34" s="323" t="s">
        <v>2218</v>
      </c>
      <c r="O34" s="323" t="s">
        <v>2219</v>
      </c>
      <c r="P34" s="323" t="s">
        <v>2220</v>
      </c>
      <c r="Q34" s="323" t="s">
        <v>2221</v>
      </c>
      <c r="R34" s="323" t="s">
        <v>2222</v>
      </c>
      <c r="S34" s="3506" t="s">
        <v>2223</v>
      </c>
      <c r="T34" s="2426" t="str">
        <f>NUMBERSTRING(7-K34,1)&amp;"通"</f>
        <v>七通</v>
      </c>
      <c r="U34" s="2437"/>
      <c r="V34" s="2437"/>
    </row>
    <row r="35" spans="1:30">
      <c r="A35" s="2427"/>
      <c r="B35" s="3513" t="s">
        <v>2224</v>
      </c>
      <c r="C35" s="3513"/>
      <c r="D35" s="3513"/>
      <c r="E35" s="3513"/>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6"/>
      <c r="T35" s="329" t="str">
        <f>IF(T34="一通",L35,IF(T34="二通",M35,IF(T34="三通",N35,IF(T34="四通",O35,IF(T34="五通",P35,IF(T34="六通",Q35,R35))))))</f>
        <v>、、、、、、</v>
      </c>
      <c r="U35" s="2437"/>
      <c r="V35" s="2437"/>
    </row>
    <row r="36" spans="1:30">
      <c r="A36" s="2428"/>
      <c r="B36" s="664" t="s">
        <v>2180</v>
      </c>
      <c r="C36" s="664" t="s">
        <v>2181</v>
      </c>
      <c r="D36" s="664" t="s">
        <v>2179</v>
      </c>
      <c r="E36" s="664" t="s">
        <v>2184</v>
      </c>
      <c r="F36" s="3063" t="s">
        <v>2578</v>
      </c>
      <c r="G36" s="2662"/>
      <c r="H36" s="2662"/>
      <c r="I36" s="2662"/>
      <c r="J36" s="2437"/>
      <c r="K36" s="2614"/>
      <c r="L36" s="2611"/>
      <c r="M36" s="2611"/>
      <c r="N36" s="2437"/>
      <c r="O36" s="2448"/>
      <c r="P36" s="2437"/>
      <c r="Q36" s="2437"/>
      <c r="R36" s="2437"/>
      <c r="S36" s="2437"/>
      <c r="T36" s="2437"/>
      <c r="U36" s="2437"/>
      <c r="V36" s="2437"/>
    </row>
    <row r="37" spans="1:30">
      <c r="A37" s="2628" t="s">
        <v>2225</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2226</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2228</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2">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1" customWidth="1"/>
    <col min="2" max="2" width="11" style="1571" customWidth="1"/>
    <col min="3" max="3" width="10.33203125" style="1571" customWidth="1"/>
    <col min="4" max="4" width="9.109375" style="1571" customWidth="1"/>
    <col min="5" max="6" width="10" style="1632" customWidth="1"/>
    <col min="7" max="8" width="10" style="1571" customWidth="1"/>
    <col min="9" max="9" width="10.6640625" style="1571" customWidth="1"/>
    <col min="10" max="10" width="9.44140625" style="1571" customWidth="1"/>
    <col min="11" max="11" width="11" style="1571" customWidth="1"/>
    <col min="12" max="14" width="9.44140625" style="1571" customWidth="1"/>
    <col min="15" max="15" width="9.88671875" style="1571" customWidth="1"/>
    <col min="16" max="16" width="9.77734375" style="1571" customWidth="1"/>
    <col min="17" max="17" width="9.33203125" style="1571" customWidth="1"/>
    <col min="18" max="18" width="9.21875" style="1571" customWidth="1"/>
    <col min="19" max="19" width="10.88671875" style="1571" customWidth="1"/>
    <col min="20" max="21" width="10.77734375" style="1571" customWidth="1"/>
    <col min="22" max="22" width="10.88671875" style="1571" customWidth="1"/>
    <col min="23" max="27" width="10.77734375" style="1571" customWidth="1"/>
    <col min="28" max="28" width="10.88671875" style="1571" customWidth="1"/>
    <col min="29" max="29" width="11" style="1571" bestFit="1" customWidth="1"/>
    <col min="30" max="30" width="10" style="1571" bestFit="1" customWidth="1"/>
    <col min="31" max="31" width="9.77734375" style="1571" customWidth="1"/>
    <col min="32" max="46" width="9.44140625" style="1571" customWidth="1"/>
    <col min="47" max="47" width="18.109375" style="1571" customWidth="1"/>
    <col min="48" max="50" width="9.77734375" style="1571" customWidth="1"/>
    <col min="51" max="55" width="10.44140625" style="1571" bestFit="1" customWidth="1"/>
    <col min="56" max="56" width="9.44140625" style="1571" bestFit="1" customWidth="1"/>
    <col min="57" max="63" width="9.109375" style="1571" bestFit="1" customWidth="1"/>
    <col min="64" max="64" width="9.44140625" style="1571" bestFit="1" customWidth="1"/>
    <col min="65" max="65" width="9.109375" style="1571" bestFit="1" customWidth="1"/>
    <col min="66" max="66" width="9.44140625" style="1571" bestFit="1" customWidth="1"/>
    <col min="67" max="69" width="9.109375" style="1571" bestFit="1" customWidth="1"/>
    <col min="70" max="70" width="9.44140625" style="1571" bestFit="1" customWidth="1"/>
    <col min="71" max="71" width="9" style="1571" customWidth="1"/>
    <col min="72" max="72" width="9.109375" style="1571" bestFit="1" customWidth="1"/>
    <col min="73" max="16384" width="8.88671875" style="1571"/>
  </cols>
  <sheetData>
    <row r="1" spans="1:72" ht="21">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3.2">
      <c r="A3" s="10"/>
      <c r="B3" s="11">
        <f>IF(C3="否",G5-AT5,G5)</f>
        <v>87.01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3.2">
      <c r="A5" s="12" t="s">
        <v>1071</v>
      </c>
      <c r="B5" s="1345"/>
      <c r="C5" s="1345"/>
      <c r="D5" s="1347"/>
      <c r="E5" s="13" t="s">
        <v>0</v>
      </c>
      <c r="F5" s="13">
        <f>SUM(F13:F587)</f>
        <v>0</v>
      </c>
      <c r="G5" s="13">
        <f>SUM(G13:G587)</f>
        <v>87.01</v>
      </c>
      <c r="H5" s="13">
        <f t="shared" ref="H5:AT5" si="0">SUM(H13:H656)</f>
        <v>87.01</v>
      </c>
      <c r="I5" s="13">
        <f t="shared" si="0"/>
        <v>87.01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87.01</v>
      </c>
      <c r="BA5" s="15">
        <f t="shared" si="1"/>
        <v>87.01</v>
      </c>
      <c r="BB5" s="15">
        <f t="shared" si="1"/>
        <v>87.01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3.2">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5.2">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9"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3.2">
      <c r="A9" s="1592"/>
      <c r="B9" s="1592"/>
      <c r="C9" s="1592"/>
      <c r="D9" s="1592"/>
      <c r="E9" s="1592"/>
      <c r="F9" s="1592"/>
      <c r="G9" s="1069"/>
      <c r="H9" s="1600" t="s">
        <v>1091</v>
      </c>
      <c r="I9" s="1601" t="s">
        <v>3384</v>
      </c>
      <c r="J9" s="809"/>
      <c r="K9" s="1601"/>
      <c r="L9" s="809"/>
      <c r="M9" s="1601"/>
      <c r="N9" s="809"/>
      <c r="O9" s="1601"/>
      <c r="P9" s="809"/>
      <c r="Q9" s="1601"/>
      <c r="R9" s="809"/>
      <c r="S9" s="1601"/>
      <c r="T9" s="809"/>
      <c r="U9" s="1601"/>
      <c r="V9" s="809"/>
      <c r="W9" s="1601"/>
      <c r="X9" s="1602"/>
      <c r="Y9" s="1601"/>
      <c r="Z9" s="809"/>
      <c r="AA9" s="1601"/>
      <c r="AB9" s="809"/>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3.2">
      <c r="A10" s="1592"/>
      <c r="B10" s="1592"/>
      <c r="C10" s="1592"/>
      <c r="D10" s="1592"/>
      <c r="E10" s="1592"/>
      <c r="F10" s="1592"/>
      <c r="G10" s="1069"/>
      <c r="H10" s="25"/>
      <c r="I10" s="1601" t="s">
        <v>673</v>
      </c>
      <c r="J10" s="809"/>
      <c r="K10" s="1607"/>
      <c r="L10" s="809"/>
      <c r="M10" s="1607"/>
      <c r="N10" s="809"/>
      <c r="O10" s="1607"/>
      <c r="P10" s="809"/>
      <c r="Q10" s="1607"/>
      <c r="R10" s="809"/>
      <c r="S10" s="1607"/>
      <c r="T10" s="809"/>
      <c r="U10" s="1607"/>
      <c r="V10" s="809"/>
      <c r="W10" s="1607"/>
      <c r="X10" s="809"/>
      <c r="Y10" s="1607"/>
      <c r="Z10" s="809"/>
      <c r="AA10" s="1607"/>
      <c r="AB10" s="809"/>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3.2">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3.2">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3.2">
      <c r="A13" s="1050"/>
      <c r="B13" s="1050"/>
      <c r="C13" s="2436" t="s">
        <v>3385</v>
      </c>
      <c r="D13" s="1623" t="s">
        <v>3383</v>
      </c>
      <c r="E13" s="13">
        <f>IF($C$3="是",ROUND($A$3*G13/$B$3,2),ROUND($A$3*(G13-AT13)/$B$3,2))</f>
        <v>0</v>
      </c>
      <c r="F13" s="29"/>
      <c r="G13" s="30">
        <f>H13+AC13+AT13</f>
        <v>87.01</v>
      </c>
      <c r="H13" s="17">
        <f>SUMIF(I$12:AB$12,"总值",I13:AB13)</f>
        <v>87.01</v>
      </c>
      <c r="I13" s="1624">
        <f>典型户型修正!B24</f>
        <v>87.01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2-2-9</v>
      </c>
      <c r="AY13" s="1347">
        <f>ROUND($AY$6*AZ13/$AZ$5,2)</f>
        <v>0</v>
      </c>
      <c r="AZ13" s="13">
        <f>BA13+BL13</f>
        <v>87.01</v>
      </c>
      <c r="BA13" s="13">
        <f>SUM(BB13:BK13)</f>
        <v>87.01</v>
      </c>
      <c r="BB13" s="13">
        <f>IF($D13="是",I13-J13,0)</f>
        <v>87.01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3.2">
      <c r="A14" s="1050"/>
      <c r="B14" s="1050"/>
      <c r="C14" s="3447"/>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3.2">
      <c r="A15" s="1050"/>
      <c r="B15" s="1050"/>
      <c r="C15" s="3447"/>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3.2">
      <c r="A16" s="1050"/>
      <c r="B16" s="1050"/>
      <c r="C16" s="3447"/>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3.2">
      <c r="A17" s="1050"/>
      <c r="B17" s="1050"/>
      <c r="C17" s="3447"/>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8"/>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8"/>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8"/>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8"/>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8"/>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8"/>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8"/>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8"/>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8"/>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8"/>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8"/>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8"/>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8"/>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8"/>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8"/>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8"/>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8"/>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8"/>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8"/>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8"/>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6" customWidth="1"/>
    <col min="2" max="2" width="10.21875" style="1636" customWidth="1"/>
    <col min="3" max="3" width="18.44140625" style="1636" customWidth="1"/>
    <col min="4" max="4" width="11.6640625" style="1636" customWidth="1"/>
    <col min="5" max="5" width="13.33203125" style="1636" customWidth="1"/>
    <col min="6" max="8" width="11.44140625" style="1636" customWidth="1"/>
    <col min="9" max="9" width="11.109375" style="1636" customWidth="1"/>
    <col min="10" max="10" width="3.109375" style="2647" customWidth="1"/>
    <col min="11" max="16" width="10" style="1636" customWidth="1"/>
    <col min="17" max="17" width="2.6640625" style="1636" customWidth="1"/>
    <col min="18" max="18" width="9.33203125" style="1636" bestFit="1" customWidth="1"/>
    <col min="19" max="19" width="10.44140625" style="1636" bestFit="1" customWidth="1"/>
    <col min="20" max="16384" width="9.21875" style="1636"/>
  </cols>
  <sheetData>
    <row r="1" spans="1:16" ht="18" thickBot="1">
      <c r="A1" s="1635" t="s">
        <v>1130</v>
      </c>
      <c r="B1" s="1138"/>
      <c r="C1" s="1138"/>
      <c r="D1" s="1138"/>
      <c r="E1" s="1138"/>
      <c r="F1" s="1138"/>
      <c r="G1" s="1138"/>
      <c r="H1" s="1138"/>
      <c r="I1" s="1138"/>
      <c r="J1" s="1138"/>
      <c r="K1" s="1138"/>
      <c r="L1" s="1138"/>
      <c r="M1" s="1138"/>
      <c r="N1" s="1138"/>
      <c r="O1" s="1138"/>
      <c r="P1" s="1138"/>
    </row>
    <row r="2" spans="1:16" ht="14.4">
      <c r="A2" s="3545" t="s">
        <v>1131</v>
      </c>
      <c r="B2" s="3545"/>
      <c r="C2" s="3545"/>
      <c r="D2" s="796" t="s">
        <v>1107</v>
      </c>
      <c r="E2" s="1637" t="s">
        <v>1108</v>
      </c>
      <c r="F2" s="2657"/>
      <c r="G2" s="2648"/>
      <c r="H2" s="2649"/>
      <c r="I2" s="2323" t="s">
        <v>1132</v>
      </c>
      <c r="J2" s="2657"/>
      <c r="K2" s="2657"/>
      <c r="L2" s="2657"/>
      <c r="M2" s="2657"/>
      <c r="N2" s="2659"/>
      <c r="O2" s="2657"/>
      <c r="P2" s="2657"/>
    </row>
    <row r="3" spans="1:16" ht="15" thickBot="1">
      <c r="A3" s="3546" t="s">
        <v>1105</v>
      </c>
      <c r="B3" s="3546"/>
      <c r="C3" s="3546"/>
      <c r="D3" s="43">
        <f>'数据-基础表'!AY6</f>
        <v>0</v>
      </c>
      <c r="E3" s="43">
        <f>'数据-基础表'!AZ5</f>
        <v>87.01</v>
      </c>
      <c r="F3" s="2657"/>
      <c r="G3" s="1144"/>
      <c r="H3" s="1025" t="s">
        <v>1106</v>
      </c>
      <c r="I3" s="855" t="e">
        <f>ROUND('数据-基础表'!B3/'数据-基础表'!A3,2)</f>
        <v>#DIV/0!</v>
      </c>
      <c r="J3" s="2657"/>
      <c r="K3" s="2657"/>
      <c r="L3" s="2657"/>
      <c r="M3" s="2657"/>
      <c r="N3" s="2659"/>
      <c r="O3" s="2657"/>
      <c r="P3" s="2657"/>
    </row>
    <row r="4" spans="1:16" ht="14.4">
      <c r="A4" s="3547"/>
      <c r="B4" s="3548"/>
      <c r="C4" s="3549"/>
      <c r="D4" s="1639" t="s">
        <v>1107</v>
      </c>
      <c r="E4" s="1640" t="s">
        <v>1108</v>
      </c>
      <c r="F4" s="2657"/>
      <c r="G4" s="2650" t="s">
        <v>1133</v>
      </c>
      <c r="H4" s="1025" t="s">
        <v>1113</v>
      </c>
      <c r="I4" s="855" t="e">
        <f>ROUND(SUMIF('数据-基础表'!I9:AS9,"地上",'数据-基础表'!I5:AS5)/'数据-基础表'!A3,2)</f>
        <v>#DIV/0!</v>
      </c>
      <c r="J4" s="2657"/>
      <c r="K4" s="2657"/>
      <c r="L4" s="2657"/>
      <c r="M4" s="2657"/>
      <c r="N4" s="2659"/>
      <c r="O4" s="2657"/>
      <c r="P4" s="2657"/>
    </row>
    <row r="5" spans="1:16" ht="14.4">
      <c r="A5" s="44" t="s">
        <v>1109</v>
      </c>
      <c r="B5" s="3550" t="s">
        <v>1110</v>
      </c>
      <c r="C5" s="3550"/>
      <c r="D5" s="45">
        <f>ROUND($D$3*E5/$E$3,2)</f>
        <v>0</v>
      </c>
      <c r="E5" s="46">
        <f>SUMIF('数据-基础表'!$11:$11,"住宅",'数据-基础表'!$5:$5)</f>
        <v>0</v>
      </c>
      <c r="F5" s="2657"/>
      <c r="G5" s="1144"/>
      <c r="H5" s="1025" t="s">
        <v>1106</v>
      </c>
      <c r="I5" s="855" t="e">
        <f>ROUND(E31/D31,2)</f>
        <v>#DIV/0!</v>
      </c>
      <c r="J5" s="2657"/>
      <c r="K5" s="2657"/>
      <c r="L5" s="2657"/>
      <c r="M5" s="2657"/>
      <c r="N5" s="2657"/>
      <c r="O5" s="2657"/>
      <c r="P5" s="2657"/>
    </row>
    <row r="6" spans="1:16" ht="15" thickBot="1">
      <c r="A6" s="1642"/>
      <c r="B6" s="3550" t="s">
        <v>1111</v>
      </c>
      <c r="C6" s="3550"/>
      <c r="D6" s="45">
        <f>ROUND($D$3*E6/$E$3,2)</f>
        <v>0</v>
      </c>
      <c r="E6" s="46">
        <f>E3-E5</f>
        <v>87.01</v>
      </c>
      <c r="F6" s="2657"/>
      <c r="G6" s="2651" t="s">
        <v>1112</v>
      </c>
      <c r="H6" s="1145" t="s">
        <v>1113</v>
      </c>
      <c r="I6" s="2652" t="e">
        <f>ROUND(F31/D31,2)</f>
        <v>#DIV/0!</v>
      </c>
      <c r="J6" s="2657"/>
      <c r="K6" s="2657"/>
      <c r="L6" s="2657"/>
      <c r="M6" s="2657"/>
      <c r="N6" s="2657"/>
      <c r="O6" s="2657"/>
      <c r="P6" s="2657"/>
    </row>
    <row r="7" spans="1:16" ht="15" thickBot="1">
      <c r="A7" s="3542"/>
      <c r="B7" s="3543"/>
      <c r="C7" s="3544"/>
      <c r="D7" s="1639" t="s">
        <v>1107</v>
      </c>
      <c r="E7" s="1643" t="s">
        <v>1114</v>
      </c>
      <c r="F7" s="2657"/>
      <c r="G7" s="2653" t="s">
        <v>1115</v>
      </c>
      <c r="H7" s="2654"/>
      <c r="I7" s="2655"/>
      <c r="J7" s="2657"/>
      <c r="K7" s="2657"/>
      <c r="L7" s="2657"/>
      <c r="M7" s="2657"/>
      <c r="N7" s="2657"/>
      <c r="O7" s="2657"/>
      <c r="P7" s="2657"/>
    </row>
    <row r="8" spans="1:16" ht="14.4">
      <c r="A8" s="44" t="s">
        <v>1116</v>
      </c>
      <c r="B8" s="47" t="s">
        <v>1117</v>
      </c>
      <c r="C8" s="45" t="s">
        <v>1118</v>
      </c>
      <c r="D8" s="45">
        <f t="shared" ref="D8:D15" si="0">ROUND($D$3*E8/$E$3,2)</f>
        <v>0</v>
      </c>
      <c r="E8" s="48">
        <f>SUMIF('数据-基础表'!BB10:BK10,"地上",'数据-基础表'!BB5:BK5)</f>
        <v>87.01</v>
      </c>
      <c r="F8" s="2657"/>
      <c r="G8" s="2658"/>
      <c r="H8" s="2658"/>
      <c r="I8" s="2657"/>
      <c r="J8" s="2657"/>
      <c r="K8" s="2657"/>
      <c r="L8" s="2657"/>
      <c r="M8" s="2657"/>
      <c r="N8" s="2657"/>
      <c r="O8" s="2657"/>
      <c r="P8" s="2657"/>
    </row>
    <row r="9" spans="1:16" ht="14.4">
      <c r="A9" s="1644"/>
      <c r="B9" s="1645"/>
      <c r="C9" s="45" t="s">
        <v>1119</v>
      </c>
      <c r="D9" s="45">
        <f t="shared" si="0"/>
        <v>0</v>
      </c>
      <c r="E9" s="49">
        <v>0</v>
      </c>
      <c r="F9" s="2657"/>
      <c r="G9" s="2658"/>
      <c r="H9" s="2658"/>
      <c r="I9" s="2657"/>
      <c r="J9" s="2657"/>
      <c r="K9" s="2657"/>
      <c r="L9" s="2657"/>
      <c r="M9" s="2657"/>
      <c r="N9" s="2657"/>
      <c r="O9" s="2657"/>
      <c r="P9" s="2657"/>
    </row>
    <row r="10" spans="1:16" ht="14.4">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2"/>
      <c r="B16" s="1645"/>
      <c r="C16" s="47" t="s">
        <v>1123</v>
      </c>
      <c r="D16" s="47">
        <f>SUM(D8:D15)</f>
        <v>0</v>
      </c>
      <c r="E16" s="50">
        <f>SUM(E8:E15)</f>
        <v>87.01</v>
      </c>
      <c r="F16" s="2657"/>
      <c r="G16" s="2658"/>
      <c r="H16" s="1646" t="s">
        <v>1135</v>
      </c>
      <c r="I16" s="1647"/>
      <c r="J16" s="1138"/>
      <c r="K16" s="3539" t="s">
        <v>1135</v>
      </c>
      <c r="L16" s="3540"/>
      <c r="M16" s="3540"/>
      <c r="N16" s="3540"/>
      <c r="O16" s="3540"/>
      <c r="P16" s="3541"/>
    </row>
    <row r="17" spans="1:19" ht="14.4">
      <c r="A17" s="1648" t="s">
        <v>1136</v>
      </c>
      <c r="B17" s="1649" t="s">
        <v>1137</v>
      </c>
      <c r="C17" s="1650" t="s">
        <v>1138</v>
      </c>
      <c r="D17" s="1651" t="s">
        <v>1126</v>
      </c>
      <c r="E17" s="1652" t="s">
        <v>1127</v>
      </c>
      <c r="F17" s="1653"/>
      <c r="G17" s="1654"/>
      <c r="H17" s="1655" t="s">
        <v>1139</v>
      </c>
      <c r="I17" s="1656" t="s">
        <v>1124</v>
      </c>
      <c r="J17" s="1138"/>
      <c r="K17" s="3536" t="s">
        <v>1140</v>
      </c>
      <c r="L17" s="3537"/>
      <c r="M17" s="3538"/>
      <c r="N17" s="3536" t="s">
        <v>1141</v>
      </c>
      <c r="O17" s="3537"/>
      <c r="P17" s="3538"/>
      <c r="R17" s="1638" t="s">
        <v>1142</v>
      </c>
      <c r="S17" s="56"/>
    </row>
    <row r="18" spans="1:19" ht="14.4">
      <c r="A18" s="1644"/>
      <c r="B18" s="1657"/>
      <c r="C18" s="1658"/>
      <c r="D18" s="1659"/>
      <c r="E18" s="1660" t="s">
        <v>1143</v>
      </c>
      <c r="F18" s="1661" t="s">
        <v>1144</v>
      </c>
      <c r="G18" s="1662" t="s">
        <v>1145</v>
      </c>
      <c r="H18" s="1040" t="s">
        <v>1146</v>
      </c>
      <c r="I18" s="1663" t="s">
        <v>1147</v>
      </c>
      <c r="J18" s="1138"/>
      <c r="K18" s="1040" t="s">
        <v>1148</v>
      </c>
      <c r="L18" s="1664" t="s">
        <v>1149</v>
      </c>
      <c r="M18" s="855" t="s">
        <v>1150</v>
      </c>
      <c r="N18" s="1040" t="s">
        <v>1148</v>
      </c>
      <c r="O18" s="1664" t="s">
        <v>1149</v>
      </c>
      <c r="P18" s="855" t="s">
        <v>1150</v>
      </c>
      <c r="R18" s="1025" t="s">
        <v>1151</v>
      </c>
      <c r="S18" s="1025" t="s">
        <v>1152</v>
      </c>
    </row>
    <row r="19" spans="1:19" ht="14.4">
      <c r="A19" s="1665"/>
      <c r="B19" s="47" t="s">
        <v>1125</v>
      </c>
      <c r="C19" s="3415" t="s">
        <v>3386</v>
      </c>
      <c r="D19" s="45">
        <f>ROUND($D$3*E19/$E$3,2)</f>
        <v>0</v>
      </c>
      <c r="E19" s="53">
        <f t="shared" ref="E19:E26" si="1">SUM(F19:G19)</f>
        <v>87.01</v>
      </c>
      <c r="F19" s="2793">
        <f>'数据-基础表'!I13</f>
        <v>87.01</v>
      </c>
      <c r="G19" s="2794"/>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87.01</v>
      </c>
    </row>
    <row r="20" spans="1:19" ht="14.4">
      <c r="A20" s="1668"/>
      <c r="B20" s="47" t="s">
        <v>1153</v>
      </c>
      <c r="C20" s="3415"/>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ht="14.4">
      <c r="A21" s="1668"/>
      <c r="B21" s="47" t="s">
        <v>1153</v>
      </c>
      <c r="C21" s="3415"/>
      <c r="D21" s="45">
        <f t="shared" si="6"/>
        <v>0</v>
      </c>
      <c r="E21" s="53">
        <f t="shared" si="1"/>
        <v>0</v>
      </c>
      <c r="F21" s="2793"/>
      <c r="G21" s="2794"/>
      <c r="H21" s="670">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ht="14.4">
      <c r="A22" s="1668"/>
      <c r="B22" s="47" t="s">
        <v>1153</v>
      </c>
      <c r="C22" s="3416"/>
      <c r="D22" s="45">
        <f t="shared" si="6"/>
        <v>0</v>
      </c>
      <c r="E22" s="53">
        <f t="shared" si="1"/>
        <v>0</v>
      </c>
      <c r="F22" s="2795"/>
      <c r="G22" s="2796"/>
      <c r="H22" s="670">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ht="14.4">
      <c r="A23" s="1668"/>
      <c r="B23" s="47" t="s">
        <v>1153</v>
      </c>
      <c r="C23" s="3416"/>
      <c r="D23" s="45">
        <f>ROUND($D$3*E23/$E$3,2)</f>
        <v>0</v>
      </c>
      <c r="E23" s="53">
        <f>SUM(F23:G23)</f>
        <v>0</v>
      </c>
      <c r="F23" s="2795"/>
      <c r="G23" s="2796"/>
      <c r="H23" s="670">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ht="14.4">
      <c r="A24" s="1668"/>
      <c r="B24" s="47" t="s">
        <v>1153</v>
      </c>
      <c r="C24" s="3416"/>
      <c r="D24" s="45">
        <f>ROUND($D$3*E24/$E$3,2)</f>
        <v>0</v>
      </c>
      <c r="E24" s="53">
        <f>SUM(F24:G24)</f>
        <v>0</v>
      </c>
      <c r="F24" s="2795"/>
      <c r="G24" s="2796"/>
      <c r="H24" s="670">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ht="14.4">
      <c r="A25" s="1668"/>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ht="14.4">
      <c r="A26" s="1668"/>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 thickBot="1">
      <c r="A27" s="1668"/>
      <c r="B27" s="45"/>
      <c r="C27" s="1671" t="s">
        <v>1154</v>
      </c>
      <c r="D27" s="1139">
        <f>SUM(D19:D26)</f>
        <v>0</v>
      </c>
      <c r="E27" s="1140">
        <f>IF(SUM(E19:E26)='数据-基础表'!BA5,SUM(E19:E26),IF(F27="地上面积有误","面积有误","地下面积有误"))</f>
        <v>87.01</v>
      </c>
      <c r="F27" s="1139">
        <f>IF(SUM(F19:F26)=E8,SUM(F19:F26),"地上面积有误")</f>
        <v>87.01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87.01</v>
      </c>
    </row>
    <row r="28" spans="1:19" ht="14.4">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68"/>
      <c r="B30" s="47"/>
      <c r="C30" s="1673" t="s">
        <v>1154</v>
      </c>
      <c r="D30" s="1139">
        <f>SUM(D28:D29)</f>
        <v>0</v>
      </c>
      <c r="E30" s="1139">
        <f>SUM(E28:E29)</f>
        <v>0</v>
      </c>
      <c r="F30" s="1139">
        <f>SUM(F28:F29)</f>
        <v>0</v>
      </c>
      <c r="G30" s="1141">
        <f>SUM(G28:G29)</f>
        <v>0</v>
      </c>
      <c r="H30" s="2657"/>
      <c r="I30" s="2657"/>
      <c r="J30" s="2657"/>
      <c r="K30" s="2657"/>
      <c r="L30" s="2657"/>
      <c r="M30" s="2657"/>
      <c r="N30" s="2657"/>
      <c r="O30" s="2657"/>
      <c r="P30" s="2657"/>
    </row>
    <row r="31" spans="1:19" ht="15" thickBot="1">
      <c r="A31" s="1674"/>
      <c r="B31" s="1675"/>
      <c r="C31" s="835" t="s">
        <v>1158</v>
      </c>
      <c r="D31" s="676">
        <f>D27+D30</f>
        <v>0</v>
      </c>
      <c r="E31" s="676">
        <f>E27+E30</f>
        <v>87.01</v>
      </c>
      <c r="F31" s="677">
        <f>F27+F30</f>
        <v>87.01</v>
      </c>
      <c r="G31" s="678">
        <f>G27+G30</f>
        <v>0</v>
      </c>
      <c r="H31" s="2657"/>
      <c r="I31" s="2657"/>
      <c r="J31" s="2657"/>
      <c r="K31" s="2657"/>
      <c r="L31" s="2657"/>
      <c r="M31" s="2657"/>
      <c r="N31" s="2657"/>
      <c r="O31" s="2657"/>
      <c r="P31" s="2657"/>
    </row>
    <row r="32" spans="1:19" ht="14.4">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743" customWidth="1"/>
    <col min="2" max="2" width="12" style="1680" customWidth="1"/>
    <col min="3" max="3" width="12.77734375" style="1680" customWidth="1"/>
    <col min="4" max="4" width="9.109375" style="1744" customWidth="1"/>
    <col min="5" max="5" width="15" style="1680" bestFit="1" customWidth="1"/>
    <col min="6" max="10" width="8.88671875" style="1680" customWidth="1"/>
    <col min="11" max="12" width="12.33203125" style="1599" customWidth="1"/>
    <col min="13" max="13" width="8.6640625" style="1680" customWidth="1"/>
    <col min="14" max="14" width="11.88671875" style="1680" customWidth="1"/>
    <col min="15" max="15" width="8.44140625" style="1680" customWidth="1"/>
    <col min="16" max="17" width="10.88671875" style="1680" customWidth="1"/>
    <col min="18" max="19" width="12.44140625" style="1680" customWidth="1"/>
    <col min="20" max="20" width="12.109375" style="1680" customWidth="1"/>
    <col min="21" max="21" width="7.44140625" style="1680" customWidth="1"/>
    <col min="22" max="22" width="6.33203125" style="1680" customWidth="1"/>
    <col min="23" max="30" width="6.77734375" style="1680" customWidth="1"/>
    <col min="31" max="31" width="8" style="1680" customWidth="1"/>
    <col min="32" max="34" width="7.21875" style="1680" customWidth="1"/>
    <col min="35" max="39" width="8" style="1680" customWidth="1"/>
    <col min="40" max="40" width="13.77734375" style="1679"/>
    <col min="41" max="41" width="11.6640625" style="1679" customWidth="1"/>
    <col min="42" max="42" width="9.77734375" style="1679" customWidth="1"/>
    <col min="43" max="67" width="13.77734375" style="1679"/>
    <col min="68" max="16384" width="13.77734375" style="1680"/>
  </cols>
  <sheetData>
    <row r="1" spans="1:67" ht="18" thickBot="1">
      <c r="A1" s="1677" t="s">
        <v>1160</v>
      </c>
      <c r="B1" s="679"/>
      <c r="C1" s="1190"/>
      <c r="D1" s="1678"/>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7" customFormat="1" ht="15" thickBot="1">
      <c r="A2" s="1681" t="s">
        <v>1161</v>
      </c>
      <c r="B2" s="1044">
        <f>项目基本情况!D3</f>
        <v>45322</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4.4"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57.6">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3387</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3.8">
      <c r="A6" s="1710" t="str">
        <f>'数据-汇总表'!C19</f>
        <v>商业</v>
      </c>
      <c r="B6" s="1711" t="str">
        <f>IF(A6=0,"","经营性")</f>
        <v>经营性</v>
      </c>
      <c r="C6" s="1712" t="s">
        <v>673</v>
      </c>
      <c r="D6" s="858">
        <f>SUMIF(项目基本情况!C$12:I$12,C6,项目基本情况!C$14:I$14)</f>
        <v>40</v>
      </c>
      <c r="E6" s="857">
        <f>IF(B6="","",SUMIF(项目基本情况!C$12:I$12,C6,项目基本情况!C$13:I$13))</f>
        <v>56557</v>
      </c>
      <c r="F6" s="64">
        <f>SUMIF(项目基本情况!C$12:I$12,C6,项目基本情况!C$15:I$15)</f>
        <v>30.78</v>
      </c>
      <c r="G6" s="65">
        <f>IF(ISERROR(ROUND(POWER(1+H6,D6-F6)*(POWER(1+H6,F6)-1)/(POWER(1+H6,D6)-1),3)),0,ROUND(POWER(1+H6,D6-F6)*(POWER(1+H6,F6)-1)/(POWER(1+H6,D6)-1),3))</f>
        <v>0.90600000000000003</v>
      </c>
      <c r="H6" s="732">
        <v>0.05</v>
      </c>
      <c r="I6" s="732">
        <v>5.5E-2</v>
      </c>
      <c r="J6" s="66">
        <v>7.0000000000000007E-2</v>
      </c>
      <c r="K6" s="1029">
        <f>SUMIF('数据-汇总表'!C$19:C$33,A6,'数据-汇总表'!E$19:E$33)</f>
        <v>87.01</v>
      </c>
      <c r="L6" s="733">
        <v>4500</v>
      </c>
      <c r="M6" s="67">
        <f t="shared" ref="M6:M14" si="0">ROUND(K6*L6/10000,0)</f>
        <v>39</v>
      </c>
      <c r="N6" s="731">
        <f>ROUND(1-(2024-2019)/60,2)</f>
        <v>0.92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26">
        <v>5</v>
      </c>
      <c r="V6" s="70">
        <v>2.5000000000000001E-2</v>
      </c>
      <c r="W6" s="70">
        <v>0.1</v>
      </c>
      <c r="X6" s="1039"/>
      <c r="Y6" s="71">
        <f>N6</f>
        <v>0.92</v>
      </c>
      <c r="Z6" s="72"/>
      <c r="AA6" s="66"/>
      <c r="AB6" s="66"/>
      <c r="AC6" s="1039"/>
      <c r="AD6" s="73"/>
      <c r="AE6" s="1040">
        <f ca="1">IF(AN6="",0,SUMIF(INDIRECT("'"&amp;AN6&amp;"'"&amp;"!E:E"),$AE$5,INDIRECT("'"&amp;AN6&amp;"'"&amp;"!F:F")))</f>
        <v>30.78</v>
      </c>
      <c r="AF6" s="1346"/>
      <c r="AG6" s="138">
        <f>IF(AF6="",0,AE6-AF6)</f>
        <v>0</v>
      </c>
      <c r="AH6" s="74"/>
      <c r="AI6" s="76">
        <v>365</v>
      </c>
      <c r="AJ6" s="77"/>
      <c r="AK6" s="78">
        <v>5.0000000000000001E-3</v>
      </c>
      <c r="AL6" s="79">
        <v>1.5E-3</v>
      </c>
      <c r="AM6" s="80">
        <v>5.0000000000000001E-3</v>
      </c>
      <c r="AN6" s="1713" t="s">
        <v>3388</v>
      </c>
      <c r="AO6" s="52">
        <f ca="1">SUMIF(INDIRECT("'"&amp;AN6&amp;"'"&amp;"!A:A"),"总价",INDIRECT("'"&amp;AN6&amp;"'"&amp;"!B:B"))</f>
        <v>227.5557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3.8">
      <c r="A7" s="1710">
        <f>'数据-汇总表'!C20</f>
        <v>0</v>
      </c>
      <c r="B7" s="1711" t="str">
        <f t="shared" ref="B7:B13" si="1">IF(A7=0,"","经营性")</f>
        <v/>
      </c>
      <c r="C7" s="1712"/>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3.8">
      <c r="A8" s="1710">
        <f>'数据-汇总表'!C21</f>
        <v>0</v>
      </c>
      <c r="B8" s="1711" t="str">
        <f t="shared" si="1"/>
        <v/>
      </c>
      <c r="C8" s="1712"/>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7"/>
      <c r="V8" s="735"/>
      <c r="W8" s="735"/>
      <c r="X8" s="1039"/>
      <c r="Y8" s="71"/>
      <c r="Z8" s="72"/>
      <c r="AA8" s="66"/>
      <c r="AB8" s="66"/>
      <c r="AC8" s="1039"/>
      <c r="AD8" s="73"/>
      <c r="AE8" s="1040">
        <f t="shared" ca="1" si="6"/>
        <v>0</v>
      </c>
      <c r="AF8" s="1346"/>
      <c r="AG8" s="138">
        <f t="shared" si="7"/>
        <v>0</v>
      </c>
      <c r="AH8" s="736"/>
      <c r="AI8" s="76"/>
      <c r="AJ8" s="77"/>
      <c r="AK8" s="737"/>
      <c r="AL8" s="738"/>
      <c r="AM8" s="739"/>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3.8">
      <c r="A9" s="1710">
        <f>'数据-汇总表'!C22</f>
        <v>0</v>
      </c>
      <c r="B9" s="1711" t="str">
        <f t="shared" si="1"/>
        <v/>
      </c>
      <c r="C9" s="1712"/>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3.8">
      <c r="A10" s="1710">
        <f>'数据-汇总表'!C23</f>
        <v>0</v>
      </c>
      <c r="B10" s="1711" t="str">
        <f t="shared" si="1"/>
        <v/>
      </c>
      <c r="C10" s="1712"/>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3.8">
      <c r="A11" s="1710">
        <f>'数据-汇总表'!C24</f>
        <v>0</v>
      </c>
      <c r="B11" s="1711" t="str">
        <f t="shared" si="1"/>
        <v/>
      </c>
      <c r="C11" s="1712"/>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3.8">
      <c r="A12" s="1710">
        <f>'数据-汇总表'!C25</f>
        <v>0</v>
      </c>
      <c r="B12" s="1711" t="str">
        <f t="shared" si="1"/>
        <v/>
      </c>
      <c r="C12" s="1712"/>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3.8">
      <c r="A13" s="1710">
        <f>'数据-汇总表'!C26</f>
        <v>0</v>
      </c>
      <c r="B13" s="1711" t="str">
        <f t="shared" si="1"/>
        <v/>
      </c>
      <c r="C13" s="1712"/>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4">
      <c r="A14" s="1715" t="s">
        <v>1205</v>
      </c>
      <c r="B14" s="1711" t="s">
        <v>1206</v>
      </c>
      <c r="C14" s="1716"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8.8">
      <c r="A15" s="1715" t="s">
        <v>1207</v>
      </c>
      <c r="B15" s="1711" t="s">
        <v>1206</v>
      </c>
      <c r="C15" s="1716"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 thickBot="1">
      <c r="A16" s="1717" t="s">
        <v>1209</v>
      </c>
      <c r="B16" s="88"/>
      <c r="C16" s="833"/>
      <c r="D16" s="1718"/>
      <c r="E16" s="88"/>
      <c r="F16" s="88"/>
      <c r="G16" s="89">
        <f>ROUND(SUMPRODUCT(G6:G13,K6:K13)/SUMPRODUCT((G6:G13&gt;0)*(K6:K13)),3)</f>
        <v>0.90600000000000003</v>
      </c>
      <c r="H16" s="90">
        <f>ROUND(SUMPRODUCT(H6:H13,K6:K13)/SUMPRODUCT((H6:H13&gt;0)*(K6:K13)),3)</f>
        <v>0.05</v>
      </c>
      <c r="I16" s="91"/>
      <c r="J16" s="91"/>
      <c r="K16" s="92">
        <f>SUM(K6:K15)</f>
        <v>87.01</v>
      </c>
      <c r="L16" s="93">
        <f>ROUND(M16*10000/SUM(K6:K14),0)</f>
        <v>4482</v>
      </c>
      <c r="M16" s="93">
        <f>SUM(M6:M14)</f>
        <v>39</v>
      </c>
      <c r="N16" s="94">
        <f>ROUND(SUMPRODUCT(M6:M14,N6:N14)/M16,3)</f>
        <v>0.92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8"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0" t="s">
        <v>1211</v>
      </c>
      <c r="B19" s="103"/>
      <c r="C19" s="2797" t="s">
        <v>2300</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1" t="s">
        <v>1212</v>
      </c>
      <c r="B20" s="104">
        <v>2</v>
      </c>
      <c r="C20" s="2798" t="s">
        <v>2298</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8.8">
      <c r="A27" s="1725" t="s">
        <v>1220</v>
      </c>
      <c r="B27" s="107"/>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8.8">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9.4" thickBot="1">
      <c r="A29" s="1728" t="s">
        <v>1222</v>
      </c>
      <c r="B29" s="112">
        <f>ROUND(B28*K16,0)</f>
        <v>17402</v>
      </c>
      <c r="C29" s="2800" t="s">
        <v>2289</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8.8">
      <c r="A30" s="1729"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8.8">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9.4" thickBot="1">
      <c r="A32" s="1730"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4">
      <c r="A33" s="1725" t="s">
        <v>1226</v>
      </c>
      <c r="B33" s="673">
        <v>0.03</v>
      </c>
      <c r="C33" s="2801" t="s">
        <v>2290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4">
      <c r="A34" s="1727" t="s">
        <v>1227</v>
      </c>
      <c r="B34" s="113">
        <v>0</v>
      </c>
      <c r="C34" s="2801" t="s">
        <v>2291</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4">
      <c r="A35" s="1727" t="s">
        <v>1228</v>
      </c>
      <c r="B35" s="110">
        <v>200</v>
      </c>
      <c r="C35" s="2801" t="s">
        <v>2292</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1229</v>
      </c>
      <c r="B36" s="114">
        <v>1.4999999999999999E-2</v>
      </c>
      <c r="C36" s="2801" t="s">
        <v>2293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29" t="s">
        <v>1230</v>
      </c>
      <c r="B37" s="115">
        <v>0.02</v>
      </c>
      <c r="C37" s="2801" t="s">
        <v>2294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7" t="s">
        <v>1231</v>
      </c>
      <c r="B38" s="113">
        <v>0.02</v>
      </c>
      <c r="C38" s="2801" t="s">
        <v>2294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2309</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2" t="s">
        <v>1236</v>
      </c>
      <c r="B44" s="119">
        <v>7.0000000000000007E-2</v>
      </c>
      <c r="C44" s="2801" t="s">
        <v>2303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2" t="s">
        <v>1237</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2" t="s">
        <v>1238</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4" t="s">
        <v>1240</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7" t="s">
        <v>1245</v>
      </c>
      <c r="B53" s="1736"/>
      <c r="C53" s="2659" t="s">
        <v>1246</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4" customWidth="1"/>
    <col min="2" max="2" width="24.44140625" style="1570" customWidth="1"/>
    <col min="3" max="3" width="24.44140625" style="2508" customWidth="1"/>
    <col min="4" max="4" width="2.6640625" style="2508" customWidth="1"/>
    <col min="5" max="5" width="5.88671875" style="2508" customWidth="1"/>
    <col min="6" max="6" width="27" style="1570"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4"/>
  </cols>
  <sheetData>
    <row r="1" spans="1:29" s="2455" customFormat="1" ht="18" thickBot="1">
      <c r="A1" s="3551" t="s">
        <v>2281</v>
      </c>
      <c r="B1" s="3552"/>
      <c r="C1" s="3552"/>
      <c r="D1" s="3552"/>
      <c r="E1" s="3552"/>
      <c r="F1" s="3552"/>
      <c r="G1" s="355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2276</v>
      </c>
      <c r="D2" s="2459"/>
      <c r="E2" s="2456"/>
      <c r="F2" s="2460"/>
      <c r="G2" s="2458" t="s">
        <v>2277</v>
      </c>
      <c r="H2" s="799"/>
      <c r="I2" s="799"/>
      <c r="J2" s="799"/>
      <c r="K2" s="799"/>
      <c r="L2" s="799"/>
      <c r="M2" s="799"/>
      <c r="N2" s="799"/>
      <c r="O2" s="799"/>
      <c r="P2" s="799"/>
      <c r="Q2" s="799"/>
      <c r="R2" s="799"/>
    </row>
    <row r="3" spans="1:29" ht="48">
      <c r="A3" s="2439" t="s">
        <v>2278</v>
      </c>
      <c r="B3" s="2461" t="s">
        <v>2247</v>
      </c>
      <c r="C3" s="2462" t="s">
        <v>2279</v>
      </c>
      <c r="D3" s="2463"/>
      <c r="E3" s="2440" t="s">
        <v>2278</v>
      </c>
      <c r="F3" s="2464" t="s">
        <v>2248</v>
      </c>
      <c r="G3" s="2465" t="s">
        <v>2280</v>
      </c>
      <c r="H3" s="799"/>
      <c r="I3" s="799"/>
      <c r="J3" s="799"/>
      <c r="K3" s="799"/>
      <c r="L3" s="799"/>
      <c r="M3" s="799"/>
      <c r="N3" s="799"/>
      <c r="O3" s="799"/>
      <c r="P3" s="799"/>
      <c r="Q3" s="799"/>
      <c r="R3" s="799"/>
    </row>
    <row r="4" spans="1:29" ht="37.200000000000003">
      <c r="A4" s="2440"/>
      <c r="B4" s="323" t="s">
        <v>2249</v>
      </c>
      <c r="C4" s="2466" t="s">
        <v>2250</v>
      </c>
      <c r="D4" s="2463"/>
      <c r="E4" s="2467"/>
      <c r="F4" s="1371" t="s">
        <v>2251</v>
      </c>
      <c r="G4" s="2468" t="s">
        <v>2252</v>
      </c>
      <c r="H4" s="799"/>
      <c r="I4" s="799"/>
      <c r="J4" s="799"/>
      <c r="K4" s="799"/>
      <c r="L4" s="799"/>
      <c r="M4" s="799"/>
      <c r="N4" s="799"/>
      <c r="O4" s="799"/>
      <c r="P4" s="799"/>
      <c r="Q4" s="799"/>
      <c r="R4" s="799"/>
    </row>
    <row r="5" spans="1:29" ht="37.200000000000003">
      <c r="A5" s="2440"/>
      <c r="B5" s="323" t="s">
        <v>2253</v>
      </c>
      <c r="C5" s="2466" t="s">
        <v>2254</v>
      </c>
      <c r="D5" s="2463"/>
      <c r="E5" s="2467"/>
      <c r="F5" s="323" t="s">
        <v>2255</v>
      </c>
      <c r="G5" s="2468" t="s">
        <v>2256</v>
      </c>
      <c r="H5" s="799"/>
      <c r="I5" s="799"/>
      <c r="J5" s="799"/>
      <c r="K5" s="799"/>
      <c r="L5" s="799"/>
      <c r="M5" s="799"/>
      <c r="N5" s="799"/>
      <c r="O5" s="799"/>
      <c r="P5" s="799"/>
      <c r="Q5" s="799"/>
      <c r="R5" s="799"/>
    </row>
    <row r="6" spans="1:29" ht="48">
      <c r="A6" s="2440"/>
      <c r="B6" s="323" t="s">
        <v>2257</v>
      </c>
      <c r="C6" s="2468" t="s">
        <v>2252</v>
      </c>
      <c r="D6" s="2463"/>
      <c r="E6" s="2467"/>
      <c r="F6" s="323" t="s">
        <v>2258</v>
      </c>
      <c r="G6" s="2468" t="s">
        <v>2259</v>
      </c>
      <c r="H6" s="799"/>
      <c r="I6" s="799"/>
      <c r="J6" s="799"/>
      <c r="K6" s="799"/>
      <c r="L6" s="799"/>
      <c r="M6" s="799"/>
      <c r="N6" s="799"/>
      <c r="O6" s="799"/>
      <c r="P6" s="799"/>
      <c r="Q6" s="799"/>
      <c r="R6" s="799"/>
    </row>
    <row r="7" spans="1:29" ht="36.6" thickBot="1">
      <c r="A7" s="2440"/>
      <c r="B7" s="323" t="s">
        <v>2255</v>
      </c>
      <c r="C7" s="2468" t="s">
        <v>2256</v>
      </c>
      <c r="D7" s="2469"/>
      <c r="E7" s="2470"/>
      <c r="F7" s="2471" t="s">
        <v>2260</v>
      </c>
      <c r="G7" s="2472" t="s">
        <v>2261</v>
      </c>
      <c r="H7" s="799"/>
      <c r="I7" s="799"/>
      <c r="J7" s="799"/>
      <c r="K7" s="799"/>
      <c r="L7" s="799"/>
      <c r="M7" s="799"/>
      <c r="N7" s="799"/>
      <c r="O7" s="799"/>
      <c r="P7" s="799"/>
      <c r="Q7" s="799"/>
      <c r="R7" s="799"/>
    </row>
    <row r="8" spans="1:29" ht="24">
      <c r="A8" s="2440"/>
      <c r="B8" s="323" t="s">
        <v>2258</v>
      </c>
      <c r="C8" s="2468" t="s">
        <v>2259</v>
      </c>
      <c r="D8" s="2469"/>
      <c r="E8" s="2469"/>
      <c r="F8" s="2473"/>
      <c r="G8" s="2473"/>
      <c r="H8" s="799"/>
      <c r="I8" s="799"/>
      <c r="J8" s="799"/>
      <c r="K8" s="799"/>
      <c r="L8" s="799"/>
      <c r="M8" s="799"/>
      <c r="N8" s="799"/>
      <c r="O8" s="799"/>
      <c r="P8" s="799"/>
      <c r="Q8" s="799"/>
      <c r="R8" s="799"/>
    </row>
    <row r="9" spans="1:29" ht="24">
      <c r="A9" s="2440"/>
      <c r="B9" s="323" t="s">
        <v>2262</v>
      </c>
      <c r="C9" s="2466" t="s">
        <v>2263</v>
      </c>
      <c r="D9" s="2463"/>
      <c r="E9" s="2469"/>
      <c r="F9" s="2473"/>
      <c r="G9" s="2473"/>
      <c r="H9" s="799"/>
      <c r="I9" s="799"/>
      <c r="J9" s="799"/>
      <c r="K9" s="799"/>
      <c r="L9" s="799"/>
      <c r="M9" s="799"/>
      <c r="N9" s="799"/>
      <c r="O9" s="799"/>
      <c r="P9" s="799"/>
      <c r="Q9" s="799"/>
      <c r="R9" s="799"/>
    </row>
    <row r="10" spans="1:29" s="2479" customFormat="1" ht="14.4" thickBot="1">
      <c r="A10" s="2441"/>
      <c r="B10" s="2474" t="s">
        <v>2264</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2282</v>
      </c>
      <c r="B13" s="2482"/>
      <c r="C13" s="2482"/>
      <c r="D13" s="2480"/>
      <c r="E13" s="2482"/>
      <c r="F13" s="2482"/>
      <c r="G13" s="2482"/>
    </row>
    <row r="14" spans="1:29" ht="14.4" thickBot="1">
      <c r="A14" s="2492"/>
      <c r="B14" s="2492"/>
      <c r="C14" s="2493" t="s">
        <v>2265</v>
      </c>
      <c r="D14" s="2463"/>
      <c r="E14" s="2494"/>
      <c r="F14" s="2494"/>
      <c r="G14" s="2458" t="s">
        <v>2266</v>
      </c>
    </row>
    <row r="15" spans="1:29" ht="52.8">
      <c r="A15" s="2442" t="s">
        <v>2267</v>
      </c>
      <c r="B15" s="2495" t="s">
        <v>2247</v>
      </c>
      <c r="C15" s="2496" t="str">
        <f>C3</f>
        <v>估价对象周边居住用地比例、居住小区规模和社区发展完善程度，综合评价居住社区成熟度一般</v>
      </c>
      <c r="D15" s="2463"/>
      <c r="E15" s="2443" t="s">
        <v>2268</v>
      </c>
      <c r="F15" s="2495" t="s">
        <v>2269</v>
      </c>
      <c r="G15" s="2497" t="str">
        <f>G3</f>
        <v>估价对象位于XX开发区，园区建设成熟度XX，产业集聚程度XX</v>
      </c>
    </row>
    <row r="16" spans="1:29" ht="39.6">
      <c r="A16" s="2444"/>
      <c r="B16" s="2498" t="s">
        <v>2249</v>
      </c>
      <c r="C16" s="2499" t="str">
        <f>C4</f>
        <v>估价对象位于XX商圈，周边商业氛围成熟，人流量大，商业繁华度好</v>
      </c>
      <c r="D16" s="2463"/>
      <c r="E16" s="2445"/>
      <c r="F16" s="2500" t="s">
        <v>2251</v>
      </c>
      <c r="G16" s="2501" t="str">
        <f>G4</f>
        <v>估价对象周边道路状况、公共交通通达情况、停车便捷程度，综合评价交通便捷度较好</v>
      </c>
    </row>
    <row r="17" spans="1:18" ht="39.6">
      <c r="A17" s="2444"/>
      <c r="B17" s="2498" t="s">
        <v>2253</v>
      </c>
      <c r="C17" s="2499" t="str">
        <f>C5</f>
        <v>估价对象位于XX商圈，周边办公楼项目较多，入驻率高，办公集聚程度较好</v>
      </c>
      <c r="D17" s="2469"/>
      <c r="E17" s="2445"/>
      <c r="F17" s="2500" t="s">
        <v>2270</v>
      </c>
      <c r="G17" s="2502"/>
    </row>
    <row r="18" spans="1:18" ht="52.8">
      <c r="A18" s="2444"/>
      <c r="B18" s="2500" t="s">
        <v>2257</v>
      </c>
      <c r="C18" s="2501" t="str">
        <f>C6</f>
        <v>估价对象周边道路状况、公共交通通达情况、停车便捷程度，综合评价交通便捷度较好</v>
      </c>
      <c r="D18" s="2469"/>
      <c r="E18" s="2445"/>
      <c r="F18" s="2500" t="s">
        <v>2260</v>
      </c>
      <c r="G18" s="2501" t="str">
        <f>G7</f>
        <v>该园区内是否有污染型企业，绿化情况，卫生条件，整体环境状况判断</v>
      </c>
    </row>
    <row r="19" spans="1:18" ht="26.4">
      <c r="A19" s="2444"/>
      <c r="B19" s="2500" t="s">
        <v>2271</v>
      </c>
      <c r="C19" s="2502"/>
      <c r="D19" s="2463"/>
      <c r="E19" s="2445"/>
      <c r="F19" s="323" t="s">
        <v>2255</v>
      </c>
      <c r="G19" s="2501" t="str">
        <f>G5</f>
        <v>估价对象所在区域公共配套设施齐备情况</v>
      </c>
    </row>
    <row r="20" spans="1:18" ht="26.4">
      <c r="A20" s="2444"/>
      <c r="B20" s="2500" t="s">
        <v>2272</v>
      </c>
      <c r="C20" s="2499" t="str">
        <f>C9</f>
        <v>区域自然环境：；人文环境；综合评价环境状况一般</v>
      </c>
      <c r="D20" s="2469"/>
      <c r="E20" s="2445"/>
      <c r="F20" s="323" t="s">
        <v>2258</v>
      </c>
      <c r="G20" s="2501" t="str">
        <f>G6</f>
        <v>估价对象所在区域基础设施水平</v>
      </c>
    </row>
    <row r="21" spans="1:18" ht="26.4">
      <c r="A21" s="2444"/>
      <c r="B21" s="323" t="s">
        <v>2255</v>
      </c>
      <c r="C21" s="2501" t="str">
        <f>C7</f>
        <v>估价对象所在区域公共配套设施齐备情况</v>
      </c>
      <c r="D21" s="2463"/>
      <c r="E21" s="2445"/>
      <c r="F21" s="2500" t="s">
        <v>2273</v>
      </c>
      <c r="G21" s="2503"/>
    </row>
    <row r="22" spans="1:18" ht="13.5" customHeight="1">
      <c r="A22" s="2444"/>
      <c r="B22" s="323" t="s">
        <v>2258</v>
      </c>
      <c r="C22" s="2501" t="str">
        <f>C8</f>
        <v>估价对象所在区域基础设施水平</v>
      </c>
      <c r="D22" s="2463"/>
      <c r="E22" s="2445"/>
      <c r="F22" s="2500" t="s">
        <v>2264</v>
      </c>
      <c r="G22" s="2502"/>
    </row>
    <row r="23" spans="1:18" s="799" customFormat="1" ht="14.4" thickBot="1">
      <c r="A23" s="2444"/>
      <c r="B23" s="2500" t="s">
        <v>2273</v>
      </c>
      <c r="C23" s="2503"/>
      <c r="D23" s="1739"/>
      <c r="E23" s="2446"/>
      <c r="F23" s="2504" t="s">
        <v>2274</v>
      </c>
      <c r="G23" s="2505"/>
      <c r="H23" s="2489"/>
      <c r="I23" s="2490"/>
      <c r="J23" s="2489"/>
      <c r="K23" s="2489"/>
      <c r="L23" s="2490"/>
      <c r="M23" s="2489"/>
      <c r="N23" s="2489"/>
      <c r="O23" s="2490"/>
      <c r="P23" s="2489"/>
      <c r="Q23" s="2489"/>
      <c r="R23" s="2491"/>
    </row>
    <row r="24" spans="1:18" s="799" customFormat="1" ht="14.4" thickBot="1">
      <c r="A24" s="2447"/>
      <c r="B24" s="2504" t="s">
        <v>2275</v>
      </c>
      <c r="C24" s="2506">
        <f>C10</f>
        <v>0</v>
      </c>
      <c r="D24" s="1739"/>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D15" sqref="D15"/>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376.36</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45322</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1313</v>
      </c>
      <c r="C5" s="2510">
        <f ca="1">IF(B5=D14,结果表!H102,ROUND(B5*10000/$B$1,0))</f>
        <v>0</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3355</v>
      </c>
      <c r="D10" s="2510" t="s">
        <v>3356</v>
      </c>
      <c r="E10" s="3439"/>
      <c r="F10" s="3443" t="s">
        <v>3357</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Sheet1!B5</f>
        <v>376.36</v>
      </c>
      <c r="C14" s="2516"/>
      <c r="D14" s="2516">
        <f ca="1">典型户型修正!S25+典型户型修正!S29</f>
        <v>1313</v>
      </c>
      <c r="E14" s="2516">
        <f ca="1">ROUND(D14*10000/B14,0)</f>
        <v>34887</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5.6">
      <c r="A16" s="2515" t="s">
        <v>648</v>
      </c>
      <c r="B16" s="2517"/>
      <c r="C16" s="2517"/>
      <c r="D16" s="2517"/>
      <c r="E16" s="2516" t="e">
        <f t="shared" si="0"/>
        <v>#DIV/0!</v>
      </c>
      <c r="F16" s="2516" t="e">
        <f t="shared" si="1"/>
        <v>#DIV/0!</v>
      </c>
      <c r="G16" s="1330"/>
      <c r="H16" s="1330"/>
      <c r="I16" s="2517"/>
      <c r="J16" s="2686"/>
      <c r="K16" s="2686"/>
    </row>
    <row r="17" spans="1:11" ht="15.6">
      <c r="A17" s="2515" t="s">
        <v>647</v>
      </c>
      <c r="B17" s="2517"/>
      <c r="C17" s="2517"/>
      <c r="D17" s="2517"/>
      <c r="E17" s="2516" t="e">
        <f t="shared" si="0"/>
        <v>#DIV/0!</v>
      </c>
      <c r="F17" s="2516" t="e">
        <f t="shared" si="1"/>
        <v>#DIV/0!</v>
      </c>
      <c r="G17" s="1330"/>
      <c r="H17" s="1330"/>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30" zoomScaleNormal="100" zoomScaleSheetLayoutView="130" zoomScalePageLayoutView="80" workbookViewId="0">
      <selection activeCell="H27" sqref="H27"/>
    </sheetView>
  </sheetViews>
  <sheetFormatPr defaultColWidth="12.6640625" defaultRowHeight="21.75" customHeight="1"/>
  <cols>
    <col min="1" max="2" width="12.6640625" style="1751"/>
    <col min="3" max="4" width="12.6640625" style="1751" customWidth="1"/>
    <col min="5" max="9" width="12.6640625" style="1751"/>
    <col min="10" max="11" width="12.6640625" style="725" customWidth="1"/>
    <col min="12" max="12" width="12.6640625" style="725"/>
    <col min="13" max="13" width="14.109375" style="725" bestFit="1" customWidth="1"/>
    <col min="14" max="26" width="12.6640625" style="725"/>
    <col min="27" max="35" width="12.6640625" style="1750"/>
    <col min="36" max="16384" width="12.6640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87" t="str">
        <f>项目基本情况!S2</f>
        <v>北京市房地产</v>
      </c>
      <c r="B2" s="3588"/>
      <c r="C2" s="3588"/>
      <c r="D2" s="3588"/>
      <c r="E2" s="3588"/>
      <c r="F2" s="3588"/>
      <c r="G2" s="3588"/>
      <c r="H2" s="3588"/>
      <c r="I2" s="3589"/>
    </row>
    <row r="3" spans="1:12" ht="13.2">
      <c r="A3" s="3591" t="s">
        <v>1264</v>
      </c>
      <c r="B3" s="3592"/>
      <c r="C3" s="3592"/>
      <c r="D3" s="3592"/>
      <c r="E3" s="3592"/>
      <c r="F3" s="3592"/>
      <c r="G3" s="3592"/>
      <c r="H3" s="3592"/>
      <c r="I3" s="3592"/>
    </row>
    <row r="4" spans="1:12" ht="14.4">
      <c r="A4" s="1752" t="s">
        <v>1265</v>
      </c>
      <c r="B4" s="1753" t="s">
        <v>1266</v>
      </c>
      <c r="C4" s="1754" t="s">
        <v>3416</v>
      </c>
      <c r="D4" s="1754" t="s">
        <v>3388</v>
      </c>
      <c r="E4" s="3593" t="s">
        <v>1267</v>
      </c>
      <c r="F4" s="3594"/>
      <c r="G4" s="3594"/>
      <c r="H4" s="3594"/>
      <c r="I4" s="359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67" t="s">
        <v>1268</v>
      </c>
      <c r="B5" s="3554">
        <v>25</v>
      </c>
      <c r="C5" s="3570"/>
      <c r="D5" s="3590"/>
      <c r="E5" s="131" t="s">
        <v>1269</v>
      </c>
      <c r="F5" s="1755"/>
      <c r="G5" s="1755"/>
      <c r="H5" s="1755"/>
      <c r="I5" s="1371"/>
    </row>
    <row r="6" spans="1:12" ht="13.2">
      <c r="A6" s="3567"/>
      <c r="B6" s="3554"/>
      <c r="C6" s="3571"/>
      <c r="D6" s="3590"/>
      <c r="E6" s="131" t="s">
        <v>1270</v>
      </c>
      <c r="F6" s="1755"/>
      <c r="G6" s="1755"/>
      <c r="H6" s="1755"/>
      <c r="I6" s="1371"/>
    </row>
    <row r="7" spans="1:12" ht="13.2">
      <c r="A7" s="3567"/>
      <c r="B7" s="3554"/>
      <c r="C7" s="3572"/>
      <c r="D7" s="3590"/>
      <c r="E7" s="131" t="s">
        <v>1271</v>
      </c>
      <c r="F7" s="1755"/>
      <c r="G7" s="1755"/>
      <c r="H7" s="1755"/>
      <c r="I7" s="1371"/>
    </row>
    <row r="8" spans="1:12" ht="13.2">
      <c r="A8" s="3567" t="s">
        <v>1272</v>
      </c>
      <c r="B8" s="3554">
        <v>15</v>
      </c>
      <c r="C8" s="3570"/>
      <c r="D8" s="3590"/>
      <c r="E8" s="131" t="s">
        <v>1273</v>
      </c>
      <c r="F8" s="1755"/>
      <c r="G8" s="1755"/>
      <c r="H8" s="1755"/>
      <c r="I8" s="1371"/>
    </row>
    <row r="9" spans="1:12" ht="13.2">
      <c r="A9" s="3567"/>
      <c r="B9" s="3554"/>
      <c r="C9" s="3572"/>
      <c r="D9" s="3590"/>
      <c r="E9" s="131" t="s">
        <v>1274</v>
      </c>
      <c r="F9" s="1755"/>
      <c r="G9" s="1755"/>
      <c r="H9" s="1755"/>
      <c r="I9" s="1371"/>
    </row>
    <row r="10" spans="1:12" ht="13.2">
      <c r="A10" s="3567" t="s">
        <v>1275</v>
      </c>
      <c r="B10" s="3554">
        <v>15</v>
      </c>
      <c r="C10" s="3570"/>
      <c r="D10" s="3590"/>
      <c r="E10" s="131" t="s">
        <v>1276</v>
      </c>
      <c r="F10" s="1755"/>
      <c r="G10" s="1755"/>
      <c r="H10" s="1755"/>
      <c r="I10" s="1371"/>
    </row>
    <row r="11" spans="1:12" ht="13.2">
      <c r="A11" s="3567"/>
      <c r="B11" s="3554"/>
      <c r="C11" s="3572"/>
      <c r="D11" s="3590"/>
      <c r="E11" s="131" t="s">
        <v>1277</v>
      </c>
      <c r="F11" s="1755"/>
      <c r="G11" s="1755"/>
      <c r="H11" s="1755"/>
      <c r="I11" s="1371"/>
    </row>
    <row r="12" spans="1:12" ht="13.2">
      <c r="A12" s="3567" t="s">
        <v>1278</v>
      </c>
      <c r="B12" s="3554">
        <v>15</v>
      </c>
      <c r="C12" s="3570"/>
      <c r="D12" s="3590"/>
      <c r="E12" s="131" t="s">
        <v>1279</v>
      </c>
      <c r="F12" s="1755"/>
      <c r="G12" s="1755"/>
      <c r="H12" s="1755"/>
      <c r="I12" s="1371"/>
    </row>
    <row r="13" spans="1:12" ht="13.2">
      <c r="A13" s="3567"/>
      <c r="B13" s="3554"/>
      <c r="C13" s="3572"/>
      <c r="D13" s="3590"/>
      <c r="E13" s="131" t="s">
        <v>1280</v>
      </c>
      <c r="F13" s="1755"/>
      <c r="G13" s="1755"/>
      <c r="H13" s="1755"/>
      <c r="I13" s="1371"/>
    </row>
    <row r="14" spans="1:12" ht="13.2">
      <c r="A14" s="3567" t="s">
        <v>1281</v>
      </c>
      <c r="B14" s="3554">
        <v>30</v>
      </c>
      <c r="C14" s="3570">
        <v>7</v>
      </c>
      <c r="D14" s="3590">
        <v>3</v>
      </c>
      <c r="E14" s="131" t="s">
        <v>1282</v>
      </c>
      <c r="F14" s="1755"/>
      <c r="G14" s="1755"/>
      <c r="H14" s="1755"/>
      <c r="I14" s="1371"/>
    </row>
    <row r="15" spans="1:12" ht="13.2">
      <c r="A15" s="3567"/>
      <c r="B15" s="3554"/>
      <c r="C15" s="3571"/>
      <c r="D15" s="3590"/>
      <c r="E15" s="131" t="s">
        <v>1283</v>
      </c>
      <c r="F15" s="1755"/>
      <c r="G15" s="1755"/>
      <c r="H15" s="1755"/>
      <c r="I15" s="1371"/>
    </row>
    <row r="16" spans="1:12" ht="13.2">
      <c r="A16" s="3567"/>
      <c r="B16" s="3554"/>
      <c r="C16" s="3572"/>
      <c r="D16" s="3590"/>
      <c r="E16" s="131" t="s">
        <v>1284</v>
      </c>
      <c r="F16" s="1755"/>
      <c r="G16" s="1755"/>
      <c r="H16" s="1755"/>
      <c r="I16" s="1371"/>
    </row>
    <row r="17" spans="1:36" ht="14.4">
      <c r="A17" s="1756" t="s">
        <v>1285</v>
      </c>
      <c r="B17" s="56"/>
      <c r="C17" s="132">
        <f>SUM(C5:C16)</f>
        <v>7</v>
      </c>
      <c r="D17" s="132">
        <f>SUM(D5:D16)</f>
        <v>3</v>
      </c>
      <c r="E17" s="129"/>
      <c r="F17" s="129"/>
      <c r="G17" s="129"/>
      <c r="H17" s="129"/>
      <c r="I17" s="129"/>
      <c r="K17" s="302"/>
      <c r="L17" s="302" t="s">
        <v>1286</v>
      </c>
      <c r="M17" s="302" t="s">
        <v>1287</v>
      </c>
    </row>
    <row r="18" spans="1:36" ht="31.95" customHeight="1" thickBot="1">
      <c r="A18" s="1757" t="s">
        <v>1288</v>
      </c>
      <c r="B18" s="1758"/>
      <c r="C18" s="133">
        <f>ROUND(C17/SUM(C17:D17),2)</f>
        <v>0.7</v>
      </c>
      <c r="D18" s="133">
        <f>1-C18</f>
        <v>0.30000000000000004</v>
      </c>
      <c r="E18" s="3577" t="s">
        <v>2126</v>
      </c>
      <c r="F18" s="3578"/>
      <c r="G18" s="3578"/>
      <c r="H18" s="3578"/>
      <c r="I18" s="3578"/>
      <c r="K18" s="302" t="s">
        <v>1289</v>
      </c>
      <c r="L18" s="302">
        <f>IF(C1="",'数据-汇总表'!E3,SUMIF(项目类型,C1,'数据-汇总表'!E17:E26)+SUMIF(项目类型,C1,'数据-汇总表'!I17:I26))</f>
        <v>87.01</v>
      </c>
      <c r="M18" s="302">
        <f>IF(C1="",'数据-汇总表'!E3,SUMIF(项目类型,C1,'数据-汇总表'!E17:E26))</f>
        <v>87.01</v>
      </c>
    </row>
    <row r="19" spans="1:36" ht="14.4">
      <c r="A19" s="1759" t="s">
        <v>1290</v>
      </c>
      <c r="B19" s="1760" t="s">
        <v>1291</v>
      </c>
      <c r="C19" s="134">
        <f ca="1">SUMIF(INDIRECT("'"&amp;C4&amp;"'"&amp;"!A:A"),结果表!B19,INDIRECT("'"&amp;C4&amp;"'"&amp;"!B:B"))</f>
        <v>394.12920000000003</v>
      </c>
      <c r="D19" s="135">
        <f ca="1">SUMIF(INDIRECT("'"&amp;D4&amp;"'"&amp;"!A:A"),结果表!B19,INDIRECT("'"&amp;D4&amp;"'"&amp;"!B:B"))</f>
        <v>227.5557</v>
      </c>
      <c r="E19" s="1759" t="s">
        <v>1292</v>
      </c>
      <c r="F19" s="1760" t="s">
        <v>1291</v>
      </c>
      <c r="G19" s="136">
        <f ca="1">ROUND(C19*$C$18+D19*$D$18,0)</f>
        <v>344</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2"/>
      <c r="B20" s="1025" t="s">
        <v>1295</v>
      </c>
      <c r="C20" s="137">
        <f ca="1">SUMIF(INDIRECT("'"&amp;C4&amp;"'"&amp;"!A:A"),结果表!B20,INDIRECT("'"&amp;C4&amp;"'"&amp;"!B:B"))</f>
        <v>45297</v>
      </c>
      <c r="D20" s="138">
        <f ca="1">SUMIF(INDIRECT("'"&amp;D4&amp;"'"&amp;"!A:A"),结果表!B20,INDIRECT("'"&amp;D4&amp;"'"&amp;"!B:B"))</f>
        <v>26153</v>
      </c>
      <c r="E20" s="1762"/>
      <c r="F20" s="1025" t="s">
        <v>1295</v>
      </c>
      <c r="G20" s="139">
        <f ca="1">ROUND(C20*$C$18+D20*$D$18,0)</f>
        <v>39554</v>
      </c>
      <c r="H20" s="808" t="s">
        <v>1296</v>
      </c>
      <c r="I20" s="129"/>
    </row>
    <row r="21" spans="1:36" ht="15" customHeight="1" thickBot="1">
      <c r="A21" s="828"/>
      <c r="B21" s="1763" t="s">
        <v>1297</v>
      </c>
      <c r="C21" s="719" t="e">
        <f ca="1">ROUND(C19*10000/L19,0)</f>
        <v>#DIV/0!</v>
      </c>
      <c r="D21" s="720" t="e">
        <f ca="1">ROUND(D19*10000/L19,0)</f>
        <v>#DIV/0!</v>
      </c>
      <c r="E21" s="828"/>
      <c r="F21" s="1763" t="s">
        <v>1297</v>
      </c>
      <c r="G21" s="140" t="e">
        <f ca="1">ROUND(G19*10000/L19,0)</f>
        <v>#DIV/0!</v>
      </c>
      <c r="H21" s="1764" t="s">
        <v>1296</v>
      </c>
      <c r="I21" s="129"/>
    </row>
    <row r="22" spans="1:36" ht="15" thickBot="1">
      <c r="A22" s="1686" t="s">
        <v>1298</v>
      </c>
      <c r="B22" s="1765"/>
      <c r="C22" s="1766"/>
      <c r="D22" s="721">
        <f ca="1">IF(C19&lt;D19,D19/C19-1,C19/D19-1)</f>
        <v>0.73201198651582899</v>
      </c>
      <c r="E22" s="129"/>
      <c r="F22" s="129"/>
      <c r="G22" s="129"/>
      <c r="H22" s="129"/>
      <c r="I22" s="129"/>
    </row>
    <row r="23" spans="1:36" ht="13.8" thickBot="1">
      <c r="A23" s="1745"/>
      <c r="B23" s="1745"/>
      <c r="C23" s="1745"/>
      <c r="D23" s="1745"/>
      <c r="E23" s="129"/>
      <c r="F23" s="129"/>
      <c r="G23" s="129"/>
      <c r="H23" s="129"/>
      <c r="I23" s="129"/>
    </row>
    <row r="24" spans="1:36" ht="14.4">
      <c r="A24" s="3561" t="s">
        <v>1299</v>
      </c>
      <c r="B24" s="1760" t="s">
        <v>1291</v>
      </c>
      <c r="C24" s="136">
        <f>IF(B30=0,0,D30)</f>
        <v>0</v>
      </c>
      <c r="D24" s="1767"/>
      <c r="E24" s="129"/>
      <c r="F24" s="129"/>
      <c r="G24" s="129"/>
      <c r="H24" s="129"/>
      <c r="I24" s="129"/>
    </row>
    <row r="25" spans="1:36" ht="14.4">
      <c r="A25" s="3562"/>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3.8">
      <c r="A27" s="1769"/>
      <c r="B27" s="142">
        <v>0</v>
      </c>
      <c r="C27" s="142">
        <v>0</v>
      </c>
      <c r="D27" s="143">
        <f>ROUND(C27*B27/10000,0)</f>
        <v>0</v>
      </c>
      <c r="E27" s="129"/>
      <c r="F27" s="129"/>
      <c r="G27" s="129"/>
      <c r="H27" s="129"/>
      <c r="I27" s="129"/>
    </row>
    <row r="28" spans="1:36" ht="13.8">
      <c r="A28" s="1769"/>
      <c r="B28" s="142"/>
      <c r="C28" s="142"/>
      <c r="D28" s="143"/>
      <c r="E28" s="129"/>
      <c r="F28" s="129"/>
      <c r="G28" s="129"/>
      <c r="H28" s="129"/>
      <c r="I28" s="129"/>
    </row>
    <row r="29" spans="1:36" ht="13.8">
      <c r="A29" s="1769"/>
      <c r="B29" s="142"/>
      <c r="C29" s="142"/>
      <c r="D29" s="143"/>
      <c r="E29" s="129"/>
      <c r="F29" s="129"/>
      <c r="G29" s="129"/>
      <c r="H29" s="129"/>
      <c r="I29" s="129"/>
    </row>
    <row r="30" spans="1:36" ht="15" thickBot="1">
      <c r="A30" s="142" t="s">
        <v>1304</v>
      </c>
      <c r="B30" s="142"/>
      <c r="C30" s="142"/>
      <c r="D30" s="142"/>
      <c r="E30" s="2301" t="s">
        <v>2127</v>
      </c>
      <c r="F30" s="129"/>
      <c r="G30" s="129"/>
      <c r="H30" s="129"/>
      <c r="I30" s="129"/>
    </row>
    <row r="31" spans="1:36" s="2307" customFormat="1" ht="26.4" customHeight="1" thickTop="1" thickBot="1">
      <c r="A31" s="2302"/>
      <c r="B31" s="2303"/>
      <c r="C31" s="2303"/>
      <c r="D31" s="2303"/>
      <c r="E31" s="2303"/>
      <c r="F31" s="2303"/>
      <c r="G31" s="2303"/>
      <c r="H31" s="2303"/>
      <c r="I31" s="2304" t="s">
        <v>2128</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1" t="s">
        <v>1305</v>
      </c>
      <c r="B32" s="1772"/>
      <c r="C32" s="144">
        <f ca="1">IF(D32="总价",G19-C24,G20-C25)</f>
        <v>39554</v>
      </c>
      <c r="D32" s="1773"/>
      <c r="E32" s="129"/>
      <c r="F32" s="129"/>
      <c r="G32" s="129"/>
      <c r="H32" s="129"/>
      <c r="I32" s="129"/>
    </row>
    <row r="33" spans="1:15" ht="14.4">
      <c r="A33" s="786" t="s">
        <v>1306</v>
      </c>
      <c r="B33" s="1774"/>
      <c r="C33" s="1775"/>
      <c r="D33" s="1776"/>
      <c r="E33" s="1777" t="s">
        <v>1307</v>
      </c>
      <c r="F33" s="1778" t="str">
        <f>IF(D32="楼面单价","取值（单价）","取值（总价）")</f>
        <v>取值（总价）</v>
      </c>
      <c r="G33" s="129"/>
      <c r="H33" s="129"/>
      <c r="I33" s="129"/>
    </row>
    <row r="34" spans="1:15" ht="14.4">
      <c r="A34" s="1779"/>
      <c r="B34" s="1780"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1" t="s">
        <v>1309</v>
      </c>
      <c r="F34" s="1329"/>
      <c r="G34" s="129"/>
      <c r="H34" s="129"/>
      <c r="I34" s="129"/>
    </row>
    <row r="35" spans="1:15" ht="15" thickBot="1">
      <c r="A35" s="1782"/>
      <c r="B35" s="1783"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 thickBot="1">
      <c r="A36" s="3581" t="s">
        <v>1312</v>
      </c>
      <c r="B36" s="1785" t="s">
        <v>1313</v>
      </c>
      <c r="C36" s="145"/>
      <c r="D36" s="1786"/>
      <c r="E36" s="1787"/>
      <c r="F36" s="1788"/>
      <c r="G36" s="129"/>
      <c r="H36" s="129"/>
      <c r="I36" s="129"/>
    </row>
    <row r="37" spans="1:15" ht="15" thickBot="1">
      <c r="A37" s="3582"/>
      <c r="B37" s="1672" t="s">
        <v>1314</v>
      </c>
      <c r="C37" s="147"/>
      <c r="D37" s="1138"/>
      <c r="E37" s="1138"/>
      <c r="F37" s="1788"/>
      <c r="G37" s="129"/>
      <c r="H37" s="129"/>
      <c r="I37" s="129"/>
    </row>
    <row r="38" spans="1:15" ht="15" thickBot="1">
      <c r="A38" s="3583"/>
      <c r="B38" s="1789" t="s">
        <v>1315</v>
      </c>
      <c r="C38" s="674"/>
      <c r="D38" s="1790" t="s">
        <v>1316</v>
      </c>
      <c r="E38" s="1138"/>
      <c r="F38" s="1788"/>
      <c r="G38" s="129"/>
      <c r="H38" s="129"/>
      <c r="I38" s="129"/>
    </row>
    <row r="39" spans="1:15" ht="14.4">
      <c r="A39" s="1762" t="s">
        <v>1317</v>
      </c>
      <c r="B39" s="1791" t="s">
        <v>1318</v>
      </c>
      <c r="C39" s="1792" t="s">
        <v>1319</v>
      </c>
      <c r="D39" s="1792" t="s">
        <v>1320</v>
      </c>
      <c r="E39" s="1793" t="s">
        <v>1321</v>
      </c>
      <c r="F39" s="1788"/>
      <c r="G39" s="129"/>
      <c r="H39" s="129"/>
      <c r="I39" s="129"/>
    </row>
    <row r="40" spans="1:15" ht="13.8">
      <c r="A40" s="1794" t="s">
        <v>1322</v>
      </c>
      <c r="B40" s="149"/>
      <c r="C40" s="150"/>
      <c r="D40" s="150"/>
      <c r="E40" s="151"/>
      <c r="F40" s="1788"/>
      <c r="G40" s="129"/>
      <c r="H40" s="129"/>
      <c r="I40" s="129"/>
    </row>
    <row r="41" spans="1:15" ht="13.8">
      <c r="A41" s="1794" t="s">
        <v>1323</v>
      </c>
      <c r="B41" s="149"/>
      <c r="C41" s="150"/>
      <c r="D41" s="150"/>
      <c r="E41" s="151"/>
      <c r="F41" s="1788"/>
      <c r="G41" s="129"/>
      <c r="H41" s="129"/>
      <c r="I41" s="129"/>
    </row>
    <row r="42" spans="1:15" ht="14.4" thickBot="1">
      <c r="A42" s="1795"/>
      <c r="B42" s="152"/>
      <c r="C42" s="153"/>
      <c r="D42" s="153"/>
      <c r="E42" s="154"/>
      <c r="F42" s="1788"/>
      <c r="G42" s="129"/>
      <c r="H42" s="129"/>
      <c r="I42" s="129"/>
    </row>
    <row r="43" spans="1:15" ht="13.2">
      <c r="A43" s="1575"/>
      <c r="B43" s="1575"/>
      <c r="C43" s="1575"/>
      <c r="D43" s="1575"/>
      <c r="E43" s="1575"/>
      <c r="F43" s="1796"/>
      <c r="G43" s="1796"/>
      <c r="H43" s="1796"/>
      <c r="I43" s="1797"/>
    </row>
    <row r="44" spans="1:15" ht="17.399999999999999">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8" t="s">
        <v>1326</v>
      </c>
      <c r="B45" s="3559"/>
      <c r="C45" s="3560"/>
      <c r="D45" s="155" t="e">
        <f ca="1">ROUND(H101*F45,0)</f>
        <v>#REF!</v>
      </c>
      <c r="E45" s="156" t="s">
        <v>1327</v>
      </c>
      <c r="F45" s="157">
        <v>1</v>
      </c>
      <c r="G45" s="158" t="s">
        <v>1328</v>
      </c>
      <c r="H45" s="129"/>
      <c r="I45" s="129"/>
      <c r="J45" s="3636" t="s">
        <v>1329</v>
      </c>
      <c r="K45" s="3636"/>
      <c r="L45" s="3636"/>
      <c r="M45" s="3636"/>
      <c r="N45" s="3636"/>
      <c r="O45" s="3636"/>
    </row>
    <row r="46" spans="1:15" ht="14.25" customHeight="1">
      <c r="A46" s="3555" t="s">
        <v>1330</v>
      </c>
      <c r="B46" s="3556"/>
      <c r="C46" s="3556"/>
      <c r="D46" s="3556"/>
      <c r="E46" s="3556"/>
      <c r="F46" s="3556"/>
      <c r="G46" s="3557"/>
      <c r="H46" s="1804"/>
      <c r="I46" s="159"/>
      <c r="J46" s="2521">
        <v>1</v>
      </c>
      <c r="K46" s="3617" t="s">
        <v>1331</v>
      </c>
      <c r="L46" s="3617"/>
      <c r="M46" s="3637"/>
      <c r="N46" s="3637"/>
      <c r="O46" s="3637"/>
    </row>
    <row r="47" spans="1:15" ht="12" customHeight="1">
      <c r="A47" s="160" t="s">
        <v>1332</v>
      </c>
      <c r="B47" s="161"/>
      <c r="C47" s="162"/>
      <c r="D47" s="1086" t="s">
        <v>1333</v>
      </c>
      <c r="E47" s="302" t="s">
        <v>1334</v>
      </c>
      <c r="F47" s="163" t="s">
        <v>1335</v>
      </c>
      <c r="G47" s="2544" t="s">
        <v>1336</v>
      </c>
      <c r="H47" s="2545"/>
      <c r="I47" s="159"/>
      <c r="J47" s="2521">
        <v>2</v>
      </c>
      <c r="K47" s="3617" t="s">
        <v>1337</v>
      </c>
      <c r="L47" s="3617"/>
      <c r="M47" s="3638">
        <f>'数据-取费表'!B2</f>
        <v>45322</v>
      </c>
      <c r="N47" s="3638"/>
      <c r="O47" s="3638"/>
    </row>
    <row r="48" spans="1:15" ht="26.4">
      <c r="A48" s="3586" t="s">
        <v>1338</v>
      </c>
      <c r="B48" s="3569"/>
      <c r="C48" s="3569"/>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17" t="s">
        <v>1340</v>
      </c>
      <c r="L48" s="3617"/>
      <c r="M48" s="3639" t="e">
        <f ca="1">H101</f>
        <v>#REF!</v>
      </c>
      <c r="N48" s="3639"/>
      <c r="O48" s="3639"/>
    </row>
    <row r="49" spans="1:35" ht="25.5" customHeight="1">
      <c r="A49" s="2331" t="s">
        <v>1341</v>
      </c>
      <c r="B49" s="3553" t="s">
        <v>1342</v>
      </c>
      <c r="C49" s="3553"/>
      <c r="D49" s="1588">
        <v>0</v>
      </c>
      <c r="E49" s="324" t="s">
        <v>1343</v>
      </c>
      <c r="F49" s="2422" t="s">
        <v>28</v>
      </c>
      <c r="G49" s="3623"/>
      <c r="H49" s="2308" t="s">
        <v>2129</v>
      </c>
      <c r="I49" s="2309"/>
      <c r="J49" s="2521">
        <v>4</v>
      </c>
      <c r="K49" s="3617" t="str">
        <f>IF(项目基本情况!E8="房地产抵押价值","房地产抵押价值","抵押担保权已注销时的房地产抵押价值")</f>
        <v>房地产抵押价值</v>
      </c>
      <c r="L49" s="3617"/>
      <c r="M49" s="3639" t="str">
        <f ca="1">IF(项目基本情况!E8="房地产抵押价值",H107,H109)</f>
        <v>——</v>
      </c>
      <c r="N49" s="3639"/>
      <c r="O49" s="3639"/>
    </row>
    <row r="50" spans="1:35" ht="25.5" customHeight="1">
      <c r="A50" s="2549"/>
      <c r="B50" s="3553" t="s">
        <v>1344</v>
      </c>
      <c r="C50" s="3553"/>
      <c r="D50" s="2550"/>
      <c r="E50" s="332"/>
      <c r="F50" s="2422"/>
      <c r="G50" s="3624"/>
      <c r="H50" s="2310" t="s">
        <v>2130</v>
      </c>
      <c r="I50" s="2309"/>
      <c r="J50" s="3636" t="s">
        <v>1345</v>
      </c>
      <c r="K50" s="3636"/>
      <c r="L50" s="3636"/>
      <c r="M50" s="3636"/>
      <c r="N50" s="3636"/>
      <c r="O50" s="3636"/>
    </row>
    <row r="51" spans="1:35" ht="20.399999999999999" customHeight="1">
      <c r="A51" s="2551"/>
      <c r="B51" s="3553" t="s">
        <v>1346</v>
      </c>
      <c r="C51" s="3553"/>
      <c r="D51" s="1086"/>
      <c r="E51" s="327"/>
      <c r="F51" s="2422"/>
      <c r="G51" s="3625"/>
      <c r="H51" s="2310" t="s">
        <v>2131</v>
      </c>
      <c r="I51" s="2309"/>
      <c r="J51" s="2522" t="s">
        <v>1347</v>
      </c>
      <c r="K51" s="3617" t="s">
        <v>1348</v>
      </c>
      <c r="L51" s="3617"/>
      <c r="M51" s="2522" t="s">
        <v>1349</v>
      </c>
      <c r="N51" s="2522" t="s">
        <v>1350</v>
      </c>
      <c r="O51" s="2522" t="s">
        <v>1351</v>
      </c>
    </row>
    <row r="52" spans="1:35" ht="24" customHeight="1">
      <c r="A52" s="2333" t="s">
        <v>1352</v>
      </c>
      <c r="B52" s="3553" t="s">
        <v>1353</v>
      </c>
      <c r="C52" s="3553"/>
      <c r="D52" s="1086" t="e">
        <f ca="1">ROUND(D45*'数据-取费表'!B41/(1+'数据-取费表'!C42),0)</f>
        <v>#REF!</v>
      </c>
      <c r="E52" s="2332" t="s">
        <v>1354</v>
      </c>
      <c r="F52" s="2552">
        <f>'数据-取费表'!B41</f>
        <v>5.6000000000000001E-2</v>
      </c>
      <c r="G52" s="2553"/>
      <c r="H52" s="2542"/>
      <c r="I52" s="1805"/>
      <c r="J52" s="2521">
        <v>1</v>
      </c>
      <c r="K52" s="3618" t="s">
        <v>1355</v>
      </c>
      <c r="L52" s="3618"/>
      <c r="M52" s="2523" t="b">
        <f>D48</f>
        <v>0</v>
      </c>
      <c r="N52" s="2521" t="str">
        <f>E48</f>
        <v>销售额×税（费）率</v>
      </c>
      <c r="O52" s="2524">
        <f>F48</f>
        <v>5.6000000000000001E-2</v>
      </c>
    </row>
    <row r="53" spans="1:35" ht="12" customHeight="1">
      <c r="A53" s="2333" t="s">
        <v>1356</v>
      </c>
      <c r="B53" s="3579" t="s">
        <v>2286</v>
      </c>
      <c r="C53" s="3580"/>
      <c r="D53" s="1086" t="e">
        <f ca="1">ROUND(D45*'数据-取费表'!B41/(1+'数据-取费表'!C42),0)</f>
        <v>#REF!</v>
      </c>
      <c r="E53" s="2332" t="s">
        <v>1354</v>
      </c>
      <c r="F53" s="2552">
        <f>'数据-取费表'!B41</f>
        <v>5.6000000000000001E-2</v>
      </c>
      <c r="G53" s="2553"/>
      <c r="H53" s="2542"/>
      <c r="I53" s="1805"/>
      <c r="J53" s="2521">
        <v>2</v>
      </c>
      <c r="K53" s="3618" t="s">
        <v>1357</v>
      </c>
      <c r="L53" s="3618"/>
      <c r="M53" s="2523" t="e">
        <f t="shared" ref="M53:O54" ca="1" si="0">D55</f>
        <v>#REF!</v>
      </c>
      <c r="N53" s="2521" t="str">
        <f t="shared" si="0"/>
        <v>销售额×税（费）率</v>
      </c>
      <c r="O53" s="2524" t="str">
        <f t="shared" si="0"/>
        <v>免征</v>
      </c>
    </row>
    <row r="54" spans="1:35" ht="12" customHeight="1">
      <c r="A54" s="2333" t="s">
        <v>1358</v>
      </c>
      <c r="B54" s="3579" t="s">
        <v>2287</v>
      </c>
      <c r="C54" s="3580"/>
      <c r="D54" s="1086" t="e">
        <f ca="1">C68</f>
        <v>#REF!</v>
      </c>
      <c r="E54" s="327" t="s">
        <v>1359</v>
      </c>
      <c r="F54" s="2552">
        <f>'数据-取费表'!B41</f>
        <v>5.6000000000000001E-2</v>
      </c>
      <c r="G54" s="2553"/>
      <c r="H54" s="2554"/>
      <c r="I54" s="1805"/>
      <c r="J54" s="2521">
        <v>3</v>
      </c>
      <c r="K54" s="3618" t="s">
        <v>1360</v>
      </c>
      <c r="L54" s="3618"/>
      <c r="M54" s="2523" t="e">
        <f t="shared" ca="1" si="0"/>
        <v>#REF!</v>
      </c>
      <c r="N54" s="2521" t="str">
        <f t="shared" si="0"/>
        <v>增值额×税（费）率</v>
      </c>
      <c r="O54" s="2525" t="str">
        <f t="shared" si="0"/>
        <v>免征</v>
      </c>
    </row>
    <row r="55" spans="1:35" ht="24" customHeight="1">
      <c r="A55" s="3568" t="s">
        <v>1361</v>
      </c>
      <c r="B55" s="3569"/>
      <c r="C55" s="3569"/>
      <c r="D55" s="2322" t="e">
        <f ca="1">IF(H55="个人住宅",0,ROUND(D45*I55,0))</f>
        <v>#REF!</v>
      </c>
      <c r="E55" s="2332" t="s">
        <v>1362</v>
      </c>
      <c r="F55" s="2552" t="str">
        <f>IF(H55="正常",I55,"免征")</f>
        <v>免征</v>
      </c>
      <c r="G55" s="2553"/>
      <c r="H55" s="2548"/>
      <c r="I55" s="165">
        <f>'数据-取费表'!B49</f>
        <v>5.0000000000000001E-4</v>
      </c>
      <c r="J55" s="2521">
        <f>IF(H59="非个人房产","",4)</f>
        <v>4</v>
      </c>
      <c r="K55" s="3618" t="str">
        <f>IF(H59="非个人房产","——","个人所得税")</f>
        <v>个人所得税</v>
      </c>
      <c r="L55" s="3618"/>
      <c r="M55" s="2526" t="e">
        <f ca="1">D59</f>
        <v>#REF!</v>
      </c>
      <c r="N55" s="2038" t="str">
        <f>E59</f>
        <v>差额计税</v>
      </c>
      <c r="O55" s="2527">
        <f>F59</f>
        <v>0.01</v>
      </c>
    </row>
    <row r="56" spans="1:35" ht="25.2">
      <c r="A56" s="3568" t="s">
        <v>1363</v>
      </c>
      <c r="B56" s="3569"/>
      <c r="C56" s="3569"/>
      <c r="D56" s="2322" t="e">
        <f ca="1">IF(H56="个人住宅",D57,D58)</f>
        <v>#REF!</v>
      </c>
      <c r="E56" s="2332" t="s">
        <v>1364</v>
      </c>
      <c r="F56" s="2552" t="str">
        <f>IF(H56="正常",F58,"免征")</f>
        <v>免征</v>
      </c>
      <c r="G56" s="2555" t="s">
        <v>1365</v>
      </c>
      <c r="H56" s="2556"/>
      <c r="I56" s="1806"/>
      <c r="J56" s="2521" t="str">
        <f>IF(项目基本情况!K6="上海银行",IF(J55="",4,J55+1),"")</f>
        <v/>
      </c>
      <c r="K56" s="3641" t="str">
        <f>IF(项目基本情况!K6="上海银行","其他处置费用","")</f>
        <v/>
      </c>
      <c r="L56" s="3642"/>
      <c r="M56" s="2523" t="str">
        <f>IF(项目基本情况!K6="上海银行",M69,"")</f>
        <v/>
      </c>
      <c r="N56" s="3641" t="str">
        <f>IF(项目基本情况!K6="上海银行","包含处置中涉及的律师、诉讼、拍卖、评估等费用","")</f>
        <v/>
      </c>
      <c r="O56" s="3644"/>
    </row>
    <row r="57" spans="1:35" ht="13.2">
      <c r="A57" s="2333" t="s">
        <v>1341</v>
      </c>
      <c r="B57" s="3579" t="s">
        <v>1366</v>
      </c>
      <c r="C57" s="3580"/>
      <c r="D57" s="1588">
        <v>0</v>
      </c>
      <c r="E57" s="324" t="s">
        <v>1343</v>
      </c>
      <c r="F57" s="302"/>
      <c r="G57" s="2553"/>
      <c r="H57" s="2557"/>
      <c r="I57" s="1806"/>
      <c r="J57" s="3618">
        <f>IF(AND(J55="",J56=""),4,IF(项目基本情况!K6="上海银行",结果表!J56+1,结果表!J55+1))</f>
        <v>5</v>
      </c>
      <c r="K57" s="3618" t="s">
        <v>1367</v>
      </c>
      <c r="L57" s="2528" t="s">
        <v>1368</v>
      </c>
      <c r="M57" s="2529"/>
      <c r="N57" s="2530">
        <f ca="1">SUMIF(M52:M56,"&lt;9e307")</f>
        <v>0</v>
      </c>
      <c r="O57" s="2531"/>
      <c r="P57" s="2688" t="e">
        <f ca="1">N57/M49</f>
        <v>#VALUE!</v>
      </c>
    </row>
    <row r="58" spans="1:35" ht="25.2">
      <c r="A58" s="2333" t="s">
        <v>1352</v>
      </c>
      <c r="B58" s="3579" t="s">
        <v>1369</v>
      </c>
      <c r="C58" s="3553"/>
      <c r="D58" s="2322" t="e">
        <f ca="1">IF(H58="转让取得",C81,C97)</f>
        <v>#REF!</v>
      </c>
      <c r="E58" s="2332" t="s">
        <v>1364</v>
      </c>
      <c r="F58" s="302" t="s">
        <v>28</v>
      </c>
      <c r="G58" s="2553"/>
      <c r="H58" s="2556"/>
      <c r="I58" s="1806"/>
      <c r="J58" s="3618"/>
      <c r="K58" s="3618"/>
      <c r="L58" s="2528" t="s">
        <v>1370</v>
      </c>
      <c r="M58" s="2532"/>
      <c r="N58" s="2533" t="str">
        <f ca="1">NUMBERSTRING(INT(N57*10000),2)&amp;"元整"</f>
        <v>零元整</v>
      </c>
      <c r="O58" s="2534"/>
    </row>
    <row r="59" spans="1:35" ht="24.6" thickBot="1">
      <c r="A59" s="3621" t="s">
        <v>1371</v>
      </c>
      <c r="B59" s="3622"/>
      <c r="C59" s="3622"/>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2132</v>
      </c>
      <c r="J59" s="3619">
        <f>J57+1</f>
        <v>6</v>
      </c>
      <c r="K59" s="3618" t="s">
        <v>1372</v>
      </c>
      <c r="L59" s="2521" t="s">
        <v>1368</v>
      </c>
      <c r="M59" s="2535"/>
      <c r="N59" s="2536" t="e">
        <f ca="1">M49-N57</f>
        <v>#VALUE!</v>
      </c>
      <c r="O59" s="2537"/>
    </row>
    <row r="60" spans="1:35" ht="12" customHeight="1">
      <c r="A60" s="1807"/>
      <c r="B60" s="1745"/>
      <c r="C60" s="1745"/>
      <c r="D60" s="1745"/>
      <c r="E60" s="1576"/>
      <c r="F60" s="1806"/>
      <c r="G60" s="1806"/>
      <c r="H60" s="1808"/>
      <c r="I60" s="129"/>
      <c r="J60" s="3620"/>
      <c r="K60" s="3618"/>
      <c r="L60" s="2528" t="s">
        <v>1370</v>
      </c>
      <c r="M60" s="2532"/>
      <c r="N60" s="2533" t="e">
        <f ca="1">NUMBERSTRING(INT(N59*10000),2)&amp;"元整"</f>
        <v>#VALUE!</v>
      </c>
      <c r="O60" s="2534"/>
    </row>
    <row r="61" spans="1:35" ht="13.8" thickBot="1">
      <c r="A61" s="3566" t="s">
        <v>1373</v>
      </c>
      <c r="B61" s="3566"/>
      <c r="C61" s="3566"/>
      <c r="D61" s="3566"/>
      <c r="E61" s="3566"/>
      <c r="F61" s="1806"/>
      <c r="G61" s="1806"/>
      <c r="H61" s="1808"/>
      <c r="I61" s="129"/>
      <c r="J61" s="2521">
        <f>J59+1</f>
        <v>7</v>
      </c>
      <c r="K61" s="3618" t="s">
        <v>1374</v>
      </c>
      <c r="L61" s="3618"/>
      <c r="M61" s="2538"/>
      <c r="N61" s="2539" t="e">
        <f ca="1">ROUND(N59*10000/'数据-汇总表'!E3,0)</f>
        <v>#VALUE!</v>
      </c>
      <c r="O61" s="2540"/>
    </row>
    <row r="62" spans="1:35" ht="13.2">
      <c r="A62" s="3584" t="s">
        <v>1375</v>
      </c>
      <c r="B62" s="3585"/>
      <c r="C62" s="2019"/>
      <c r="D62" s="2019" t="s">
        <v>1376</v>
      </c>
      <c r="E62" s="166" t="s">
        <v>1377</v>
      </c>
      <c r="F62" s="1806"/>
      <c r="G62" s="1806"/>
      <c r="H62" s="1808"/>
      <c r="I62" s="129"/>
    </row>
    <row r="63" spans="1:35" ht="13.2">
      <c r="A63" s="173" t="s">
        <v>330</v>
      </c>
      <c r="B63" s="167" t="s">
        <v>1378</v>
      </c>
      <c r="C63" s="2562" t="e">
        <f ca="1">ROUND((C64+C65)/(1+'数据-取费表'!C42),0)</f>
        <v>#REF!</v>
      </c>
      <c r="D63" s="167"/>
      <c r="E63" s="168"/>
      <c r="F63" s="1806"/>
      <c r="G63" s="1806"/>
      <c r="H63" s="1808"/>
      <c r="I63" s="129"/>
      <c r="J63" s="3643" t="s">
        <v>1379</v>
      </c>
      <c r="K63" s="1331" t="s">
        <v>1380</v>
      </c>
      <c r="L63" s="1331" t="e">
        <f ca="1">IF(M49&gt;10000,M49*0.5%,IF(AND(M49&gt;1000,M49&lt;=10000),M49*1%,IF(AND(M49&gt;100,M49&lt;=1000),M49*3%,IF(AND(M49&gt;10,M49&lt;=100),M49*5%,M49*8%))))</f>
        <v>#VALUE!</v>
      </c>
      <c r="M63" s="302" t="e">
        <f ca="1">ROUND(L63,1)</f>
        <v>#VALUE!</v>
      </c>
      <c r="N63" s="2541"/>
      <c r="Z63" s="1750"/>
      <c r="AI63" s="1751"/>
    </row>
    <row r="64" spans="1:35" ht="14.25" customHeight="1">
      <c r="A64" s="169" t="s">
        <v>325</v>
      </c>
      <c r="B64" s="170" t="s">
        <v>1381</v>
      </c>
      <c r="C64" s="2563" t="e">
        <f ca="1">D45</f>
        <v>#REF!</v>
      </c>
      <c r="D64" s="170" t="s">
        <v>26</v>
      </c>
      <c r="E64" s="172"/>
      <c r="F64" s="1806"/>
      <c r="G64" s="1806"/>
      <c r="H64" s="1808"/>
      <c r="I64" s="129"/>
      <c r="J64" s="3643"/>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1383</v>
      </c>
      <c r="Z64" s="1750"/>
      <c r="AI64" s="1751"/>
    </row>
    <row r="65" spans="1:35" ht="14.25" customHeight="1">
      <c r="A65" s="169" t="s">
        <v>326</v>
      </c>
      <c r="B65" s="170" t="s">
        <v>1384</v>
      </c>
      <c r="C65" s="2564"/>
      <c r="D65" s="170"/>
      <c r="E65" s="172"/>
      <c r="F65" s="1806"/>
      <c r="G65" s="1806"/>
      <c r="H65" s="1808"/>
      <c r="I65" s="129"/>
      <c r="J65" s="3643"/>
      <c r="K65" s="1331" t="s">
        <v>1385</v>
      </c>
      <c r="L65" s="1331" t="e">
        <f ca="1">IF(M49&gt;1000,M49*0.1%,IF(AND(M49&gt;500,M49&lt;=1000),M49*0.5%,IF(AND(M49&gt;50,M49&lt;=500),M49*1%,IF(AND(M49&gt;1,M49&lt;=50),M49*1.5%))))</f>
        <v>#VALUE!</v>
      </c>
      <c r="M65" s="302" t="e">
        <f t="shared" ca="1" si="1"/>
        <v>#VALUE!</v>
      </c>
      <c r="N65" s="2542" t="s">
        <v>1383</v>
      </c>
      <c r="Z65" s="1750"/>
      <c r="AI65" s="1751"/>
    </row>
    <row r="66" spans="1:35" ht="14.25" customHeight="1">
      <c r="A66" s="173" t="s">
        <v>327</v>
      </c>
      <c r="B66" s="174" t="s">
        <v>1386</v>
      </c>
      <c r="C66" s="2565"/>
      <c r="D66" s="174" t="s">
        <v>26</v>
      </c>
      <c r="E66" s="1336" t="s">
        <v>671</v>
      </c>
      <c r="F66" s="1806"/>
      <c r="G66" s="1806"/>
      <c r="H66" s="1808"/>
      <c r="I66" s="129"/>
      <c r="J66" s="3643"/>
      <c r="K66" s="1331" t="s">
        <v>1387</v>
      </c>
      <c r="L66" s="1331" t="e">
        <f ca="1">M49*0.5%</f>
        <v>#VALUE!</v>
      </c>
      <c r="M66" s="302" t="e">
        <f ca="1">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643"/>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643"/>
      <c r="K68" s="1331" t="s">
        <v>1392</v>
      </c>
      <c r="L68" s="1331" t="e">
        <f ca="1">IF(M49&gt;10000,M49*0.5%,IF(AND(M49&gt;5000,M49&lt;=10000),M49*1%,IF(AND(M49&gt;1000,M49&lt;=5000),M49*2%,IF(AND(M49&gt;200,M49&lt;=1000),M49*3%,M49*5%))))</f>
        <v>#VALUE!</v>
      </c>
      <c r="M68" s="302" t="e">
        <f ca="1">ROUND(L68,1)</f>
        <v>#VALUE!</v>
      </c>
      <c r="N68" s="2541"/>
      <c r="Z68" s="1750"/>
      <c r="AI68" s="1751"/>
    </row>
    <row r="69" spans="1:35" s="1770" customFormat="1" ht="16.5" customHeight="1">
      <c r="A69" s="1809"/>
      <c r="B69" s="1810"/>
      <c r="C69" s="1811"/>
      <c r="D69" s="1812"/>
      <c r="E69" s="1813"/>
      <c r="F69" s="1576"/>
      <c r="G69" s="1576"/>
      <c r="H69" s="1575"/>
      <c r="I69" s="1745"/>
      <c r="J69" s="3643"/>
      <c r="K69" s="1331" t="s">
        <v>1393</v>
      </c>
      <c r="L69" s="1331"/>
      <c r="M69" s="302" t="e">
        <f ca="1">ROUND(SUM(M63:M68),0)</f>
        <v>#VALUE!</v>
      </c>
      <c r="N69" s="2543" t="e">
        <f ca="1">M69/M49</f>
        <v>#VALUE!</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4.4" thickBot="1">
      <c r="A70" s="3605" t="s">
        <v>1394</v>
      </c>
      <c r="B70" s="3606"/>
      <c r="C70" s="3606"/>
      <c r="D70" s="3606"/>
      <c r="E70" s="3606"/>
      <c r="F70" s="3606"/>
      <c r="G70" s="3606"/>
      <c r="H70" s="360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3.8">
      <c r="A71" s="3584" t="s">
        <v>1375</v>
      </c>
      <c r="B71" s="3585"/>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3.8">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3.8">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28.8">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9" t="s">
        <v>1402</v>
      </c>
      <c r="F76" s="3553"/>
      <c r="G76" s="3553"/>
      <c r="H76" s="360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563" t="s">
        <v>1406</v>
      </c>
      <c r="F78" s="3564"/>
      <c r="G78" s="3564"/>
      <c r="H78" s="357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3.8">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4.4" thickBot="1">
      <c r="A83" s="3605" t="s">
        <v>1410</v>
      </c>
      <c r="B83" s="3606"/>
      <c r="C83" s="3606"/>
      <c r="D83" s="3606"/>
      <c r="E83" s="3606"/>
      <c r="F83" s="3606"/>
      <c r="G83" s="3606"/>
      <c r="H83" s="360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3.8">
      <c r="A84" s="3584" t="s">
        <v>1375</v>
      </c>
      <c r="B84" s="3585"/>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3.8">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3.8">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3.8">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4">
      <c r="A88" s="169" t="s">
        <v>331</v>
      </c>
      <c r="B88" s="170" t="s">
        <v>1412</v>
      </c>
      <c r="C88" s="2580"/>
      <c r="D88" s="2575"/>
      <c r="E88" s="193" t="s">
        <v>1413</v>
      </c>
      <c r="F88" s="2325"/>
      <c r="G88" s="194" t="s">
        <v>1414</v>
      </c>
      <c r="H88" s="1822"/>
      <c r="I88" s="1819"/>
      <c r="J88" s="2519"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3.8">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4">
      <c r="A90" s="169" t="s">
        <v>326</v>
      </c>
      <c r="B90" s="170" t="s">
        <v>1416</v>
      </c>
      <c r="C90" s="2580"/>
      <c r="D90" s="2575"/>
      <c r="E90" s="193" t="str">
        <f>IF(H88="-","土地取得成本中已包含该笔费用"," ")</f>
        <v xml:space="preserve"> </v>
      </c>
      <c r="F90" s="2325"/>
      <c r="G90" s="3645" t="s">
        <v>2124</v>
      </c>
      <c r="H90" s="3646"/>
      <c r="I90" s="1819"/>
      <c r="J90" s="2519"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63" t="s">
        <v>1419</v>
      </c>
      <c r="F91" s="3564"/>
      <c r="G91" s="356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63" t="s">
        <v>1422</v>
      </c>
      <c r="F92" s="3564"/>
      <c r="G92" s="3564"/>
      <c r="H92" s="3573"/>
      <c r="I92" s="1819"/>
      <c r="J92" s="2520"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563" t="s">
        <v>1406</v>
      </c>
      <c r="F93" s="3564"/>
      <c r="G93" s="3564"/>
      <c r="H93" s="357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74" t="s">
        <v>1426</v>
      </c>
      <c r="F94" s="3575"/>
      <c r="G94" s="3575"/>
      <c r="H94" s="357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3.8">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7" t="s">
        <v>1428</v>
      </c>
      <c r="B100" s="3548"/>
      <c r="C100" s="3548"/>
      <c r="D100" s="3565"/>
      <c r="E100" s="3548" t="s">
        <v>1429</v>
      </c>
      <c r="F100" s="3548"/>
      <c r="G100" s="3548"/>
      <c r="H100" s="3565"/>
      <c r="I100" s="129"/>
    </row>
    <row r="101" spans="1:35" ht="18.75" customHeight="1">
      <c r="A101" s="3626" t="s">
        <v>1430</v>
      </c>
      <c r="B101" s="3627"/>
      <c r="C101" s="2583" t="str">
        <f>C4</f>
        <v>比较法-商业</v>
      </c>
      <c r="D101" s="2584" t="str">
        <f>D4</f>
        <v>收益法 (元)</v>
      </c>
      <c r="E101" s="3640" t="s">
        <v>1431</v>
      </c>
      <c r="F101" s="3597"/>
      <c r="G101" s="1825" t="s">
        <v>1432</v>
      </c>
      <c r="H101" s="2593" t="e">
        <f ca="1">H118</f>
        <v>#REF!</v>
      </c>
      <c r="I101" s="129"/>
    </row>
    <row r="102" spans="1:35" ht="18.75" customHeight="1">
      <c r="A102" s="3599" t="s">
        <v>1433</v>
      </c>
      <c r="B102" s="2582" t="s">
        <v>1432</v>
      </c>
      <c r="C102" s="2583">
        <f ca="1">IF(D32="楼面单价",ROUND(C19,0),C19)</f>
        <v>394.12920000000003</v>
      </c>
      <c r="D102" s="2584">
        <f ca="1">IF(D32="楼面单价",ROUND(D19,0),D19)</f>
        <v>227.5557</v>
      </c>
      <c r="E102" s="3640"/>
      <c r="F102" s="3597"/>
      <c r="G102" s="1825" t="s">
        <v>1434</v>
      </c>
      <c r="H102" s="2553" t="e">
        <f ca="1">I118</f>
        <v>#REF!</v>
      </c>
      <c r="I102" s="129"/>
    </row>
    <row r="103" spans="1:35" ht="42.75" customHeight="1">
      <c r="A103" s="3599"/>
      <c r="B103" s="2582" t="s">
        <v>1434</v>
      </c>
      <c r="C103" s="2585">
        <f ca="1">C20</f>
        <v>45297</v>
      </c>
      <c r="D103" s="2586">
        <f ca="1">D20</f>
        <v>26153</v>
      </c>
      <c r="E103" s="3634" t="s">
        <v>1435</v>
      </c>
      <c r="F103" s="3635"/>
      <c r="G103" s="1826" t="s">
        <v>1436</v>
      </c>
      <c r="H103" s="2593">
        <f>IF(D36="正常操作",H104+H105+H106,H105+H106)</f>
        <v>0</v>
      </c>
      <c r="I103" s="129"/>
    </row>
    <row r="104" spans="1:35" ht="18.75" customHeight="1">
      <c r="A104" s="3599"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600"/>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6" t="str">
        <f>IF(项目基本情况!E8="已注销","——","3.房地产抵押价值")</f>
        <v>3.房地产抵押价值</v>
      </c>
      <c r="F107" s="3597"/>
      <c r="G107" s="1825" t="s">
        <v>1432</v>
      </c>
      <c r="H107" s="2593" t="e">
        <f ca="1">IF(E107="——","——",H101-H103)</f>
        <v>#REF!</v>
      </c>
      <c r="I107" s="129"/>
    </row>
    <row r="108" spans="1:35" ht="18.75" customHeight="1">
      <c r="A108" s="129"/>
      <c r="B108" s="129"/>
      <c r="C108" s="129"/>
      <c r="D108" s="129"/>
      <c r="E108" s="3596"/>
      <c r="F108" s="3597"/>
      <c r="G108" s="1825" t="s">
        <v>1434</v>
      </c>
      <c r="H108" s="2553">
        <f ca="1">IF(H107=H101,H102,ROUND(H107*10000/'数据-汇总表'!E3,0))</f>
        <v>0</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97"/>
      <c r="G109" s="1825" t="s">
        <v>1432</v>
      </c>
      <c r="H109" s="2596" t="str">
        <f>IF(E109="——","——",H101-H105-H106)</f>
        <v>——</v>
      </c>
      <c r="I109" s="129"/>
    </row>
    <row r="110" spans="1:35" ht="18.75" customHeight="1">
      <c r="A110" s="129"/>
      <c r="B110" s="129"/>
      <c r="C110" s="129"/>
      <c r="D110" s="129"/>
      <c r="E110" s="3596"/>
      <c r="F110" s="3597"/>
      <c r="G110" s="1825" t="s">
        <v>1434</v>
      </c>
      <c r="H110" s="2553" t="str">
        <f>IF(H109="——","——",ROUND(H109*10000/'数据-汇总表'!E3,0))</f>
        <v>——</v>
      </c>
      <c r="I110" s="129"/>
    </row>
    <row r="111" spans="1:35" ht="18.75" customHeight="1">
      <c r="A111" s="129"/>
      <c r="B111" s="129"/>
      <c r="C111" s="129"/>
      <c r="D111" s="129"/>
      <c r="E111" s="3628" t="str">
        <f>IF(项目基本情况!E9="抵押净值",IF(OR(项目基本情况!E8="已注销",项目基本情况!E8="房地产抵押价值"),"4.抵押净值","5.抵押净值"),"——")</f>
        <v>——</v>
      </c>
      <c r="F111" s="3598"/>
      <c r="G111" s="1825" t="s">
        <v>1432</v>
      </c>
      <c r="H111" s="2593" t="str">
        <f>IF(E111="——","——",N59)</f>
        <v>——</v>
      </c>
      <c r="I111" s="129"/>
    </row>
    <row r="112" spans="1:35" ht="18.75" customHeight="1" thickBot="1">
      <c r="A112" s="129"/>
      <c r="B112" s="129"/>
      <c r="C112" s="129"/>
      <c r="D112" s="129"/>
      <c r="E112" s="3629"/>
      <c r="F112" s="3630"/>
      <c r="G112" s="1828" t="s">
        <v>1434</v>
      </c>
      <c r="H112" s="2597" t="str">
        <f>IF(E111="——","——",N61)</f>
        <v>——</v>
      </c>
      <c r="I112" s="129"/>
    </row>
    <row r="113" spans="1:27" ht="18.75" customHeight="1">
      <c r="A113" s="129"/>
      <c r="B113" s="129"/>
      <c r="C113" s="129"/>
      <c r="D113" s="129"/>
      <c r="E113" s="3601" t="s">
        <v>1440</v>
      </c>
      <c r="F113" s="3601"/>
      <c r="G113" s="3601"/>
      <c r="H113" s="3601"/>
      <c r="I113" s="129"/>
    </row>
    <row r="114" spans="1:27" ht="3.75" customHeight="1">
      <c r="A114" s="1745"/>
      <c r="B114" s="1745"/>
      <c r="C114" s="1745"/>
      <c r="D114" s="1745"/>
      <c r="E114" s="1807"/>
      <c r="F114" s="1807"/>
      <c r="G114" s="1807"/>
      <c r="H114" s="1807"/>
      <c r="I114" s="1745"/>
    </row>
    <row r="115" spans="1:27" ht="18.75" customHeight="1">
      <c r="A115" s="3611" t="s">
        <v>1442</v>
      </c>
      <c r="B115" s="3612"/>
      <c r="C115" s="3612"/>
      <c r="D115" s="3612"/>
      <c r="E115" s="3612"/>
      <c r="F115" s="3612"/>
      <c r="G115" s="3612"/>
      <c r="H115" s="3612"/>
      <c r="I115" s="3613"/>
    </row>
    <row r="116" spans="1:27" ht="27" customHeight="1">
      <c r="A116" s="3567" t="s">
        <v>1443</v>
      </c>
      <c r="B116" s="3602" t="s">
        <v>1444</v>
      </c>
      <c r="C116" s="3602" t="s">
        <v>1445</v>
      </c>
      <c r="D116" s="3615" t="s">
        <v>1446</v>
      </c>
      <c r="E116" s="3616"/>
      <c r="F116" s="3610" t="s">
        <v>1447</v>
      </c>
      <c r="G116" s="3610"/>
      <c r="H116" s="3567" t="s">
        <v>1448</v>
      </c>
      <c r="I116" s="3567"/>
    </row>
    <row r="117" spans="1:27" ht="18.75" customHeight="1">
      <c r="A117" s="3567"/>
      <c r="B117" s="3603"/>
      <c r="C117" s="3603"/>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87.01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67" t="s">
        <v>1452</v>
      </c>
      <c r="B119" s="3567"/>
      <c r="C119" s="3567"/>
      <c r="D119" s="3607" t="e">
        <f ca="1">NUMBERSTRING(INT(D118*10000),2)&amp;"元整"</f>
        <v>#REF!</v>
      </c>
      <c r="E119" s="3609"/>
      <c r="F119" s="3607" t="e">
        <f ca="1">NUMBERSTRING(INT(F118*10000),2)&amp;"元整"</f>
        <v>#REF!</v>
      </c>
      <c r="G119" s="3609"/>
      <c r="H119" s="3607" t="e">
        <f ca="1">NUMBERSTRING(INT(H118*10000),2)&amp;"元整"</f>
        <v>#REF!</v>
      </c>
      <c r="I119" s="3609"/>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7" t="s">
        <v>1452</v>
      </c>
      <c r="B121" s="3608"/>
      <c r="C121" s="3609"/>
      <c r="D121" s="3607" t="str">
        <f>IF(D120=0,"零元整",NUMBERSTRING(INT(D120*10000),2)&amp;"元整")</f>
        <v>零元整</v>
      </c>
      <c r="E121" s="3608"/>
      <c r="F121" s="3608"/>
      <c r="G121" s="3608"/>
      <c r="H121" s="3608"/>
      <c r="I121" s="3609"/>
      <c r="AA121" s="725"/>
    </row>
    <row r="122" spans="1:27" ht="18.75" customHeight="1">
      <c r="A122" s="3598" t="str">
        <f>IF(项目基本情况!B9="房地产市场价值","",MID(E107,3,LEN(E107)-2))</f>
        <v>房地产抵押价值</v>
      </c>
      <c r="B122" s="3598"/>
      <c r="C122" s="3598"/>
      <c r="D122" s="3631" t="e">
        <f ca="1">H107</f>
        <v>#REF!</v>
      </c>
      <c r="E122" s="3632"/>
      <c r="F122" s="3632"/>
      <c r="G122" s="3632"/>
      <c r="H122" s="3632"/>
      <c r="I122" s="3633"/>
      <c r="AA122" s="725"/>
    </row>
    <row r="123" spans="1:27" ht="18.75" customHeight="1">
      <c r="A123" s="3567" t="s">
        <v>1452</v>
      </c>
      <c r="B123" s="3567"/>
      <c r="C123" s="3567"/>
      <c r="D123" s="3607" t="e">
        <f ca="1">NUMBERSTRING(INT(D122*10000),2)&amp;"元整"</f>
        <v>#REF!</v>
      </c>
      <c r="E123" s="3608"/>
      <c r="F123" s="3608"/>
      <c r="G123" s="3608"/>
      <c r="H123" s="3608"/>
      <c r="I123" s="3609"/>
      <c r="AA123" s="725"/>
    </row>
    <row r="124" spans="1:27" ht="18.75" customHeight="1">
      <c r="A124" s="3598" t="str">
        <f>IF(项目基本情况!B9="房地产市场价值","",MID(E109,3,LEN(E109)-2))</f>
        <v/>
      </c>
      <c r="B124" s="3598"/>
      <c r="C124" s="3598"/>
      <c r="D124" s="3631" t="str">
        <f>H109</f>
        <v>——</v>
      </c>
      <c r="E124" s="3632"/>
      <c r="F124" s="3632"/>
      <c r="G124" s="3632"/>
      <c r="H124" s="3632"/>
      <c r="I124" s="3633"/>
      <c r="AA124" s="725"/>
    </row>
    <row r="125" spans="1:27" ht="18.75" customHeight="1">
      <c r="A125" s="3567" t="s">
        <v>1452</v>
      </c>
      <c r="B125" s="3567"/>
      <c r="C125" s="3567"/>
      <c r="D125" s="3607" t="e">
        <f>NUMBERSTRING(INT(D124*10000),2)&amp;"元整"</f>
        <v>#VALUE!</v>
      </c>
      <c r="E125" s="3608"/>
      <c r="F125" s="3608"/>
      <c r="G125" s="3608"/>
      <c r="H125" s="3608"/>
      <c r="I125" s="3609"/>
      <c r="AA125" s="725"/>
    </row>
    <row r="126" spans="1:27" ht="18.75" customHeight="1">
      <c r="A126" s="3598" t="str">
        <f>IF(项目基本情况!B9="房地产市场价值","",MID(E111,3,LEN(E111)-2))</f>
        <v/>
      </c>
      <c r="B126" s="3598"/>
      <c r="C126" s="3598"/>
      <c r="D126" s="3631" t="str">
        <f>H111</f>
        <v>——</v>
      </c>
      <c r="E126" s="3632"/>
      <c r="F126" s="3632"/>
      <c r="G126" s="3632"/>
      <c r="H126" s="3632"/>
      <c r="I126" s="3633"/>
      <c r="AA126" s="725"/>
    </row>
    <row r="127" spans="1:27" ht="18.75" customHeight="1">
      <c r="A127" s="3567" t="s">
        <v>1452</v>
      </c>
      <c r="B127" s="3567"/>
      <c r="C127" s="3567"/>
      <c r="D127" s="3607" t="e">
        <f>NUMBERSTRING(INT(D126*10000),2)&amp;"元整"</f>
        <v>#VALUE!</v>
      </c>
      <c r="E127" s="3608"/>
      <c r="F127" s="3608"/>
      <c r="G127" s="3608"/>
      <c r="H127" s="3608"/>
      <c r="I127" s="3609"/>
      <c r="AA127" s="725"/>
    </row>
    <row r="128" spans="1:27" ht="21.75" customHeight="1">
      <c r="A128" s="3614" t="s">
        <v>1453</v>
      </c>
      <c r="B128" s="3614"/>
      <c r="C128" s="3614"/>
      <c r="D128" s="3614"/>
      <c r="E128" s="3614"/>
      <c r="F128" s="3614"/>
      <c r="G128" s="3614"/>
      <c r="H128" s="3614"/>
      <c r="I128" s="3614"/>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8"/>
      <c r="C1" s="198"/>
      <c r="D1" s="198"/>
      <c r="E1" s="198"/>
      <c r="F1" s="198"/>
      <c r="G1" s="1125">
        <f>MATCH(B1,'数据-取费表'!A6:A16,0)+5</f>
        <v>7</v>
      </c>
    </row>
    <row r="2" spans="1:9" s="200" customFormat="1" ht="18" customHeight="1">
      <c r="A2" s="201" t="s">
        <v>1462</v>
      </c>
      <c r="B2" s="202">
        <f ca="1">IF(D2="——",C52,C52-E2)</f>
        <v>24495</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2815194</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17402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17402</v>
      </c>
      <c r="D8" s="222"/>
      <c r="E8" s="220"/>
      <c r="F8" s="221"/>
      <c r="G8" s="1854"/>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5"/>
      <c r="H9" s="1136"/>
      <c r="I9" s="1856"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87.01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87.01</v>
      </c>
      <c r="E19" s="211">
        <f>'数据-取费表'!B31</f>
        <v>200</v>
      </c>
      <c r="F19" s="231"/>
      <c r="G19" s="1854"/>
    </row>
    <row r="20" spans="1:7" s="214" customFormat="1" ht="13.5" customHeight="1">
      <c r="A20" s="255" t="s">
        <v>1493</v>
      </c>
      <c r="B20" s="210" t="s">
        <v>1494</v>
      </c>
      <c r="C20" s="232">
        <f ca="1">ROUND((C5+C19)*F20,0)</f>
        <v>348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1233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1221</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3550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3550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24441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87.01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7" t="s">
        <v>1544</v>
      </c>
    </row>
    <row r="43" spans="1:7" ht="13.5" customHeight="1">
      <c r="A43" s="780" t="s">
        <v>347</v>
      </c>
      <c r="B43" s="215" t="s">
        <v>1545</v>
      </c>
      <c r="C43" s="238">
        <f ca="1">ROUND(IF('数据-取费表'!B22&lt;=1,C39*F22*'数据-取费表'!B21/2,C39*(POWER((1+F22),'数据-取费表'!B21/2)-1)),0)</f>
        <v>0</v>
      </c>
      <c r="D43" s="238"/>
      <c r="E43" s="238"/>
      <c r="F43" s="239"/>
      <c r="G43" s="3648"/>
    </row>
    <row r="44" spans="1:7" ht="13.5" customHeight="1">
      <c r="A44" s="780" t="s">
        <v>348</v>
      </c>
      <c r="B44" s="215" t="s">
        <v>1546</v>
      </c>
      <c r="C44" s="238">
        <f ca="1">ROUND(IF('数据-取费表'!B22&lt;=1,C40*F22*'数据-取费表'!B21/2,C40*(POWER((1+F22),'数据-取费表'!B21/2)-1)),4)</f>
        <v>6.9999999999999999E-4</v>
      </c>
      <c r="D44" s="238"/>
      <c r="E44" s="238"/>
      <c r="F44" s="239"/>
      <c r="G44" s="3649"/>
    </row>
    <row r="45" spans="1:7" s="214" customFormat="1" ht="13.5" customHeight="1">
      <c r="A45" s="255" t="s">
        <v>1547</v>
      </c>
      <c r="B45" s="244" t="s">
        <v>1513</v>
      </c>
      <c r="C45" s="245">
        <f ca="1">C46</f>
        <v>9</v>
      </c>
      <c r="D45" s="235">
        <f ca="1">C47</f>
        <v>4.0000000000000001E-3</v>
      </c>
      <c r="E45" s="236" t="s">
        <v>1539</v>
      </c>
      <c r="F45" s="246">
        <f ca="1">F27</f>
        <v>0.2</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59</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54</v>
      </c>
      <c r="D51" s="232"/>
      <c r="E51" s="232"/>
      <c r="F51" s="264"/>
      <c r="G51" s="234" t="s">
        <v>1560</v>
      </c>
    </row>
    <row r="52" spans="1:7" s="208" customFormat="1" ht="16.8" thickBot="1">
      <c r="A52" s="265" t="s">
        <v>1561</v>
      </c>
      <c r="B52" s="266"/>
      <c r="C52" s="267">
        <f ca="1">C31+C51</f>
        <v>24495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北京市房地产抵押价值预评估</v>
      </c>
      <c r="C37" s="3464"/>
      <c r="D37" s="3464"/>
      <c r="E37" s="3464"/>
      <c r="F37" s="3464"/>
      <c r="G37" s="3464"/>
      <c r="H37" s="3464"/>
      <c r="I37" s="3464"/>
    </row>
    <row r="38" spans="1:9">
      <c r="A38" s="844"/>
      <c r="B38" s="844"/>
    </row>
    <row r="39" spans="1:9">
      <c r="A39" s="842" t="s">
        <v>371</v>
      </c>
      <c r="B39" s="842" t="s">
        <v>373</v>
      </c>
    </row>
    <row r="40" spans="1:9">
      <c r="A40" s="842"/>
      <c r="B40" s="1472">
        <f>项目基本情况!B5</f>
        <v>0</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c r="B46" s="1472" t="str">
        <f>项目基本情况!K4</f>
        <v>（注册号：0)、（注册号：0)</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62" activeCellId="1" sqref="F39:F48 G6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8"/>
      <c r="C1" s="1857"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58.484099999999998</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6722</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17402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17402</v>
      </c>
      <c r="D8" s="222"/>
      <c r="E8" s="220"/>
      <c r="F8" s="221"/>
      <c r="G8" s="1854"/>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17402</v>
      </c>
      <c r="D10" s="845">
        <f ca="1">IF(B1="",'数据-汇总表'!E6,IF(INDIRECT("'数据-取费表'!c"&amp;$G$1)="住宅",INDIRECT("'数据-取费表'!s"&amp;$G$1),INDIRECT("'数据-取费表'!k"&amp;$G$1)+INDIRECT("'数据-取费表'!s"&amp;$G$1)))</f>
        <v>87.01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17402</v>
      </c>
      <c r="D19" s="849">
        <f ca="1">D9+D10</f>
        <v>87.01</v>
      </c>
      <c r="E19" s="211">
        <f>'数据-取费表'!B31</f>
        <v>200</v>
      </c>
      <c r="F19" s="231"/>
      <c r="G19" s="1854"/>
    </row>
    <row r="20" spans="1:7" s="214" customFormat="1" ht="13.5" customHeight="1">
      <c r="A20" s="255" t="s">
        <v>1574</v>
      </c>
      <c r="B20" s="210" t="s">
        <v>1575</v>
      </c>
      <c r="C20" s="232">
        <f ca="1">ROUND((C5+C19)*F20,0)</f>
        <v>696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2466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1221</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1221</v>
      </c>
      <c r="D24" s="238"/>
      <c r="E24" s="238"/>
      <c r="F24" s="239"/>
      <c r="G24" s="240" t="s">
        <v>1586</v>
      </c>
    </row>
    <row r="25" spans="1:7" s="214" customFormat="1" ht="24">
      <c r="A25" s="780" t="s">
        <v>1476</v>
      </c>
      <c r="B25" s="215" t="s">
        <v>1587</v>
      </c>
      <c r="C25" s="1127">
        <f ca="1">ROUND(IF('数据-取费表'!B22&lt;=1,C20*F22*'数据-取费表'!B22/2,C20*(POWER((1+F22),'数据-取费表'!B22/2)-1)),0)</f>
        <v>24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7100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7100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48879</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426566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391545</v>
      </c>
      <c r="D34" s="217"/>
      <c r="E34" s="220"/>
      <c r="F34" s="257"/>
      <c r="G34" s="219"/>
    </row>
    <row r="35" spans="1:7" ht="13.5" customHeight="1">
      <c r="A35" s="780" t="s">
        <v>351</v>
      </c>
      <c r="B35" s="215" t="s">
        <v>1527</v>
      </c>
      <c r="C35" s="220">
        <f ca="1">ROUND(C34*F35,0)</f>
        <v>11746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17402</v>
      </c>
      <c r="D37" s="217">
        <f ca="1">D19</f>
        <v>87.01</v>
      </c>
      <c r="E37" s="249">
        <f>'数据-取费表'!B35</f>
        <v>200</v>
      </c>
      <c r="F37" s="259"/>
      <c r="G37" s="261"/>
    </row>
    <row r="38" spans="1:7" ht="13.5" customHeight="1">
      <c r="A38" s="780" t="s">
        <v>354</v>
      </c>
      <c r="B38" s="215" t="s">
        <v>1533</v>
      </c>
      <c r="C38" s="220">
        <f ca="1">ROUND(C34*F38,0)</f>
        <v>5873</v>
      </c>
      <c r="D38" s="220"/>
      <c r="E38" s="220"/>
      <c r="F38" s="259">
        <f>'数据-取费表'!B36</f>
        <v>1.4999999999999999E-2</v>
      </c>
      <c r="G38" s="219" t="s">
        <v>1528</v>
      </c>
    </row>
    <row r="39" spans="1:7" s="214" customFormat="1" ht="13.5" customHeight="1">
      <c r="A39" s="255" t="s">
        <v>1534</v>
      </c>
      <c r="B39" s="210" t="s">
        <v>1535</v>
      </c>
      <c r="C39" s="232">
        <f ca="1">ROUND(C33*F20,0)</f>
        <v>8531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15011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14717</v>
      </c>
      <c r="D42" s="238"/>
      <c r="E42" s="238"/>
      <c r="F42" s="239"/>
      <c r="G42" s="3647" t="s">
        <v>1591</v>
      </c>
    </row>
    <row r="43" spans="1:7" ht="13.5" customHeight="1">
      <c r="A43" s="780" t="s">
        <v>347</v>
      </c>
      <c r="B43" s="215" t="s">
        <v>1545</v>
      </c>
      <c r="C43" s="238">
        <f ca="1">ROUND(IF('数据-取费表'!B22&lt;=1,C39*F22*'数据-取费表'!B20/2,C39*(POWER((1+F22),'数据-取费表'!B20/2)-1)),0)</f>
        <v>294</v>
      </c>
      <c r="D43" s="238"/>
      <c r="E43" s="238"/>
      <c r="F43" s="239"/>
      <c r="G43" s="3648"/>
    </row>
    <row r="44" spans="1:7" ht="13.5" customHeight="1">
      <c r="A44" s="780" t="s">
        <v>348</v>
      </c>
      <c r="B44" s="215" t="s">
        <v>1546</v>
      </c>
      <c r="C44" s="238">
        <f ca="1">ROUND(IF('数据-取费表'!B22&lt;=1,C40*F22*'数据-取费表'!B20/2,C40*(POWER((1+F22),'数据-取费表'!B20/2)-1)),4)</f>
        <v>6.9999999999999999E-4</v>
      </c>
      <c r="D44" s="238"/>
      <c r="E44" s="238"/>
      <c r="F44" s="239"/>
      <c r="G44" s="3649"/>
    </row>
    <row r="45" spans="1:7" s="214" customFormat="1" ht="13.5" customHeight="1">
      <c r="A45" s="255" t="s">
        <v>1547</v>
      </c>
      <c r="B45" s="244" t="s">
        <v>1513</v>
      </c>
      <c r="C45" s="245">
        <f ca="1">C46</f>
        <v>87019</v>
      </c>
      <c r="D45" s="235">
        <f ca="1">C47</f>
        <v>4.0000000000000001E-3</v>
      </c>
      <c r="E45" s="236" t="s">
        <v>1539</v>
      </c>
      <c r="F45" s="246">
        <f ca="1">F27</f>
        <v>0.2</v>
      </c>
      <c r="G45" s="247" t="s">
        <v>1548</v>
      </c>
    </row>
    <row r="46" spans="1:7" s="214" customFormat="1" ht="13.5" customHeight="1">
      <c r="A46" s="780" t="s">
        <v>346</v>
      </c>
      <c r="B46" s="248" t="s">
        <v>1549</v>
      </c>
      <c r="C46" s="249">
        <f ca="1">ROUND((C33+C39)*F27,0)</f>
        <v>87019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582567</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535962</v>
      </c>
      <c r="D51" s="232"/>
      <c r="E51" s="232"/>
      <c r="F51" s="264"/>
      <c r="G51" s="234" t="s">
        <v>1560</v>
      </c>
    </row>
    <row r="52" spans="1:7" s="208" customFormat="1" ht="16.8" thickBot="1">
      <c r="A52" s="265" t="s">
        <v>1561</v>
      </c>
      <c r="B52" s="266"/>
      <c r="C52" s="267">
        <f ca="1">C31+C51</f>
        <v>584841</v>
      </c>
      <c r="D52" s="266"/>
      <c r="E52" s="266"/>
      <c r="F52" s="266"/>
      <c r="G52" s="268"/>
    </row>
    <row r="55" spans="1:7" ht="15">
      <c r="B55" s="270" t="s">
        <v>1562</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0"/>
      <c r="C1" s="1191"/>
      <c r="D1" s="1189"/>
      <c r="E1" s="2804"/>
      <c r="F1" s="2804"/>
      <c r="G1" s="2669"/>
      <c r="H1" s="2804"/>
      <c r="I1" s="2804"/>
      <c r="J1" s="2804"/>
      <c r="K1" s="2805">
        <f>MATCH(C1,'数据-取费表'!A6:A16,0)+5</f>
        <v>7</v>
      </c>
    </row>
    <row r="2" spans="1:33" ht="18" customHeight="1">
      <c r="A2" s="201" t="s">
        <v>1462</v>
      </c>
      <c r="B2" s="204">
        <f ca="1">C32</f>
        <v>20698</v>
      </c>
      <c r="C2" s="276" t="s">
        <v>1595</v>
      </c>
      <c r="D2" s="276"/>
      <c r="E2" s="2804"/>
      <c r="F2" s="2804"/>
      <c r="G2" s="2804"/>
      <c r="H2" s="2804"/>
      <c r="I2" s="2804"/>
      <c r="J2" s="2804"/>
      <c r="K2" s="2804"/>
    </row>
    <row r="3" spans="1:33" ht="18" customHeight="1" thickBot="1">
      <c r="A3" s="203" t="s">
        <v>1464</v>
      </c>
      <c r="B3" s="204">
        <f ca="1">ROUND(B2*10000/IF(C1="",'数据-汇总表'!E3,INDIRECT("'数据-取费表'!K"&amp;$K$1)),0)</f>
        <v>2378807</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8"/>
      <c r="D5" s="1858"/>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87.01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87.01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-17400</v>
      </c>
      <c r="D18" s="846"/>
      <c r="E18" s="21"/>
      <c r="F18" s="804"/>
      <c r="G18" s="1860"/>
      <c r="H18" s="1186"/>
      <c r="I18" s="1861"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87.01</v>
      </c>
      <c r="E20" s="21">
        <f>'数据-取费表'!B28</f>
        <v>200</v>
      </c>
      <c r="F20" s="804"/>
      <c r="G20" s="12"/>
      <c r="H20" s="809"/>
      <c r="I20" s="809"/>
      <c r="J20" s="809"/>
      <c r="K20" s="810"/>
    </row>
    <row r="21" spans="1:33" s="803" customFormat="1" ht="13.5" customHeight="1">
      <c r="A21" s="790" t="s">
        <v>357</v>
      </c>
      <c r="B21" s="813" t="s">
        <v>1628</v>
      </c>
      <c r="C21" s="814">
        <f ca="1">C16+C17+C18</f>
        <v>-17400</v>
      </c>
      <c r="D21" s="815"/>
      <c r="E21" s="281"/>
      <c r="F21" s="281"/>
      <c r="G21" s="131" t="s">
        <v>1629</v>
      </c>
      <c r="H21" s="807"/>
      <c r="I21" s="807"/>
      <c r="J21" s="807"/>
      <c r="K21" s="808"/>
    </row>
    <row r="22" spans="1:33" s="803" customFormat="1" ht="13.5" customHeight="1">
      <c r="A22" s="790" t="s">
        <v>1601</v>
      </c>
      <c r="B22" s="813" t="s">
        <v>1630</v>
      </c>
      <c r="C22" s="814">
        <f ca="1">ROUND(C21*F22,0)</f>
        <v>-348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1641</v>
      </c>
      <c r="B28" s="1863" t="s">
        <v>1642</v>
      </c>
      <c r="C28" s="287">
        <f ca="1">C30</f>
        <v>-3550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-3550</v>
      </c>
      <c r="D30" s="284"/>
      <c r="E30" s="285"/>
      <c r="F30" s="290"/>
      <c r="G30" s="131"/>
      <c r="H30" s="807"/>
      <c r="I30" s="807"/>
      <c r="J30" s="807"/>
      <c r="K30" s="808"/>
    </row>
    <row r="31" spans="1:33" s="803" customFormat="1" ht="13.5" customHeight="1" thickBot="1">
      <c r="A31" s="1864"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20698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3"/>
      <c r="C1" s="1377"/>
      <c r="D1" s="1360" t="s">
        <v>43</v>
      </c>
      <c r="E1" s="1361" t="s">
        <v>678</v>
      </c>
      <c r="F1" s="1061">
        <f ca="1">J53</f>
        <v>0</v>
      </c>
      <c r="G1" s="1376">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652" t="s">
        <v>694</v>
      </c>
      <c r="C6" s="1073">
        <f ca="1">ROUND(F6*F8*F7*(1-F9)/10000,0)</f>
        <v>0</v>
      </c>
      <c r="D6" s="155" t="s">
        <v>2104</v>
      </c>
      <c r="E6" s="302" t="s">
        <v>696</v>
      </c>
      <c r="F6" s="303">
        <f ca="1">INDIRECT("'数据-取费表'!u"&amp;$G$1)</f>
        <v>0</v>
      </c>
      <c r="G6" s="1382"/>
      <c r="H6" s="1068" t="s">
        <v>398</v>
      </c>
      <c r="I6" s="3652" t="s">
        <v>694</v>
      </c>
      <c r="J6" s="301">
        <f ca="1">ROUND(M6*M8*M7*(1-M9)/10000,0)</f>
        <v>0</v>
      </c>
      <c r="K6" s="155" t="s">
        <v>2103</v>
      </c>
      <c r="L6" s="302" t="s">
        <v>696</v>
      </c>
      <c r="M6" s="303">
        <f ca="1">INDIRECT("'数据-取费表'!z"&amp;$G$1)</f>
        <v>0</v>
      </c>
    </row>
    <row r="7" spans="1:37" ht="18" customHeight="1">
      <c r="A7" s="1072"/>
      <c r="B7" s="3653"/>
      <c r="C7" s="1074"/>
      <c r="D7" s="307"/>
      <c r="E7" s="1075" t="s">
        <v>697</v>
      </c>
      <c r="F7" s="303">
        <f ca="1">IF(INDIRECT("'数据-取费表'!ah"&amp;$G$1)="",INDIRECT("'数据-取费表'!k"&amp;$G$1),INDIRECT("'数据-取费表'!ah"&amp;$G$1))</f>
        <v>0</v>
      </c>
      <c r="G7" s="1382"/>
      <c r="H7" s="304"/>
      <c r="I7" s="3653"/>
      <c r="J7" s="306"/>
      <c r="K7" s="307"/>
      <c r="L7" s="302" t="s">
        <v>697</v>
      </c>
      <c r="M7" s="303">
        <f ca="1">F7</f>
        <v>0</v>
      </c>
    </row>
    <row r="8" spans="1:37" ht="18" customHeight="1">
      <c r="A8" s="304"/>
      <c r="B8" s="3653"/>
      <c r="C8" s="306"/>
      <c r="D8" s="307"/>
      <c r="E8" s="302" t="s">
        <v>698</v>
      </c>
      <c r="F8" s="303">
        <f ca="1">INDIRECT("'数据-取费表'!ai"&amp;$G$1)</f>
        <v>0</v>
      </c>
      <c r="G8" s="1382"/>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2"/>
      <c r="H9" s="304"/>
      <c r="I9" s="3654"/>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2112</v>
      </c>
      <c r="E10" s="313" t="s">
        <v>701</v>
      </c>
      <c r="F10" s="1115"/>
      <c r="G10" s="1382"/>
      <c r="H10" s="1068" t="s">
        <v>402</v>
      </c>
      <c r="I10" s="1363" t="s">
        <v>700</v>
      </c>
      <c r="J10" s="301">
        <f ca="1">ROUND(IF(M10="押一",J6/12*M11,IF(M10="押二",J6/12*2*M11,IF(M10="押三",J6/12*3*M11,J11*M11))),0)</f>
        <v>0</v>
      </c>
      <c r="K10" s="1364" t="s">
        <v>2111</v>
      </c>
      <c r="L10" s="313" t="s">
        <v>701</v>
      </c>
      <c r="M10" s="1115"/>
    </row>
    <row r="11" spans="1:37" ht="18" customHeight="1">
      <c r="A11" s="308"/>
      <c r="B11" s="1365" t="s">
        <v>679</v>
      </c>
      <c r="C11" s="959"/>
      <c r="D11" s="1366"/>
      <c r="E11" s="313" t="s">
        <v>702</v>
      </c>
      <c r="F11" s="314">
        <f ca="1">'数据-取费表'!B39</f>
        <v>1.4999999999999999E-2</v>
      </c>
      <c r="G11" s="1382"/>
      <c r="H11" s="1076"/>
      <c r="I11" s="1365" t="s">
        <v>679</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2" t="s">
        <v>397</v>
      </c>
      <c r="B14" s="302" t="s">
        <v>707</v>
      </c>
      <c r="C14" s="318">
        <f ca="1">INDIRECT("'数据-取费表'!m"&amp;$G$1)+INDIRECT("'数据-取费表'!t"&amp;$G$1)</f>
        <v>0</v>
      </c>
      <c r="D14" s="1343" t="s">
        <v>708</v>
      </c>
      <c r="E14" s="1340"/>
      <c r="F14" s="319"/>
      <c r="G14" s="1382"/>
      <c r="H14" s="982" t="s">
        <v>398</v>
      </c>
      <c r="I14" s="302" t="s">
        <v>709</v>
      </c>
      <c r="J14" s="21">
        <f ca="1">C29</f>
        <v>0</v>
      </c>
      <c r="K14" s="12"/>
      <c r="L14" s="807"/>
      <c r="M14" s="808"/>
    </row>
    <row r="15" spans="1:37" s="1395" customFormat="1" ht="18" customHeight="1" thickBot="1">
      <c r="A15" s="982"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2" t="s">
        <v>681</v>
      </c>
      <c r="B17" s="302" t="s">
        <v>716</v>
      </c>
      <c r="C17" s="21">
        <f ca="1">ROUND(F17*(F43+INDIRECT("'数据-取费表'!S"&amp;$G$1))/10000,0)</f>
        <v>0</v>
      </c>
      <c r="D17" s="302" t="s">
        <v>717</v>
      </c>
      <c r="E17" s="302" t="s">
        <v>718</v>
      </c>
      <c r="F17" s="23">
        <f>'数据-取费表'!B35</f>
        <v>200</v>
      </c>
      <c r="G17" s="1394"/>
      <c r="H17" s="982"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0</v>
      </c>
      <c r="D18" s="302" t="s">
        <v>711</v>
      </c>
      <c r="E18" s="302" t="s">
        <v>712</v>
      </c>
      <c r="F18" s="322">
        <f>'数据-取费表'!B36</f>
        <v>1.4999999999999999E-2</v>
      </c>
      <c r="G18" s="1394"/>
      <c r="H18" s="982"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0</v>
      </c>
      <c r="D19" s="131" t="s">
        <v>726</v>
      </c>
      <c r="E19" s="1358"/>
      <c r="F19" s="23"/>
      <c r="G19" s="1382"/>
      <c r="H19" s="982" t="s">
        <v>399</v>
      </c>
      <c r="I19" s="302" t="s">
        <v>727</v>
      </c>
      <c r="J19" s="21">
        <f ca="1">IF(K19="按租金收入计税",ROUND(J6*M19/(1+'数据-取费表'!C42),2),ROUND(C29*M19*0.7,2))</f>
        <v>0</v>
      </c>
      <c r="K19" s="1368" t="s">
        <v>3335</v>
      </c>
      <c r="L19" s="302" t="s">
        <v>712</v>
      </c>
      <c r="M19" s="322">
        <f>IF(K19="按租金收入计税",'数据-取费表'!B51,'数据-取费表'!B50)</f>
        <v>0.12</v>
      </c>
    </row>
    <row r="20" spans="1:37" s="1395" customFormat="1" ht="18" customHeight="1">
      <c r="A20" s="982" t="s">
        <v>402</v>
      </c>
      <c r="B20" s="302" t="s">
        <v>728</v>
      </c>
      <c r="C20" s="21">
        <f ca="1">ROUND(C19*F20,0)</f>
        <v>0</v>
      </c>
      <c r="D20" s="323" t="s">
        <v>729</v>
      </c>
      <c r="E20" s="302" t="s">
        <v>712</v>
      </c>
      <c r="F20" s="322">
        <f>'数据-取费表'!B37</f>
        <v>0.02</v>
      </c>
      <c r="G20" s="1394"/>
      <c r="H20" s="982"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ROUND(J14*M22,2)</f>
        <v>0</v>
      </c>
      <c r="K22" s="1342" t="s">
        <v>739</v>
      </c>
      <c r="L22" s="302" t="s">
        <v>712</v>
      </c>
      <c r="M22" s="328">
        <f ca="1">INDIRECT("'数据-取费表'!Ak"&amp;$G$1)</f>
        <v>0</v>
      </c>
    </row>
    <row r="23" spans="1:37" s="1395"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1358"/>
      <c r="F25" s="23"/>
      <c r="G25" s="1382"/>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2"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8" t="s">
        <v>3335</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2"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2"/>
      <c r="H38" s="2698"/>
      <c r="I38" s="1396"/>
      <c r="J38" s="1397"/>
      <c r="K38" s="2702"/>
      <c r="L38" s="2698"/>
      <c r="M38" s="2698"/>
    </row>
    <row r="39" spans="1:18" ht="24.6" customHeight="1" thickTop="1">
      <c r="A39" s="1078" t="s">
        <v>394</v>
      </c>
      <c r="B39" s="1093" t="s">
        <v>772</v>
      </c>
      <c r="C39" s="310">
        <f ca="1">C5-C30</f>
        <v>0</v>
      </c>
      <c r="D39" s="1094" t="s">
        <v>773</v>
      </c>
      <c r="E39" s="1095"/>
      <c r="F39" s="1096"/>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90"/>
      <c r="I41" s="1396"/>
      <c r="J41" s="1397"/>
      <c r="K41" s="2542"/>
      <c r="L41" s="1190"/>
      <c r="M41" s="1190"/>
    </row>
    <row r="42" spans="1:18" ht="18" customHeight="1">
      <c r="A42" s="308"/>
      <c r="B42" s="309"/>
      <c r="C42" s="310"/>
      <c r="D42" s="327"/>
      <c r="E42" s="302" t="s">
        <v>766</v>
      </c>
      <c r="F42" s="312">
        <f ca="1">INDIRECT("'数据-取费表'!v"&amp;$G$1)</f>
        <v>0</v>
      </c>
      <c r="G42" s="1382"/>
      <c r="H42" s="1190"/>
      <c r="I42" s="1396"/>
      <c r="J42" s="1397"/>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3" t="s">
        <v>808</v>
      </c>
      <c r="P45" s="1459"/>
      <c r="Q45" s="1459"/>
      <c r="R45" s="1459"/>
    </row>
    <row r="46" spans="1:18" s="1382" customFormat="1" ht="13.8"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8" thickBot="1">
      <c r="A47" s="946" t="s">
        <v>687</v>
      </c>
      <c r="B47" s="978" t="s">
        <v>688</v>
      </c>
      <c r="C47" s="1116" t="s">
        <v>689</v>
      </c>
      <c r="D47" s="978" t="s">
        <v>690</v>
      </c>
      <c r="E47" s="1057" t="s">
        <v>691</v>
      </c>
      <c r="F47" s="1058"/>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40.200000000000003" thickBot="1">
      <c r="A48" s="1109" t="s">
        <v>438</v>
      </c>
      <c r="B48" s="300" t="s">
        <v>692</v>
      </c>
      <c r="C48" s="1357">
        <f ca="1">C49+C53+C55</f>
        <v>0</v>
      </c>
      <c r="D48" s="1111"/>
      <c r="E48" s="1112"/>
      <c r="F48" s="962"/>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8" thickBot="1">
      <c r="A49" s="975" t="s">
        <v>439</v>
      </c>
      <c r="B49" s="1369" t="s">
        <v>779</v>
      </c>
      <c r="C49" s="1113">
        <f ca="1">ROUND(F49*F51*F50*(1-F52)/10000,0)</f>
        <v>0</v>
      </c>
      <c r="D49" s="1054" t="s">
        <v>2105</v>
      </c>
      <c r="E49" s="1370" t="s">
        <v>780</v>
      </c>
      <c r="F49" s="1059"/>
      <c r="G49" s="1423"/>
      <c r="H49" s="723"/>
      <c r="I49" s="1419" t="s">
        <v>823</v>
      </c>
      <c r="J49" s="1424"/>
      <c r="K49" s="1421" t="s">
        <v>824</v>
      </c>
      <c r="L49" s="1425"/>
      <c r="O49" s="1426" t="s">
        <v>405</v>
      </c>
      <c r="P49" s="1417" t="s">
        <v>825</v>
      </c>
      <c r="Q49" s="1418">
        <f ca="1">C29</f>
        <v>0</v>
      </c>
      <c r="R49" s="1418" t="s">
        <v>818</v>
      </c>
    </row>
    <row r="50" spans="1:18" s="1382" customFormat="1" ht="13.8" thickBot="1">
      <c r="A50" s="976"/>
      <c r="B50" s="979"/>
      <c r="C50" s="1117"/>
      <c r="D50" s="953"/>
      <c r="E50" s="1055" t="s">
        <v>697</v>
      </c>
      <c r="F50" s="1056">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8" thickBot="1">
      <c r="A51" s="977"/>
      <c r="B51" s="979"/>
      <c r="C51" s="980"/>
      <c r="D51" s="953"/>
      <c r="E51" s="981"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8" thickBot="1">
      <c r="A52" s="977"/>
      <c r="B52" s="979"/>
      <c r="C52" s="980"/>
      <c r="D52" s="953"/>
      <c r="E52" s="981" t="s">
        <v>699</v>
      </c>
      <c r="F52" s="1053"/>
      <c r="I52" s="1435" t="s">
        <v>832</v>
      </c>
      <c r="J52" s="1436"/>
      <c r="K52" s="1435" t="s">
        <v>833</v>
      </c>
      <c r="L52" s="1436"/>
      <c r="O52" s="1426" t="s">
        <v>408</v>
      </c>
      <c r="P52" s="1417" t="s">
        <v>834</v>
      </c>
      <c r="Q52" s="1418">
        <f ca="1">J53</f>
        <v>0</v>
      </c>
      <c r="R52" s="1418" t="s">
        <v>835</v>
      </c>
    </row>
    <row r="53" spans="1:18" s="1382" customFormat="1" ht="36.6" thickBot="1">
      <c r="A53" s="1151" t="s">
        <v>440</v>
      </c>
      <c r="B53" s="1371" t="s">
        <v>700</v>
      </c>
      <c r="C53" s="316">
        <f ca="1">ROUND(IF(F53="押一",C49/12*F11,IF(F53="押二",C49/12*2*F11,IF(F53="押三",C49/12*3*F11,C54*F11))),0)</f>
        <v>0</v>
      </c>
      <c r="D53" s="1364" t="s">
        <v>2111</v>
      </c>
      <c r="E53" s="313" t="s">
        <v>701</v>
      </c>
      <c r="F53" s="1115"/>
      <c r="I53" s="1437" t="s">
        <v>836</v>
      </c>
      <c r="J53" s="2166">
        <f ca="1">IF(M47="住宅",IF(D1="——",MAX(J51,L48),MAX(J51,L48-'数据-取费表'!B24)),IF(D1="——",MIN(J51,L48),MIN(J51,L48-'数据-取费表'!B24)))</f>
        <v>0</v>
      </c>
      <c r="K53" s="3650" t="s">
        <v>837</v>
      </c>
      <c r="L53" s="3651"/>
      <c r="O53" s="1416" t="s">
        <v>409</v>
      </c>
      <c r="P53" s="1417" t="s">
        <v>838</v>
      </c>
      <c r="Q53" s="1418" t="e">
        <f ca="1">Q47+Q48</f>
        <v>#DIV/0!</v>
      </c>
      <c r="R53" s="1418" t="s">
        <v>410</v>
      </c>
    </row>
    <row r="54" spans="1:18" s="1382" customFormat="1" ht="24.6" thickBot="1">
      <c r="A54" s="1152"/>
      <c r="B54" s="1365" t="s">
        <v>679</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8"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7.200000000000003" thickTop="1" thickBot="1">
      <c r="A56" s="957">
        <v>2</v>
      </c>
      <c r="B56" s="958"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6" thickBot="1">
      <c r="A57" s="1449"/>
      <c r="B57" s="950"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6" thickBot="1">
      <c r="A58" s="315" t="s">
        <v>393</v>
      </c>
      <c r="B58" s="958" t="s">
        <v>714</v>
      </c>
      <c r="C58" s="316">
        <f ca="1">ROUND(C59+C64+C65+C66,0)</f>
        <v>0</v>
      </c>
      <c r="D58" s="960" t="s">
        <v>715</v>
      </c>
      <c r="E58" s="961"/>
      <c r="F58" s="962"/>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8" thickBot="1">
      <c r="A61" s="982" t="s">
        <v>781</v>
      </c>
      <c r="B61" s="950" t="s">
        <v>782</v>
      </c>
      <c r="C61" s="21">
        <f ca="1">IF(项目基本情况!B11="自然人","——",IF(D61="按租金收入计税",ROUND(C49*F61/(1+'数据-取费表'!C42),2),IF(D61="按房产原值计税",ROUND(C57*F61*0.7,2),INDIRECT("'数据-取费表'!Aj"&amp;$G$1))))</f>
        <v>0</v>
      </c>
      <c r="D61" s="1368" t="s">
        <v>3335</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2" t="s">
        <v>784</v>
      </c>
      <c r="B62" s="949" t="s">
        <v>785</v>
      </c>
      <c r="C62" s="22">
        <f ca="1">IF(项目基本情况!B11="自然人","——",ROUND(F62*F63/10000,2))</f>
        <v>0</v>
      </c>
      <c r="D62" s="965" t="s">
        <v>786</v>
      </c>
      <c r="E62" s="950"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8"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8" thickBot="1">
      <c r="A64" s="982" t="s">
        <v>789</v>
      </c>
      <c r="B64" s="950" t="s">
        <v>790</v>
      </c>
      <c r="C64" s="21">
        <f ca="1">ROUND(C57*F64,2)</f>
        <v>0</v>
      </c>
      <c r="D64" s="964" t="s">
        <v>791</v>
      </c>
      <c r="E64" s="950"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8" thickBot="1">
      <c r="A65" s="982" t="s">
        <v>792</v>
      </c>
      <c r="B65" s="950" t="s">
        <v>742</v>
      </c>
      <c r="C65" s="21">
        <f ca="1">ROUND(C56*F65,2)</f>
        <v>0</v>
      </c>
      <c r="D65" s="964" t="s">
        <v>743</v>
      </c>
      <c r="E65" s="950"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2" thickBot="1">
      <c r="A66" s="982" t="s">
        <v>793</v>
      </c>
      <c r="B66" s="950" t="s">
        <v>728</v>
      </c>
      <c r="C66" s="21">
        <f ca="1">ROUND(C48*F66,2)</f>
        <v>0</v>
      </c>
      <c r="D66" s="964" t="s">
        <v>794</v>
      </c>
      <c r="E66" s="950" t="s">
        <v>712</v>
      </c>
      <c r="F66" s="312">
        <f t="shared" ca="1" si="0"/>
        <v>0</v>
      </c>
      <c r="O66" s="1416" t="s">
        <v>404</v>
      </c>
      <c r="P66" s="1417" t="s">
        <v>846</v>
      </c>
      <c r="Q66" s="1418" t="e">
        <f ca="1">L60</f>
        <v>#DIV/0!</v>
      </c>
      <c r="R66" s="1418" t="s">
        <v>869</v>
      </c>
    </row>
    <row r="67" spans="1:18" s="1382" customFormat="1" ht="24.6" thickBot="1">
      <c r="A67" s="957" t="s">
        <v>394</v>
      </c>
      <c r="B67" s="967" t="s">
        <v>752</v>
      </c>
      <c r="C67" s="316">
        <f ca="1">C48-C58</f>
        <v>0</v>
      </c>
      <c r="D67" s="963" t="s">
        <v>753</v>
      </c>
      <c r="E67" s="968"/>
      <c r="F67" s="969"/>
      <c r="O67" s="1426" t="s">
        <v>405</v>
      </c>
      <c r="P67" s="1417" t="s">
        <v>850</v>
      </c>
      <c r="Q67" s="1464">
        <f ca="1">L51</f>
        <v>0</v>
      </c>
      <c r="R67" s="1418" t="s">
        <v>870</v>
      </c>
    </row>
    <row r="68" spans="1:18" s="1382" customFormat="1" ht="16.2" thickBot="1">
      <c r="A68" s="947" t="s">
        <v>395</v>
      </c>
      <c r="B68" s="948" t="s">
        <v>774</v>
      </c>
      <c r="C68" s="301" t="e">
        <f ca="1">ROUND(C67*(1-((1+F70)/(1+F68))^F69)/(F68-F70),0)</f>
        <v>#DIV/0!</v>
      </c>
      <c r="D68" s="965" t="s">
        <v>758</v>
      </c>
      <c r="E68" s="950" t="s">
        <v>759</v>
      </c>
      <c r="F68" s="312">
        <f ca="1">F40</f>
        <v>0</v>
      </c>
      <c r="O68" s="1426" t="s">
        <v>406</v>
      </c>
      <c r="P68" s="1465" t="s">
        <v>871</v>
      </c>
      <c r="Q68" s="1418">
        <f ca="1">ROUND(Q69-Q70*Q71,0)</f>
        <v>0</v>
      </c>
      <c r="R68" s="1418" t="s">
        <v>414</v>
      </c>
    </row>
    <row r="69" spans="1:18" s="1382" customFormat="1" ht="13.8" thickBot="1">
      <c r="A69" s="951"/>
      <c r="B69" s="952"/>
      <c r="C69" s="306"/>
      <c r="D69" s="970" t="s">
        <v>762</v>
      </c>
      <c r="E69" s="950" t="s">
        <v>763</v>
      </c>
      <c r="F69" s="333">
        <f ca="1">F41</f>
        <v>0</v>
      </c>
      <c r="O69" s="1426" t="s">
        <v>411</v>
      </c>
      <c r="P69" s="1465" t="s">
        <v>872</v>
      </c>
      <c r="Q69" s="1418">
        <f ca="1">C39</f>
        <v>0</v>
      </c>
      <c r="R69" s="1418" t="s">
        <v>818</v>
      </c>
    </row>
    <row r="70" spans="1:18" s="1382" customFormat="1" ht="13.8" thickBot="1">
      <c r="A70" s="954"/>
      <c r="B70" s="955"/>
      <c r="C70" s="310"/>
      <c r="D70" s="966"/>
      <c r="E70" s="950" t="s">
        <v>766</v>
      </c>
      <c r="F70" s="1053"/>
      <c r="O70" s="1426" t="s">
        <v>412</v>
      </c>
      <c r="P70" s="1465" t="s">
        <v>873</v>
      </c>
      <c r="Q70" s="1418">
        <f ca="1">C13</f>
        <v>0</v>
      </c>
      <c r="R70" s="1418" t="s">
        <v>818</v>
      </c>
    </row>
    <row r="71" spans="1:18" s="1382" customFormat="1" ht="13.8" thickBot="1">
      <c r="A71" s="971" t="s">
        <v>396</v>
      </c>
      <c r="B71" s="972" t="s">
        <v>776</v>
      </c>
      <c r="C71" s="336" t="e">
        <f ca="1">ROUND(C68*10000/F71,0)</f>
        <v>#DIV/0!</v>
      </c>
      <c r="D71" s="973" t="s">
        <v>777</v>
      </c>
      <c r="E71" s="974" t="s">
        <v>778</v>
      </c>
      <c r="F71" s="339">
        <f ca="1">F43</f>
        <v>0</v>
      </c>
      <c r="O71" s="1426" t="s">
        <v>413</v>
      </c>
      <c r="P71" s="1465" t="s">
        <v>874</v>
      </c>
      <c r="Q71" s="1429">
        <f ca="1">C76</f>
        <v>0</v>
      </c>
      <c r="R71" s="1418"/>
    </row>
    <row r="72" spans="1:18" s="1382" customFormat="1" ht="13.8" thickBot="1">
      <c r="B72" s="726"/>
      <c r="C72" s="726"/>
      <c r="O72" s="1426" t="s">
        <v>407</v>
      </c>
      <c r="P72" s="1417" t="s">
        <v>852</v>
      </c>
      <c r="Q72" s="1429">
        <f>L52</f>
        <v>0</v>
      </c>
      <c r="R72" s="1418"/>
    </row>
    <row r="73" spans="1:18" ht="16.2" thickBot="1">
      <c r="A73" s="1382"/>
      <c r="B73" s="726"/>
      <c r="C73" s="726"/>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workbookViewId="0">
      <selection activeCell="D5" sqref="D5"/>
    </sheetView>
  </sheetViews>
  <sheetFormatPr defaultRowHeight="14.4"/>
  <cols>
    <col min="8" max="8" width="10.5546875" bestFit="1" customWidth="1"/>
    <col min="10" max="10" width="10.44140625" bestFit="1" customWidth="1"/>
  </cols>
  <sheetData>
    <row r="1" spans="1:16">
      <c r="A1" s="3458" t="s">
        <v>3431</v>
      </c>
      <c r="H1">
        <v>1</v>
      </c>
      <c r="I1">
        <v>0.75</v>
      </c>
      <c r="J1">
        <v>0.65</v>
      </c>
    </row>
    <row r="2" spans="1:16">
      <c r="A2" s="3458" t="s">
        <v>3437</v>
      </c>
      <c r="B2" s="3458" t="s">
        <v>3438</v>
      </c>
      <c r="C2" s="3458" t="s">
        <v>3434</v>
      </c>
      <c r="D2" s="3458" t="s">
        <v>3435</v>
      </c>
      <c r="E2" s="3458" t="s">
        <v>3429</v>
      </c>
      <c r="F2" s="3458" t="s">
        <v>3430</v>
      </c>
      <c r="H2" s="3458" t="s">
        <v>3443</v>
      </c>
      <c r="I2" s="3458" t="s">
        <v>3444</v>
      </c>
      <c r="J2" s="3458" t="s">
        <v>3445</v>
      </c>
      <c r="L2" s="3458" t="s">
        <v>3465</v>
      </c>
      <c r="M2" s="3458" t="s">
        <v>3467</v>
      </c>
    </row>
    <row r="3" spans="1:16">
      <c r="A3" s="3457" t="str">
        <f>典型户型修正!A25</f>
        <v>2-10</v>
      </c>
      <c r="B3">
        <f>典型户型修正!B25</f>
        <v>223.14</v>
      </c>
      <c r="C3">
        <f ca="1">典型户型修正!R25</f>
        <v>33419</v>
      </c>
      <c r="D3">
        <f ca="1">ROUND(C3*B3/10000,2)</f>
        <v>745.71</v>
      </c>
      <c r="E3">
        <v>774.99</v>
      </c>
      <c r="F3" s="3459">
        <f ca="1">E3/D3-1</f>
        <v>3.9264593474675147E-2</v>
      </c>
      <c r="H3">
        <f ca="1">H19</f>
        <v>44300.5631536605</v>
      </c>
      <c r="I3">
        <f ca="1">I19</f>
        <v>33225.422365245373</v>
      </c>
      <c r="J3">
        <f ca="1">J19</f>
        <v>28795.366049879325</v>
      </c>
      <c r="K3">
        <f ca="1">(H3*1+I3*1+J3*4)/6</f>
        <v>32117.908286403865</v>
      </c>
      <c r="L3" s="3458" t="s">
        <v>3474</v>
      </c>
      <c r="M3" s="3458" t="s">
        <v>3453</v>
      </c>
      <c r="N3" s="3458">
        <f ca="1">K3/K19</f>
        <v>0.81200000000000006</v>
      </c>
      <c r="O3">
        <f ca="1">K3*B3/10000</f>
        <v>716.67900550281581</v>
      </c>
      <c r="P3" s="3460">
        <f ca="1">E3/O3-1</f>
        <v>8.1362777546795551E-2</v>
      </c>
    </row>
    <row r="4" spans="1:16">
      <c r="A4" s="3457" t="str">
        <f>典型户型修正!A29</f>
        <v>10-18</v>
      </c>
      <c r="B4">
        <f>典型户型修正!B29</f>
        <v>153.22</v>
      </c>
      <c r="C4">
        <f ca="1">典型户型修正!R29</f>
        <v>37005</v>
      </c>
      <c r="D4">
        <f ca="1">ROUND(C4*B4/10000,2)</f>
        <v>566.99</v>
      </c>
      <c r="E4">
        <v>596.37</v>
      </c>
      <c r="F4" s="3459">
        <f t="shared" ref="F4:F5" ca="1" si="0">E4/D4-1</f>
        <v>5.1817492371999396E-2</v>
      </c>
      <c r="H4">
        <f ca="1">H19</f>
        <v>44300.5631536605</v>
      </c>
      <c r="I4">
        <f ca="1">I19</f>
        <v>33225.422365245373</v>
      </c>
      <c r="K4">
        <f ca="1">AVERAGE(H4:I4)*0.95</f>
        <v>36824.843121480291</v>
      </c>
      <c r="L4" s="3458" t="s">
        <v>3446</v>
      </c>
      <c r="M4" s="3458" t="s">
        <v>3448</v>
      </c>
      <c r="N4" s="3458">
        <f ca="1">K4/K19</f>
        <v>0.93100000000000005</v>
      </c>
      <c r="O4">
        <f ca="1">K4*B4/10000</f>
        <v>564.23024630732095</v>
      </c>
      <c r="P4" s="3460">
        <f ca="1">E4/O4-1</f>
        <v>5.6962124776227308E-2</v>
      </c>
    </row>
    <row r="5" spans="1:16">
      <c r="B5">
        <f>SUM(B3:B4)</f>
        <v>376.36</v>
      </c>
      <c r="C5">
        <f ca="1">D5/B5*10000</f>
        <v>34878.83940907642</v>
      </c>
      <c r="D5">
        <f ca="1">SUM(D3:D4)</f>
        <v>1312.7</v>
      </c>
      <c r="E5">
        <f>SUM(E3:E4)</f>
        <v>1371.3600000000001</v>
      </c>
      <c r="F5" s="3459">
        <f t="shared" ca="1" si="0"/>
        <v>4.4686523958254121E-2</v>
      </c>
    </row>
    <row r="10" spans="1:16">
      <c r="A10" s="3458" t="s">
        <v>3432</v>
      </c>
    </row>
    <row r="11" spans="1:16">
      <c r="A11" s="3458" t="s">
        <v>3437</v>
      </c>
      <c r="B11" s="3458" t="s">
        <v>3438</v>
      </c>
      <c r="C11" s="3458" t="s">
        <v>3434</v>
      </c>
      <c r="D11" s="3458" t="s">
        <v>3435</v>
      </c>
      <c r="E11" s="3458" t="s">
        <v>3429</v>
      </c>
      <c r="F11" s="3458" t="s">
        <v>3430</v>
      </c>
    </row>
    <row r="12" spans="1:16">
      <c r="A12" s="3457" t="str">
        <f>典型户型修正!A26</f>
        <v>3-4</v>
      </c>
      <c r="B12">
        <f>典型户型修正!B26</f>
        <v>201.95</v>
      </c>
      <c r="C12">
        <f ca="1">典型户型修正!R26</f>
        <v>39550</v>
      </c>
      <c r="D12">
        <f ca="1">ROUND(C12*B12/10000,2)</f>
        <v>798.71</v>
      </c>
      <c r="E12">
        <v>867.92</v>
      </c>
      <c r="F12" s="3459">
        <f ca="1">E12/D12-1</f>
        <v>8.6652226715578706E-2</v>
      </c>
      <c r="H12">
        <f ca="1">H19</f>
        <v>44300.5631536605</v>
      </c>
      <c r="I12">
        <f ca="1">I19</f>
        <v>33225.422365245373</v>
      </c>
      <c r="K12">
        <f t="shared" ref="K12:K13" ca="1" si="1">AVERAGE(H12:I12)</f>
        <v>38762.992759452936</v>
      </c>
      <c r="L12" s="3458" t="s">
        <v>3466</v>
      </c>
      <c r="M12" s="3458" t="s">
        <v>3448</v>
      </c>
      <c r="N12" s="3458">
        <f ca="1">K12/K19</f>
        <v>0.98</v>
      </c>
      <c r="O12">
        <f t="shared" ref="O12:O13" ca="1" si="2">K12*B12/10000</f>
        <v>782.81863877715193</v>
      </c>
      <c r="P12" s="3460">
        <f t="shared" ref="P12:P13" ca="1" si="3">E12/O12-1</f>
        <v>0.10871146521981845</v>
      </c>
    </row>
    <row r="13" spans="1:16">
      <c r="A13" s="3457" t="str">
        <f>典型户型修正!A27</f>
        <v>4-14</v>
      </c>
      <c r="B13">
        <f>典型户型修正!B27</f>
        <v>162.37</v>
      </c>
      <c r="C13">
        <f ca="1">典型户型修正!R27</f>
        <v>41116</v>
      </c>
      <c r="D13">
        <f ca="1">ROUND(C13*B13/10000,2)</f>
        <v>667.6</v>
      </c>
      <c r="E13">
        <v>709.24</v>
      </c>
      <c r="F13" s="3459">
        <f t="shared" ref="F13:F14" ca="1" si="4">E13/D13-1</f>
        <v>6.2372678250449454E-2</v>
      </c>
      <c r="H13">
        <f ca="1">H19</f>
        <v>44300.5631536605</v>
      </c>
      <c r="I13">
        <f ca="1">I19</f>
        <v>33225.422365245373</v>
      </c>
      <c r="K13">
        <f t="shared" ca="1" si="1"/>
        <v>38762.992759452936</v>
      </c>
      <c r="L13" s="3458" t="s">
        <v>3466</v>
      </c>
      <c r="M13" s="3458" t="s">
        <v>3448</v>
      </c>
      <c r="N13" s="3458">
        <f ca="1">K13/K19</f>
        <v>0.98</v>
      </c>
      <c r="O13">
        <f t="shared" ca="1" si="2"/>
        <v>629.39471343523735</v>
      </c>
      <c r="P13" s="3460">
        <f t="shared" ca="1" si="3"/>
        <v>0.1268604340970183</v>
      </c>
    </row>
    <row r="14" spans="1:16">
      <c r="B14">
        <f>SUM(B12:B13)</f>
        <v>364.32</v>
      </c>
      <c r="D14">
        <f ca="1">SUM(D12:D13)</f>
        <v>1466.31</v>
      </c>
      <c r="E14">
        <f>SUM(E12:E13)</f>
        <v>1577.1599999999999</v>
      </c>
      <c r="F14" s="3459">
        <f t="shared" ca="1" si="4"/>
        <v>7.5597929496491023E-2</v>
      </c>
    </row>
    <row r="17" spans="1:16">
      <c r="A17" s="3458" t="s">
        <v>3436</v>
      </c>
    </row>
    <row r="18" spans="1:16">
      <c r="A18" s="3458" t="s">
        <v>3437</v>
      </c>
      <c r="B18" s="3458" t="s">
        <v>3438</v>
      </c>
      <c r="C18" s="3458" t="s">
        <v>3434</v>
      </c>
      <c r="D18" s="3458" t="s">
        <v>3435</v>
      </c>
      <c r="E18" s="3458" t="s">
        <v>3429</v>
      </c>
      <c r="F18" s="3458" t="s">
        <v>3430</v>
      </c>
    </row>
    <row r="19" spans="1:16">
      <c r="A19" s="3457" t="str">
        <f>典型户型修正!A24</f>
        <v>2-9</v>
      </c>
      <c r="B19">
        <f>典型户型修正!B24</f>
        <v>87.01</v>
      </c>
      <c r="C19">
        <f ca="1">典型户型修正!R24</f>
        <v>39554</v>
      </c>
      <c r="D19">
        <f ca="1">ROUND(C19*B19/10000,2)</f>
        <v>344.16</v>
      </c>
      <c r="E19">
        <v>364.95</v>
      </c>
      <c r="F19" s="3459">
        <f ca="1">E19/D19-1</f>
        <v>6.0407949790794779E-2</v>
      </c>
      <c r="H19">
        <f ca="1">D19*10000/(B19*4/7+I1*B19*3/7)</f>
        <v>44300.5631536605</v>
      </c>
      <c r="I19">
        <f ca="1">H19*I1</f>
        <v>33225.422365245373</v>
      </c>
      <c r="J19">
        <f ca="1">H19*J1</f>
        <v>28795.366049879325</v>
      </c>
      <c r="K19">
        <f ca="1">(H19*B19*4/7+I19*B19*3/7)/B19</f>
        <v>39554.074244339732</v>
      </c>
      <c r="L19" s="3458" t="s">
        <v>3466</v>
      </c>
      <c r="M19" s="3458" t="s">
        <v>3452</v>
      </c>
      <c r="O19">
        <f t="shared" ref="O19:O20" ca="1" si="5">K19*B19/10000</f>
        <v>344.16</v>
      </c>
      <c r="P19" s="3460">
        <f t="shared" ref="P19:P21" ca="1" si="6">E19/O19-1</f>
        <v>6.0407949790794779E-2</v>
      </c>
    </row>
    <row r="20" spans="1:16">
      <c r="A20" s="3457" t="str">
        <f>典型户型修正!A28</f>
        <v>10-2</v>
      </c>
      <c r="B20">
        <f>典型户型修正!B28</f>
        <v>141.19999999999999</v>
      </c>
      <c r="C20">
        <f ca="1">典型户型修正!R28</f>
        <v>37988</v>
      </c>
      <c r="D20">
        <f ca="1">ROUND(C20*B20/10000,2)</f>
        <v>536.39</v>
      </c>
      <c r="E20">
        <v>572.54</v>
      </c>
      <c r="F20" s="3459">
        <f t="shared" ref="F20" ca="1" si="7">E20/D20-1</f>
        <v>6.7394992449523627E-2</v>
      </c>
      <c r="H20">
        <f ca="1">H19</f>
        <v>44300.5631536605</v>
      </c>
      <c r="I20">
        <f ca="1">I19</f>
        <v>33225.422365245373</v>
      </c>
      <c r="K20">
        <f ca="1">(H20*0.6+I20)/1.6</f>
        <v>37378.600160901042</v>
      </c>
      <c r="L20" s="3458" t="s">
        <v>3466</v>
      </c>
      <c r="M20" s="3458" t="s">
        <v>3450</v>
      </c>
      <c r="N20" s="3458">
        <f ca="1">K20/K19</f>
        <v>0.94499999999999984</v>
      </c>
      <c r="O20">
        <f t="shared" ca="1" si="5"/>
        <v>527.78583427192268</v>
      </c>
      <c r="P20" s="3460">
        <f t="shared" ca="1" si="6"/>
        <v>8.4796072236033693E-2</v>
      </c>
    </row>
    <row r="21" spans="1:16">
      <c r="A21" s="3458" t="s">
        <v>3433</v>
      </c>
      <c r="B21">
        <f>219.43</f>
        <v>219.43</v>
      </c>
      <c r="C21">
        <f>[2]结果表!$C$32</f>
        <v>25328</v>
      </c>
      <c r="D21">
        <f>ROUND(C21*B21/10000,2)</f>
        <v>555.77</v>
      </c>
      <c r="E21">
        <v>627.62</v>
      </c>
      <c r="F21" s="3459">
        <f t="shared" ref="F21" si="8">E21/D21-1</f>
        <v>0.1292800978822175</v>
      </c>
      <c r="J21">
        <f ca="1">J19</f>
        <v>28795.366049879325</v>
      </c>
      <c r="K21">
        <f ca="1">J21</f>
        <v>28795.366049879325</v>
      </c>
      <c r="L21" s="3458" t="s">
        <v>3466</v>
      </c>
      <c r="N21">
        <f ca="1">K21/K19</f>
        <v>0.72799999999999998</v>
      </c>
      <c r="O21">
        <f ca="1">K21*B21/10000</f>
        <v>631.85671723250209</v>
      </c>
      <c r="P21" s="3460">
        <f t="shared" ca="1" si="6"/>
        <v>-6.7051866617144906E-3</v>
      </c>
    </row>
    <row r="22" spans="1:16">
      <c r="B22">
        <f>SUM(B19:B21)</f>
        <v>447.64</v>
      </c>
      <c r="D22">
        <f ca="1">SUM(D19:D21)</f>
        <v>1436.32</v>
      </c>
      <c r="E22">
        <f>SUM(E19:E21)</f>
        <v>1565.1100000000001</v>
      </c>
      <c r="F22" s="3459">
        <f t="shared" ref="F22:F23" ca="1" si="9">E22/D22-1</f>
        <v>8.9666648100702018E-2</v>
      </c>
    </row>
    <row r="23" spans="1:16">
      <c r="D23">
        <f ca="1">D5+D14+D22</f>
        <v>4215.33</v>
      </c>
      <c r="E23">
        <f>E5+E14+E22</f>
        <v>4513.63</v>
      </c>
      <c r="F23" s="3459">
        <f t="shared" ca="1" si="9"/>
        <v>7.0765515392626543E-2</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5" sqref="A5:XFD1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9" width="2.2187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8" t="s">
        <v>2084</v>
      </c>
      <c r="D1" s="3659"/>
      <c r="E1" s="3659"/>
      <c r="F1" s="3659"/>
      <c r="G1" s="3659"/>
      <c r="H1" s="3659"/>
      <c r="I1" s="3659"/>
      <c r="J1" s="3659"/>
      <c r="K1" s="3659"/>
      <c r="L1" s="3659"/>
      <c r="M1" s="3659"/>
      <c r="N1" s="3659"/>
      <c r="O1" s="3659"/>
      <c r="P1" s="3659"/>
      <c r="Q1" s="3659"/>
      <c r="R1" s="3659"/>
      <c r="S1" s="3660"/>
      <c r="T1" s="983" t="s">
        <v>2085</v>
      </c>
    </row>
    <row r="2" spans="1:45" s="655" customFormat="1" ht="39.6">
      <c r="A2" s="984"/>
      <c r="B2" s="651" t="s">
        <v>2086</v>
      </c>
      <c r="C2" s="652" t="str">
        <f t="shared" ref="C2:L2" si="0">C3&amp;"(含)"&amp;"-"&amp;D3</f>
        <v>0(含)-200</v>
      </c>
      <c r="D2" s="653" t="str">
        <f t="shared" si="0"/>
        <v>200(含)-400</v>
      </c>
      <c r="E2" s="653" t="str">
        <f t="shared" si="0"/>
        <v>400(含)-600</v>
      </c>
      <c r="F2" s="653" t="str">
        <f t="shared" si="0"/>
        <v>600(含)-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400</v>
      </c>
      <c r="F3" s="1304">
        <v>600</v>
      </c>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f>'比较法-商业'!C104</f>
        <v>99</v>
      </c>
      <c r="D4" s="989">
        <f>'比较法-商业'!D104</f>
        <v>100</v>
      </c>
      <c r="E4" s="989">
        <f>'比较法-商业'!E104</f>
        <v>99</v>
      </c>
      <c r="F4" s="989">
        <f>'比较法-商业'!F104</f>
        <v>98</v>
      </c>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idden="1">
      <c r="A5" s="994"/>
      <c r="B5" s="3461" t="s">
        <v>3454</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hidden="1"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hidden="1">
      <c r="A7" s="994"/>
      <c r="B7" s="1335"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hidden="1"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idden="1">
      <c r="A9" s="994"/>
      <c r="B9" s="1335"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hidden="1"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3461" t="s">
        <v>3469</v>
      </c>
      <c r="C11" s="3462" t="s">
        <v>3470</v>
      </c>
      <c r="D11" s="3463" t="s">
        <v>3471</v>
      </c>
      <c r="E11" s="996"/>
      <c r="F11" s="996"/>
      <c r="G11" s="996"/>
      <c r="H11" s="996"/>
      <c r="I11" s="996"/>
      <c r="J11" s="996"/>
      <c r="K11" s="996"/>
      <c r="L11" s="996"/>
      <c r="M11" s="997"/>
      <c r="N11" s="1001"/>
      <c r="O11" s="1002"/>
      <c r="P11" s="1003"/>
      <c r="Q11" s="1004"/>
      <c r="R11" s="1005"/>
      <c r="S11" s="1006"/>
      <c r="T11" s="998">
        <v>5</v>
      </c>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95</v>
      </c>
      <c r="E12" s="902">
        <f t="shared" ref="E12:S12" si="10">D12-$T11</f>
        <v>90</v>
      </c>
      <c r="F12" s="902">
        <f t="shared" si="10"/>
        <v>85</v>
      </c>
      <c r="G12" s="902">
        <f t="shared" si="10"/>
        <v>80</v>
      </c>
      <c r="H12" s="902">
        <f t="shared" si="10"/>
        <v>75</v>
      </c>
      <c r="I12" s="902">
        <f t="shared" si="10"/>
        <v>70</v>
      </c>
      <c r="J12" s="902">
        <f t="shared" si="10"/>
        <v>65</v>
      </c>
      <c r="K12" s="902">
        <f t="shared" si="10"/>
        <v>60</v>
      </c>
      <c r="L12" s="902">
        <f t="shared" si="10"/>
        <v>55</v>
      </c>
      <c r="M12" s="902">
        <f t="shared" si="10"/>
        <v>50</v>
      </c>
      <c r="N12" s="902">
        <f t="shared" si="10"/>
        <v>45</v>
      </c>
      <c r="O12" s="902">
        <f t="shared" si="10"/>
        <v>40</v>
      </c>
      <c r="P12" s="902">
        <f t="shared" si="10"/>
        <v>35</v>
      </c>
      <c r="Q12" s="902">
        <f t="shared" si="10"/>
        <v>30</v>
      </c>
      <c r="R12" s="902">
        <f>Q12-$T11</f>
        <v>25</v>
      </c>
      <c r="S12" s="902">
        <f t="shared" si="10"/>
        <v>20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t="24">
      <c r="A13" s="994"/>
      <c r="B13" s="3461" t="s">
        <v>3455</v>
      </c>
      <c r="C13" s="3462" t="s">
        <v>3457</v>
      </c>
      <c r="D13" s="3463" t="s">
        <v>3459</v>
      </c>
      <c r="E13" s="3463" t="s">
        <v>3473</v>
      </c>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v>100</v>
      </c>
      <c r="D14" s="900">
        <v>90</v>
      </c>
      <c r="E14" s="900">
        <v>98</v>
      </c>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ht="25.2">
      <c r="A15" s="994"/>
      <c r="B15" s="3461" t="s">
        <v>3460</v>
      </c>
      <c r="C15" s="3462" t="s">
        <v>3462</v>
      </c>
      <c r="D15" s="3463" t="s">
        <v>3461</v>
      </c>
      <c r="E15" s="996" t="s">
        <v>3463</v>
      </c>
      <c r="F15" s="996" t="s">
        <v>3464</v>
      </c>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v>101</v>
      </c>
      <c r="D16" s="990">
        <v>100</v>
      </c>
      <c r="E16" s="990">
        <v>99</v>
      </c>
      <c r="F16" s="990">
        <v>98</v>
      </c>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2089</v>
      </c>
      <c r="B17" s="2147" t="s">
        <v>2090</v>
      </c>
      <c r="C17" s="3455" t="s">
        <v>3426</v>
      </c>
      <c r="D17" s="3456" t="s">
        <v>3428</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8" thickBot="1">
      <c r="A18" s="1019"/>
      <c r="B18" s="1020"/>
      <c r="C18" s="1021">
        <v>100</v>
      </c>
      <c r="D18" s="1022">
        <v>88</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2091</v>
      </c>
      <c r="E19" s="1338"/>
      <c r="F19" s="1338"/>
      <c r="G19" s="1338"/>
      <c r="H19" s="1058"/>
      <c r="I19" s="159"/>
      <c r="J19" s="159"/>
      <c r="K19" s="159"/>
      <c r="L19" s="159"/>
      <c r="M19" s="159"/>
      <c r="N19" s="159"/>
      <c r="O19" s="159"/>
      <c r="P19" s="159"/>
      <c r="Q19" s="159"/>
      <c r="R19" s="718"/>
      <c r="S19" s="129"/>
    </row>
    <row r="20" spans="1:45" ht="16.2" thickBot="1">
      <c r="A20" s="662" t="s">
        <v>2092</v>
      </c>
      <c r="B20" s="294">
        <f ca="1">IF(D20="——",S22,S22-F20)</f>
        <v>3660</v>
      </c>
      <c r="C20" s="159"/>
      <c r="D20" s="2149" t="s">
        <v>43</v>
      </c>
      <c r="E20" s="1339"/>
      <c r="F20" s="983" t="e">
        <f ca="1">SUMIF(INDIRECT("'"&amp;H20&amp;"'"&amp;"!A:A"),"承租人权益价值",INDIRECT("'"&amp;H20&amp;"'"&amp;"!c:c"))</f>
        <v>#REF!</v>
      </c>
      <c r="G20" s="983" t="s">
        <v>2093</v>
      </c>
      <c r="H20" s="2150"/>
      <c r="I20" s="159"/>
      <c r="J20" s="159"/>
      <c r="K20" s="159"/>
      <c r="L20" s="159"/>
      <c r="M20" s="159"/>
      <c r="N20" s="159"/>
      <c r="O20" s="159"/>
      <c r="P20" s="159"/>
      <c r="Q20" s="159"/>
      <c r="R20" s="718"/>
      <c r="S20" s="129"/>
    </row>
    <row r="21" spans="1:45" ht="15.6">
      <c r="A21" s="662" t="s">
        <v>2094</v>
      </c>
      <c r="B21" s="294">
        <f ca="1">ROUND(B20*10000/B22,0)</f>
        <v>37775</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968.88999999999987</v>
      </c>
      <c r="C22" s="3655" t="s">
        <v>27</v>
      </c>
      <c r="D22" s="3656"/>
      <c r="E22" s="3656"/>
      <c r="F22" s="3656"/>
      <c r="G22" s="3656"/>
      <c r="H22" s="3656"/>
      <c r="I22" s="3656"/>
      <c r="J22" s="3656"/>
      <c r="K22" s="3656"/>
      <c r="L22" s="3656"/>
      <c r="M22" s="3656"/>
      <c r="N22" s="3656"/>
      <c r="O22" s="3656"/>
      <c r="P22" s="3656"/>
      <c r="Q22" s="3657"/>
      <c r="R22" s="663">
        <f ca="1">ROUND(S22*10000/B22,0)</f>
        <v>37775</v>
      </c>
      <c r="S22" s="21">
        <f ca="1">SUM(S24:S10000)</f>
        <v>3660</v>
      </c>
    </row>
    <row r="23" spans="1:45" s="9" customFormat="1" ht="52.8">
      <c r="A23" s="8" t="s">
        <v>2096</v>
      </c>
      <c r="B23" s="8" t="s">
        <v>2097</v>
      </c>
      <c r="C23" s="8" t="s">
        <v>2098</v>
      </c>
      <c r="D23" s="8" t="str">
        <f>B5</f>
        <v>修正项2</v>
      </c>
      <c r="E23" s="8" t="s">
        <v>2098</v>
      </c>
      <c r="F23" s="8" t="str">
        <f>B7</f>
        <v>修正项3</v>
      </c>
      <c r="G23" s="8" t="s">
        <v>2098</v>
      </c>
      <c r="H23" s="8" t="str">
        <f>B9</f>
        <v>修正项4</v>
      </c>
      <c r="I23" s="8" t="s">
        <v>2098</v>
      </c>
      <c r="J23" s="8" t="str">
        <f>B11</f>
        <v>平面位置</v>
      </c>
      <c r="K23" s="8" t="s">
        <v>2098</v>
      </c>
      <c r="L23" s="8" t="str">
        <f>B13</f>
        <v>形状</v>
      </c>
      <c r="M23" s="8" t="s">
        <v>2098</v>
      </c>
      <c r="N23" s="8" t="str">
        <f>B15</f>
        <v>分层面积</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3" t="s">
        <v>3419</v>
      </c>
      <c r="B24" s="665">
        <v>87.01</v>
      </c>
      <c r="C24" s="2808">
        <v>1</v>
      </c>
      <c r="D24" s="2809"/>
      <c r="E24" s="2808">
        <v>1</v>
      </c>
      <c r="F24" s="2809"/>
      <c r="G24" s="2808">
        <v>1</v>
      </c>
      <c r="H24" s="2809"/>
      <c r="I24" s="2808">
        <v>1</v>
      </c>
      <c r="J24" s="2809" t="s">
        <v>3393</v>
      </c>
      <c r="K24" s="2808">
        <v>1</v>
      </c>
      <c r="L24" s="2809" t="s">
        <v>3456</v>
      </c>
      <c r="M24" s="2808">
        <v>1</v>
      </c>
      <c r="N24" s="2809" t="s">
        <v>3451</v>
      </c>
      <c r="O24" s="2808">
        <v>1</v>
      </c>
      <c r="P24" s="2809" t="s">
        <v>3425</v>
      </c>
      <c r="Q24" s="2808">
        <v>1</v>
      </c>
      <c r="R24" s="668">
        <f ca="1">结果表!G20</f>
        <v>39554</v>
      </c>
      <c r="S24" s="666">
        <f t="shared" ref="S24:S54" ca="1" si="11">ROUND(R24*B24/10000,0)</f>
        <v>344</v>
      </c>
      <c r="T24" s="730">
        <f ca="1">S25+S29</f>
        <v>1313</v>
      </c>
      <c r="U24" s="730">
        <f>B25+B29</f>
        <v>376.36</v>
      </c>
      <c r="V24" s="730">
        <f ca="1">T24/U24</f>
        <v>3.4886810500584544</v>
      </c>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54" t="s">
        <v>3420</v>
      </c>
      <c r="B25" s="54">
        <v>223.14</v>
      </c>
      <c r="C25" s="21">
        <f>IF(B25="",1,(LOOKUP(B25,$3:$3,$4:$4)-LOOKUP($B$24,$3:$3,$4:$4)+100)/100)</f>
        <v>1.01</v>
      </c>
      <c r="D25" s="667"/>
      <c r="E25" s="21">
        <f>(SUMIF($5:$5,D25,$6:$6)-SUMIF($5:$5,$D$24,$6:$6)+100)/100</f>
        <v>1</v>
      </c>
      <c r="F25" s="667"/>
      <c r="G25" s="21">
        <f>(SUMIF($7:$7,F25,$8:$8)-SUMIF($7:$7,$F$24,$8:$8)+100)/100</f>
        <v>1</v>
      </c>
      <c r="H25" s="667"/>
      <c r="I25" s="21">
        <f>(SUMIF($9:$9,H25,$10:$10)-SUMIF($9:$9,$H$24,$10:$10)+100)/100</f>
        <v>1</v>
      </c>
      <c r="J25" s="667" t="s">
        <v>3393</v>
      </c>
      <c r="K25" s="21">
        <f>(SUMIF($11:$11,J25,$12:$12)-SUMIF($11:$11,$J$24,$12:$12)+100)/100</f>
        <v>1</v>
      </c>
      <c r="L25" s="667" t="s">
        <v>3472</v>
      </c>
      <c r="M25" s="21">
        <f>(SUMIF($13:$13,L25,$14:$14)-SUMIF($13:$13,$L$24,$14:$14)+100)/100</f>
        <v>0.98</v>
      </c>
      <c r="N25" s="667" t="s">
        <v>3468</v>
      </c>
      <c r="O25" s="21">
        <f>(SUMIF($15:$15,N25,$16:$16)-SUMIF($15:$15,$N$24,$16:$16)+100)/100</f>
        <v>0.97</v>
      </c>
      <c r="P25" s="667" t="s">
        <v>3427</v>
      </c>
      <c r="Q25" s="21">
        <f>(SUMIF($17:$17,P25,$18:$18)-SUMIF($17:$17,$P$24,$18:$18)+100)/100</f>
        <v>0.88</v>
      </c>
      <c r="R25" s="663">
        <f ca="1">IF(B25="",0,ROUND($R$24*C25*E25*G25*I25*K25*M25*O25*Q25,0))</f>
        <v>33419</v>
      </c>
      <c r="S25" s="316">
        <f t="shared" ca="1" si="11"/>
        <v>746</v>
      </c>
    </row>
    <row r="26" spans="1:45">
      <c r="A26" s="3454" t="s">
        <v>3421</v>
      </c>
      <c r="B26" s="54">
        <v>201.95</v>
      </c>
      <c r="C26" s="21">
        <f t="shared" ref="C26:C89" si="12">IF(B26="",1,(LOOKUP(B26,$3:$3,$4:$4)-LOOKUP($B$24,$3:$3,$4:$4)+100)/100)</f>
        <v>1.01</v>
      </c>
      <c r="D26" s="667"/>
      <c r="E26" s="21">
        <f t="shared" ref="E26:E89" si="13">(SUMIF($5:$5,D26,$6:$6)-SUMIF($5:$5,$D$24,$6:$6)+100)/100</f>
        <v>1</v>
      </c>
      <c r="F26" s="667"/>
      <c r="G26" s="21">
        <f t="shared" ref="G26:G89" si="14">(SUMIF($7:$7,F26,$8:$8)-SUMIF($7:$7,$F$24,$8:$8)+100)/100</f>
        <v>1</v>
      </c>
      <c r="H26" s="667"/>
      <c r="I26" s="21">
        <f t="shared" ref="I26:I89" si="15">(SUMIF($9:$9,H26,$10:$10)-SUMIF($9:$9,$H$24,$10:$10)+100)/100</f>
        <v>1</v>
      </c>
      <c r="J26" s="667" t="s">
        <v>3393</v>
      </c>
      <c r="K26" s="21">
        <f t="shared" ref="K26:K89" si="16">(SUMIF($11:$11,J26,$12:$12)-SUMIF($11:$11,$J$24,$12:$12)+100)/100</f>
        <v>1</v>
      </c>
      <c r="L26" s="667" t="s">
        <v>3456</v>
      </c>
      <c r="M26" s="21">
        <f t="shared" ref="M26:M89" si="17">(SUMIF($13:$13,L26,$14:$14)-SUMIF($13:$13,$L$24,$14:$14)+100)/100</f>
        <v>1</v>
      </c>
      <c r="N26" s="667" t="s">
        <v>3447</v>
      </c>
      <c r="O26" s="21">
        <f t="shared" ref="O26:O89" si="18">(SUMIF($15:$15,N26,$16:$16)-SUMIF($15:$15,$N$24,$16:$16)+100)/100</f>
        <v>0.99</v>
      </c>
      <c r="P26" s="2809" t="s">
        <v>3425</v>
      </c>
      <c r="Q26" s="21">
        <f t="shared" ref="Q26:Q89" si="19">(SUMIF($17:$17,P26,$18:$18)-SUMIF($17:$17,$P$24,$18:$18)+100)/100</f>
        <v>1</v>
      </c>
      <c r="R26" s="663">
        <f t="shared" ref="R26:R89" ca="1" si="20">IF(B26="",0,ROUND($R$24*C26*E26*G26*I26*K26*M26*O26*Q26,0))</f>
        <v>39550</v>
      </c>
      <c r="S26" s="316">
        <f t="shared" ca="1" si="11"/>
        <v>799</v>
      </c>
    </row>
    <row r="27" spans="1:45">
      <c r="A27" s="3454" t="s">
        <v>3422</v>
      </c>
      <c r="B27" s="54">
        <v>162.37</v>
      </c>
      <c r="C27" s="21">
        <f t="shared" si="12"/>
        <v>1</v>
      </c>
      <c r="D27" s="667"/>
      <c r="E27" s="21">
        <f t="shared" si="13"/>
        <v>1</v>
      </c>
      <c r="F27" s="667"/>
      <c r="G27" s="21">
        <f t="shared" si="14"/>
        <v>1</v>
      </c>
      <c r="H27" s="667"/>
      <c r="I27" s="21">
        <f t="shared" si="15"/>
        <v>1</v>
      </c>
      <c r="J27" s="667" t="s">
        <v>3394</v>
      </c>
      <c r="K27" s="21">
        <f t="shared" si="16"/>
        <v>1.05</v>
      </c>
      <c r="L27" s="667" t="s">
        <v>3456</v>
      </c>
      <c r="M27" s="21">
        <f t="shared" si="17"/>
        <v>1</v>
      </c>
      <c r="N27" s="667" t="s">
        <v>3447</v>
      </c>
      <c r="O27" s="21">
        <f t="shared" si="18"/>
        <v>0.99</v>
      </c>
      <c r="P27" s="2809" t="s">
        <v>3425</v>
      </c>
      <c r="Q27" s="21">
        <f t="shared" si="19"/>
        <v>1</v>
      </c>
      <c r="R27" s="663">
        <f t="shared" ca="1" si="20"/>
        <v>41116</v>
      </c>
      <c r="S27" s="316">
        <f t="shared" ca="1" si="11"/>
        <v>668</v>
      </c>
    </row>
    <row r="28" spans="1:45">
      <c r="A28" s="3454" t="s">
        <v>3423</v>
      </c>
      <c r="B28" s="54">
        <v>141.19999999999999</v>
      </c>
      <c r="C28" s="21">
        <f t="shared" si="12"/>
        <v>1</v>
      </c>
      <c r="D28" s="667"/>
      <c r="E28" s="21">
        <f t="shared" si="13"/>
        <v>1</v>
      </c>
      <c r="F28" s="667"/>
      <c r="G28" s="21">
        <f t="shared" si="14"/>
        <v>1</v>
      </c>
      <c r="H28" s="667"/>
      <c r="I28" s="21">
        <f t="shared" si="15"/>
        <v>1</v>
      </c>
      <c r="J28" s="667" t="s">
        <v>3393</v>
      </c>
      <c r="K28" s="21">
        <f t="shared" si="16"/>
        <v>1</v>
      </c>
      <c r="L28" s="667" t="s">
        <v>3472</v>
      </c>
      <c r="M28" s="21">
        <f t="shared" si="17"/>
        <v>0.98</v>
      </c>
      <c r="N28" s="667" t="s">
        <v>3449</v>
      </c>
      <c r="O28" s="21">
        <f t="shared" si="18"/>
        <v>0.98</v>
      </c>
      <c r="P28" s="2809" t="s">
        <v>3425</v>
      </c>
      <c r="Q28" s="21">
        <f t="shared" si="19"/>
        <v>1</v>
      </c>
      <c r="R28" s="663">
        <f t="shared" ca="1" si="20"/>
        <v>37988</v>
      </c>
      <c r="S28" s="316">
        <f t="shared" ca="1" si="11"/>
        <v>536</v>
      </c>
    </row>
    <row r="29" spans="1:45">
      <c r="A29" s="3454" t="s">
        <v>3424</v>
      </c>
      <c r="B29" s="54">
        <v>153.22</v>
      </c>
      <c r="C29" s="21">
        <f t="shared" si="12"/>
        <v>1</v>
      </c>
      <c r="D29" s="667"/>
      <c r="E29" s="21">
        <f t="shared" si="13"/>
        <v>1</v>
      </c>
      <c r="F29" s="667"/>
      <c r="G29" s="21">
        <f t="shared" si="14"/>
        <v>1</v>
      </c>
      <c r="H29" s="667"/>
      <c r="I29" s="21">
        <f t="shared" si="15"/>
        <v>1</v>
      </c>
      <c r="J29" s="667" t="s">
        <v>3394</v>
      </c>
      <c r="K29" s="21">
        <f t="shared" si="16"/>
        <v>1.05</v>
      </c>
      <c r="L29" s="667" t="s">
        <v>3458</v>
      </c>
      <c r="M29" s="21">
        <f t="shared" si="17"/>
        <v>0.9</v>
      </c>
      <c r="N29" s="667" t="s">
        <v>3447</v>
      </c>
      <c r="O29" s="21">
        <f t="shared" si="18"/>
        <v>0.99</v>
      </c>
      <c r="P29" s="2809" t="s">
        <v>3425</v>
      </c>
      <c r="Q29" s="21">
        <f t="shared" si="19"/>
        <v>1</v>
      </c>
      <c r="R29" s="663">
        <f t="shared" ca="1" si="20"/>
        <v>37005</v>
      </c>
      <c r="S29" s="316">
        <f t="shared" ca="1" si="11"/>
        <v>567</v>
      </c>
    </row>
    <row r="30" spans="1:45">
      <c r="A30" s="3454"/>
      <c r="B30" s="54"/>
      <c r="C30" s="21">
        <f t="shared" si="12"/>
        <v>1</v>
      </c>
      <c r="D30" s="667"/>
      <c r="E30" s="21">
        <f t="shared" si="13"/>
        <v>1</v>
      </c>
      <c r="F30" s="667"/>
      <c r="G30" s="21">
        <f t="shared" si="14"/>
        <v>1</v>
      </c>
      <c r="H30" s="667"/>
      <c r="I30" s="21">
        <f t="shared" si="15"/>
        <v>1</v>
      </c>
      <c r="J30" s="667"/>
      <c r="K30" s="21">
        <f t="shared" si="16"/>
        <v>0.05</v>
      </c>
      <c r="L30" s="667"/>
      <c r="M30" s="21">
        <f t="shared" si="17"/>
        <v>0</v>
      </c>
      <c r="N30" s="667"/>
      <c r="O30" s="21">
        <f t="shared" si="18"/>
        <v>-0.01</v>
      </c>
      <c r="P30" s="667"/>
      <c r="Q30" s="21">
        <f t="shared" si="19"/>
        <v>0</v>
      </c>
      <c r="R30" s="663">
        <f t="shared" si="20"/>
        <v>0</v>
      </c>
      <c r="S30" s="316">
        <f t="shared" si="11"/>
        <v>0</v>
      </c>
    </row>
    <row r="31" spans="1:45">
      <c r="A31" s="3454"/>
      <c r="B31" s="54"/>
      <c r="C31" s="21">
        <f t="shared" si="12"/>
        <v>1</v>
      </c>
      <c r="D31" s="667"/>
      <c r="E31" s="21">
        <f t="shared" si="13"/>
        <v>1</v>
      </c>
      <c r="F31" s="667"/>
      <c r="G31" s="21">
        <f t="shared" si="14"/>
        <v>1</v>
      </c>
      <c r="H31" s="667"/>
      <c r="I31" s="21">
        <f t="shared" si="15"/>
        <v>1</v>
      </c>
      <c r="J31" s="667"/>
      <c r="K31" s="21">
        <f t="shared" si="16"/>
        <v>0.05</v>
      </c>
      <c r="L31" s="667"/>
      <c r="M31" s="21">
        <f t="shared" si="17"/>
        <v>0</v>
      </c>
      <c r="N31" s="667"/>
      <c r="O31" s="21">
        <f t="shared" si="18"/>
        <v>-0.01</v>
      </c>
      <c r="P31" s="667"/>
      <c r="Q31" s="21">
        <f t="shared" si="19"/>
        <v>0</v>
      </c>
      <c r="R31" s="663">
        <f t="shared" si="20"/>
        <v>0</v>
      </c>
      <c r="S31" s="316">
        <f t="shared" si="11"/>
        <v>0</v>
      </c>
    </row>
    <row r="32" spans="1:45">
      <c r="A32" s="3454"/>
      <c r="B32" s="54"/>
      <c r="C32" s="21">
        <f t="shared" si="12"/>
        <v>1</v>
      </c>
      <c r="D32" s="667"/>
      <c r="E32" s="21">
        <f t="shared" si="13"/>
        <v>1</v>
      </c>
      <c r="F32" s="667"/>
      <c r="G32" s="21">
        <f t="shared" si="14"/>
        <v>1</v>
      </c>
      <c r="H32" s="667"/>
      <c r="I32" s="21">
        <f t="shared" si="15"/>
        <v>1</v>
      </c>
      <c r="J32" s="667"/>
      <c r="K32" s="21">
        <f t="shared" si="16"/>
        <v>0.05</v>
      </c>
      <c r="L32" s="667"/>
      <c r="M32" s="21">
        <f t="shared" si="17"/>
        <v>0</v>
      </c>
      <c r="N32" s="667"/>
      <c r="O32" s="21">
        <f t="shared" si="18"/>
        <v>-0.01</v>
      </c>
      <c r="P32" s="667"/>
      <c r="Q32" s="21">
        <f t="shared" si="19"/>
        <v>0</v>
      </c>
      <c r="R32" s="663">
        <f t="shared" si="20"/>
        <v>0</v>
      </c>
      <c r="S32" s="316">
        <f t="shared" si="11"/>
        <v>0</v>
      </c>
    </row>
    <row r="33" spans="1:19">
      <c r="A33" s="3454"/>
      <c r="B33" s="54"/>
      <c r="C33" s="21">
        <f t="shared" si="12"/>
        <v>1</v>
      </c>
      <c r="D33" s="667"/>
      <c r="E33" s="21">
        <f t="shared" si="13"/>
        <v>1</v>
      </c>
      <c r="F33" s="667"/>
      <c r="G33" s="21">
        <f t="shared" si="14"/>
        <v>1</v>
      </c>
      <c r="H33" s="667"/>
      <c r="I33" s="21">
        <f t="shared" si="15"/>
        <v>1</v>
      </c>
      <c r="J33" s="667"/>
      <c r="K33" s="21">
        <f t="shared" si="16"/>
        <v>0.05</v>
      </c>
      <c r="L33" s="667"/>
      <c r="M33" s="21">
        <f t="shared" si="17"/>
        <v>0</v>
      </c>
      <c r="N33" s="667"/>
      <c r="O33" s="21">
        <f t="shared" si="18"/>
        <v>-0.01</v>
      </c>
      <c r="P33" s="667"/>
      <c r="Q33" s="21">
        <f t="shared" si="19"/>
        <v>0</v>
      </c>
      <c r="R33" s="663">
        <f t="shared" si="20"/>
        <v>0</v>
      </c>
      <c r="S33" s="316">
        <f t="shared" si="11"/>
        <v>0</v>
      </c>
    </row>
    <row r="34" spans="1:19">
      <c r="A34" s="3454"/>
      <c r="B34" s="54"/>
      <c r="C34" s="21">
        <f t="shared" si="12"/>
        <v>1</v>
      </c>
      <c r="D34" s="667"/>
      <c r="E34" s="21">
        <f t="shared" si="13"/>
        <v>1</v>
      </c>
      <c r="F34" s="667"/>
      <c r="G34" s="21">
        <f t="shared" si="14"/>
        <v>1</v>
      </c>
      <c r="H34" s="667"/>
      <c r="I34" s="21">
        <f t="shared" si="15"/>
        <v>1</v>
      </c>
      <c r="J34" s="667"/>
      <c r="K34" s="21">
        <f t="shared" si="16"/>
        <v>0.05</v>
      </c>
      <c r="L34" s="667"/>
      <c r="M34" s="21">
        <f t="shared" si="17"/>
        <v>0</v>
      </c>
      <c r="N34" s="667"/>
      <c r="O34" s="21">
        <f t="shared" si="18"/>
        <v>-0.01</v>
      </c>
      <c r="P34" s="667"/>
      <c r="Q34" s="21">
        <f t="shared" si="19"/>
        <v>0</v>
      </c>
      <c r="R34" s="663">
        <f t="shared" si="20"/>
        <v>0</v>
      </c>
      <c r="S34" s="316">
        <f t="shared" si="11"/>
        <v>0</v>
      </c>
    </row>
    <row r="35" spans="1:19">
      <c r="A35" s="3454"/>
      <c r="B35" s="54"/>
      <c r="C35" s="21">
        <f t="shared" si="12"/>
        <v>1</v>
      </c>
      <c r="D35" s="667"/>
      <c r="E35" s="21">
        <f t="shared" si="13"/>
        <v>1</v>
      </c>
      <c r="F35" s="667"/>
      <c r="G35" s="21">
        <f t="shared" si="14"/>
        <v>1</v>
      </c>
      <c r="H35" s="667"/>
      <c r="I35" s="21">
        <f t="shared" si="15"/>
        <v>1</v>
      </c>
      <c r="J35" s="667"/>
      <c r="K35" s="21">
        <f t="shared" si="16"/>
        <v>0.05</v>
      </c>
      <c r="L35" s="667"/>
      <c r="M35" s="21">
        <f t="shared" si="17"/>
        <v>0</v>
      </c>
      <c r="N35" s="667"/>
      <c r="O35" s="21">
        <f t="shared" si="18"/>
        <v>-0.01</v>
      </c>
      <c r="P35" s="667"/>
      <c r="Q35" s="21">
        <f t="shared" si="19"/>
        <v>0</v>
      </c>
      <c r="R35" s="663">
        <f t="shared" si="20"/>
        <v>0</v>
      </c>
      <c r="S35" s="316">
        <f t="shared" si="11"/>
        <v>0</v>
      </c>
    </row>
    <row r="36" spans="1:19">
      <c r="A36" s="3454"/>
      <c r="B36" s="54"/>
      <c r="C36" s="21">
        <f t="shared" si="12"/>
        <v>1</v>
      </c>
      <c r="D36" s="667"/>
      <c r="E36" s="21">
        <f t="shared" si="13"/>
        <v>1</v>
      </c>
      <c r="F36" s="667"/>
      <c r="G36" s="21">
        <f t="shared" si="14"/>
        <v>1</v>
      </c>
      <c r="H36" s="667"/>
      <c r="I36" s="21">
        <f t="shared" si="15"/>
        <v>1</v>
      </c>
      <c r="J36" s="667"/>
      <c r="K36" s="21">
        <f t="shared" si="16"/>
        <v>0.05</v>
      </c>
      <c r="L36" s="667"/>
      <c r="M36" s="21">
        <f t="shared" si="17"/>
        <v>0</v>
      </c>
      <c r="N36" s="667"/>
      <c r="O36" s="21">
        <f t="shared" si="18"/>
        <v>-0.01</v>
      </c>
      <c r="P36" s="667"/>
      <c r="Q36" s="21">
        <f t="shared" si="19"/>
        <v>0</v>
      </c>
      <c r="R36" s="663">
        <f t="shared" si="20"/>
        <v>0</v>
      </c>
      <c r="S36" s="316">
        <f t="shared" si="11"/>
        <v>0</v>
      </c>
    </row>
    <row r="37" spans="1:19">
      <c r="A37" s="3454"/>
      <c r="B37" s="54"/>
      <c r="C37" s="21">
        <f t="shared" si="12"/>
        <v>1</v>
      </c>
      <c r="D37" s="667"/>
      <c r="E37" s="21">
        <f t="shared" si="13"/>
        <v>1</v>
      </c>
      <c r="F37" s="667"/>
      <c r="G37" s="21">
        <f t="shared" si="14"/>
        <v>1</v>
      </c>
      <c r="H37" s="667"/>
      <c r="I37" s="21">
        <f t="shared" si="15"/>
        <v>1</v>
      </c>
      <c r="J37" s="667"/>
      <c r="K37" s="21">
        <f t="shared" si="16"/>
        <v>0.05</v>
      </c>
      <c r="L37" s="667"/>
      <c r="M37" s="21">
        <f t="shared" si="17"/>
        <v>0</v>
      </c>
      <c r="N37" s="667"/>
      <c r="O37" s="21">
        <f t="shared" si="18"/>
        <v>-0.01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0.05</v>
      </c>
      <c r="L38" s="667"/>
      <c r="M38" s="21">
        <f t="shared" si="17"/>
        <v>0</v>
      </c>
      <c r="N38" s="667"/>
      <c r="O38" s="21">
        <f t="shared" si="18"/>
        <v>-0.01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0.05</v>
      </c>
      <c r="L39" s="667"/>
      <c r="M39" s="21">
        <f t="shared" si="17"/>
        <v>0</v>
      </c>
      <c r="N39" s="667"/>
      <c r="O39" s="21">
        <f t="shared" si="18"/>
        <v>-0.01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0.05</v>
      </c>
      <c r="L40" s="667"/>
      <c r="M40" s="21">
        <f t="shared" si="17"/>
        <v>0</v>
      </c>
      <c r="N40" s="667"/>
      <c r="O40" s="21">
        <f t="shared" si="18"/>
        <v>-0.01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0.05</v>
      </c>
      <c r="L41" s="667"/>
      <c r="M41" s="21">
        <f t="shared" si="17"/>
        <v>0</v>
      </c>
      <c r="N41" s="667"/>
      <c r="O41" s="21">
        <f t="shared" si="18"/>
        <v>-0.01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0.05</v>
      </c>
      <c r="L42" s="667"/>
      <c r="M42" s="21">
        <f t="shared" si="17"/>
        <v>0</v>
      </c>
      <c r="N42" s="667"/>
      <c r="O42" s="21">
        <f t="shared" si="18"/>
        <v>-0.01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0.05</v>
      </c>
      <c r="L43" s="667"/>
      <c r="M43" s="21">
        <f t="shared" si="17"/>
        <v>0</v>
      </c>
      <c r="N43" s="667"/>
      <c r="O43" s="21">
        <f t="shared" si="18"/>
        <v>-0.01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0.05</v>
      </c>
      <c r="L44" s="667"/>
      <c r="M44" s="21">
        <f t="shared" si="17"/>
        <v>0</v>
      </c>
      <c r="N44" s="667"/>
      <c r="O44" s="21">
        <f t="shared" si="18"/>
        <v>-0.01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0.05</v>
      </c>
      <c r="L45" s="667"/>
      <c r="M45" s="21">
        <f t="shared" si="17"/>
        <v>0</v>
      </c>
      <c r="N45" s="667"/>
      <c r="O45" s="21">
        <f t="shared" si="18"/>
        <v>-0.01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0.05</v>
      </c>
      <c r="L46" s="667"/>
      <c r="M46" s="21">
        <f t="shared" si="17"/>
        <v>0</v>
      </c>
      <c r="N46" s="667"/>
      <c r="O46" s="21">
        <f t="shared" si="18"/>
        <v>-0.01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0.05</v>
      </c>
      <c r="L47" s="667"/>
      <c r="M47" s="21">
        <f t="shared" si="17"/>
        <v>0</v>
      </c>
      <c r="N47" s="667"/>
      <c r="O47" s="21">
        <f t="shared" si="18"/>
        <v>-0.01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0.05</v>
      </c>
      <c r="L48" s="667"/>
      <c r="M48" s="21">
        <f t="shared" si="17"/>
        <v>0</v>
      </c>
      <c r="N48" s="667"/>
      <c r="O48" s="21">
        <f t="shared" si="18"/>
        <v>-0.01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0.05</v>
      </c>
      <c r="L49" s="667"/>
      <c r="M49" s="21">
        <f t="shared" si="17"/>
        <v>0</v>
      </c>
      <c r="N49" s="667"/>
      <c r="O49" s="21">
        <f t="shared" si="18"/>
        <v>-0.01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0.05</v>
      </c>
      <c r="L50" s="667"/>
      <c r="M50" s="21">
        <f t="shared" si="17"/>
        <v>0</v>
      </c>
      <c r="N50" s="667"/>
      <c r="O50" s="21">
        <f t="shared" si="18"/>
        <v>-0.01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0.05</v>
      </c>
      <c r="L51" s="667"/>
      <c r="M51" s="21">
        <f t="shared" si="17"/>
        <v>0</v>
      </c>
      <c r="N51" s="667"/>
      <c r="O51" s="21">
        <f t="shared" si="18"/>
        <v>-0.01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0.05</v>
      </c>
      <c r="L52" s="667"/>
      <c r="M52" s="21">
        <f t="shared" si="17"/>
        <v>0</v>
      </c>
      <c r="N52" s="667"/>
      <c r="O52" s="21">
        <f t="shared" si="18"/>
        <v>-0.01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0.05</v>
      </c>
      <c r="L53" s="667"/>
      <c r="M53" s="21">
        <f t="shared" si="17"/>
        <v>0</v>
      </c>
      <c r="N53" s="667"/>
      <c r="O53" s="21">
        <f t="shared" si="18"/>
        <v>-0.01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0.05</v>
      </c>
      <c r="L54" s="667"/>
      <c r="M54" s="21">
        <f t="shared" si="17"/>
        <v>0</v>
      </c>
      <c r="N54" s="667"/>
      <c r="O54" s="21">
        <f t="shared" si="18"/>
        <v>-0.01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0.05</v>
      </c>
      <c r="L55" s="667"/>
      <c r="M55" s="21">
        <f t="shared" si="17"/>
        <v>0</v>
      </c>
      <c r="N55" s="667"/>
      <c r="O55" s="21">
        <f t="shared" si="18"/>
        <v>-0.01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0.05</v>
      </c>
      <c r="L56" s="667"/>
      <c r="M56" s="21">
        <f t="shared" si="17"/>
        <v>0</v>
      </c>
      <c r="N56" s="667"/>
      <c r="O56" s="21">
        <f t="shared" si="18"/>
        <v>-0.01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0.05</v>
      </c>
      <c r="L57" s="667"/>
      <c r="M57" s="21">
        <f t="shared" si="17"/>
        <v>0</v>
      </c>
      <c r="N57" s="667"/>
      <c r="O57" s="21">
        <f t="shared" si="18"/>
        <v>-0.01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0.05</v>
      </c>
      <c r="L58" s="667"/>
      <c r="M58" s="21">
        <f t="shared" si="17"/>
        <v>0</v>
      </c>
      <c r="N58" s="667"/>
      <c r="O58" s="21">
        <f t="shared" si="18"/>
        <v>-0.01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0.05</v>
      </c>
      <c r="L59" s="667"/>
      <c r="M59" s="21">
        <f t="shared" si="17"/>
        <v>0</v>
      </c>
      <c r="N59" s="667"/>
      <c r="O59" s="21">
        <f t="shared" si="18"/>
        <v>-0.01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0.05</v>
      </c>
      <c r="L60" s="667"/>
      <c r="M60" s="21">
        <f t="shared" si="17"/>
        <v>0</v>
      </c>
      <c r="N60" s="667"/>
      <c r="O60" s="21">
        <f t="shared" si="18"/>
        <v>-0.01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0.05</v>
      </c>
      <c r="L61" s="667"/>
      <c r="M61" s="21">
        <f t="shared" si="17"/>
        <v>0</v>
      </c>
      <c r="N61" s="667"/>
      <c r="O61" s="21">
        <f t="shared" si="18"/>
        <v>-0.01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0.05</v>
      </c>
      <c r="L62" s="667"/>
      <c r="M62" s="21">
        <f t="shared" si="17"/>
        <v>0</v>
      </c>
      <c r="N62" s="667"/>
      <c r="O62" s="21">
        <f t="shared" si="18"/>
        <v>-0.01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0.05</v>
      </c>
      <c r="L63" s="667"/>
      <c r="M63" s="21">
        <f t="shared" si="17"/>
        <v>0</v>
      </c>
      <c r="N63" s="667"/>
      <c r="O63" s="21">
        <f t="shared" si="18"/>
        <v>-0.01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0.05</v>
      </c>
      <c r="L64" s="667"/>
      <c r="M64" s="21">
        <f t="shared" si="17"/>
        <v>0</v>
      </c>
      <c r="N64" s="667"/>
      <c r="O64" s="21">
        <f t="shared" si="18"/>
        <v>-0.01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0.05</v>
      </c>
      <c r="L65" s="667"/>
      <c r="M65" s="21">
        <f t="shared" si="17"/>
        <v>0</v>
      </c>
      <c r="N65" s="667"/>
      <c r="O65" s="21">
        <f t="shared" si="18"/>
        <v>-0.01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0.05</v>
      </c>
      <c r="L66" s="667"/>
      <c r="M66" s="21">
        <f t="shared" si="17"/>
        <v>0</v>
      </c>
      <c r="N66" s="667"/>
      <c r="O66" s="21">
        <f t="shared" si="18"/>
        <v>-0.01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0.05</v>
      </c>
      <c r="L67" s="667"/>
      <c r="M67" s="21">
        <f t="shared" si="17"/>
        <v>0</v>
      </c>
      <c r="N67" s="667"/>
      <c r="O67" s="21">
        <f t="shared" si="18"/>
        <v>-0.01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0.05</v>
      </c>
      <c r="L68" s="667"/>
      <c r="M68" s="21">
        <f t="shared" si="17"/>
        <v>0</v>
      </c>
      <c r="N68" s="667"/>
      <c r="O68" s="21">
        <f t="shared" si="18"/>
        <v>-0.01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0.05</v>
      </c>
      <c r="L69" s="667"/>
      <c r="M69" s="21">
        <f t="shared" si="17"/>
        <v>0</v>
      </c>
      <c r="N69" s="667"/>
      <c r="O69" s="21">
        <f t="shared" si="18"/>
        <v>-0.01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0.05</v>
      </c>
      <c r="L70" s="667"/>
      <c r="M70" s="21">
        <f t="shared" si="17"/>
        <v>0</v>
      </c>
      <c r="N70" s="667"/>
      <c r="O70" s="21">
        <f t="shared" si="18"/>
        <v>-0.01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0.05</v>
      </c>
      <c r="L71" s="667"/>
      <c r="M71" s="21">
        <f t="shared" si="17"/>
        <v>0</v>
      </c>
      <c r="N71" s="667"/>
      <c r="O71" s="21">
        <f t="shared" si="18"/>
        <v>-0.01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0.05</v>
      </c>
      <c r="L72" s="667"/>
      <c r="M72" s="21">
        <f t="shared" si="17"/>
        <v>0</v>
      </c>
      <c r="N72" s="667"/>
      <c r="O72" s="21">
        <f t="shared" si="18"/>
        <v>-0.01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0.05</v>
      </c>
      <c r="L73" s="667"/>
      <c r="M73" s="21">
        <f t="shared" si="17"/>
        <v>0</v>
      </c>
      <c r="N73" s="667"/>
      <c r="O73" s="21">
        <f t="shared" si="18"/>
        <v>-0.01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0.05</v>
      </c>
      <c r="L74" s="667"/>
      <c r="M74" s="21">
        <f t="shared" si="17"/>
        <v>0</v>
      </c>
      <c r="N74" s="667"/>
      <c r="O74" s="21">
        <f t="shared" si="18"/>
        <v>-0.01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0.05</v>
      </c>
      <c r="L75" s="667"/>
      <c r="M75" s="21">
        <f t="shared" si="17"/>
        <v>0</v>
      </c>
      <c r="N75" s="667"/>
      <c r="O75" s="21">
        <f t="shared" si="18"/>
        <v>-0.01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0.05</v>
      </c>
      <c r="L76" s="667"/>
      <c r="M76" s="21">
        <f t="shared" si="17"/>
        <v>0</v>
      </c>
      <c r="N76" s="667"/>
      <c r="O76" s="21">
        <f t="shared" si="18"/>
        <v>-0.01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0.05</v>
      </c>
      <c r="L77" s="667"/>
      <c r="M77" s="21">
        <f t="shared" si="17"/>
        <v>0</v>
      </c>
      <c r="N77" s="667"/>
      <c r="O77" s="21">
        <f t="shared" si="18"/>
        <v>-0.01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0.05</v>
      </c>
      <c r="L78" s="667"/>
      <c r="M78" s="21">
        <f t="shared" si="17"/>
        <v>0</v>
      </c>
      <c r="N78" s="667"/>
      <c r="O78" s="21">
        <f t="shared" si="18"/>
        <v>-0.01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0.05</v>
      </c>
      <c r="L79" s="667"/>
      <c r="M79" s="21">
        <f t="shared" si="17"/>
        <v>0</v>
      </c>
      <c r="N79" s="667"/>
      <c r="O79" s="21">
        <f t="shared" si="18"/>
        <v>-0.01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0.05</v>
      </c>
      <c r="L80" s="667"/>
      <c r="M80" s="21">
        <f t="shared" si="17"/>
        <v>0</v>
      </c>
      <c r="N80" s="667"/>
      <c r="O80" s="21">
        <f t="shared" si="18"/>
        <v>-0.01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0.05</v>
      </c>
      <c r="L81" s="667"/>
      <c r="M81" s="21">
        <f t="shared" si="17"/>
        <v>0</v>
      </c>
      <c r="N81" s="667"/>
      <c r="O81" s="21">
        <f t="shared" si="18"/>
        <v>-0.01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0.05</v>
      </c>
      <c r="L82" s="667"/>
      <c r="M82" s="21">
        <f t="shared" si="17"/>
        <v>0</v>
      </c>
      <c r="N82" s="667"/>
      <c r="O82" s="21">
        <f t="shared" si="18"/>
        <v>-0.01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0.05</v>
      </c>
      <c r="L83" s="667"/>
      <c r="M83" s="21">
        <f t="shared" si="17"/>
        <v>0</v>
      </c>
      <c r="N83" s="667"/>
      <c r="O83" s="21">
        <f t="shared" si="18"/>
        <v>-0.01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0.05</v>
      </c>
      <c r="L84" s="667"/>
      <c r="M84" s="21">
        <f t="shared" si="17"/>
        <v>0</v>
      </c>
      <c r="N84" s="667"/>
      <c r="O84" s="21">
        <f t="shared" si="18"/>
        <v>-0.01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0.05</v>
      </c>
      <c r="L85" s="667"/>
      <c r="M85" s="21">
        <f t="shared" si="17"/>
        <v>0</v>
      </c>
      <c r="N85" s="667"/>
      <c r="O85" s="21">
        <f t="shared" si="18"/>
        <v>-0.01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0.05</v>
      </c>
      <c r="L86" s="667"/>
      <c r="M86" s="21">
        <f t="shared" si="17"/>
        <v>0</v>
      </c>
      <c r="N86" s="667"/>
      <c r="O86" s="21">
        <f t="shared" si="18"/>
        <v>-0.01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0.05</v>
      </c>
      <c r="L87" s="667"/>
      <c r="M87" s="21">
        <f t="shared" si="17"/>
        <v>0</v>
      </c>
      <c r="N87" s="667"/>
      <c r="O87" s="21">
        <f t="shared" si="18"/>
        <v>-0.01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0.05</v>
      </c>
      <c r="L88" s="667"/>
      <c r="M88" s="21">
        <f t="shared" si="17"/>
        <v>0</v>
      </c>
      <c r="N88" s="667"/>
      <c r="O88" s="21">
        <f t="shared" si="18"/>
        <v>-0.01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0.05</v>
      </c>
      <c r="L89" s="667"/>
      <c r="M89" s="21">
        <f t="shared" si="17"/>
        <v>0</v>
      </c>
      <c r="N89" s="667"/>
      <c r="O89" s="21">
        <f t="shared" si="18"/>
        <v>-0.01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0.05</v>
      </c>
      <c r="L90" s="667"/>
      <c r="M90" s="21">
        <f t="shared" ref="M90:M153" si="28">(SUMIF($13:$13,L90,$14:$14)-SUMIF($13:$13,$L$24,$14:$14)+100)/100</f>
        <v>0</v>
      </c>
      <c r="N90" s="667"/>
      <c r="O90" s="21">
        <f t="shared" ref="O90:O153" si="29">(SUMIF($15:$15,N90,$16:$16)-SUMIF($15:$15,$N$24,$16:$16)+100)/100</f>
        <v>-0.01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0.05</v>
      </c>
      <c r="L91" s="667"/>
      <c r="M91" s="21">
        <f t="shared" si="28"/>
        <v>0</v>
      </c>
      <c r="N91" s="667"/>
      <c r="O91" s="21">
        <f t="shared" si="29"/>
        <v>-0.01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0.05</v>
      </c>
      <c r="L92" s="667"/>
      <c r="M92" s="21">
        <f t="shared" si="28"/>
        <v>0</v>
      </c>
      <c r="N92" s="667"/>
      <c r="O92" s="21">
        <f t="shared" si="29"/>
        <v>-0.01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0.05</v>
      </c>
      <c r="L93" s="667"/>
      <c r="M93" s="21">
        <f t="shared" si="28"/>
        <v>0</v>
      </c>
      <c r="N93" s="667"/>
      <c r="O93" s="21">
        <f t="shared" si="29"/>
        <v>-0.01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0.05</v>
      </c>
      <c r="L94" s="667"/>
      <c r="M94" s="21">
        <f t="shared" si="28"/>
        <v>0</v>
      </c>
      <c r="N94" s="667"/>
      <c r="O94" s="21">
        <f t="shared" si="29"/>
        <v>-0.01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0.05</v>
      </c>
      <c r="L95" s="667"/>
      <c r="M95" s="21">
        <f t="shared" si="28"/>
        <v>0</v>
      </c>
      <c r="N95" s="667"/>
      <c r="O95" s="21">
        <f t="shared" si="29"/>
        <v>-0.01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0.05</v>
      </c>
      <c r="L96" s="667"/>
      <c r="M96" s="21">
        <f t="shared" si="28"/>
        <v>0</v>
      </c>
      <c r="N96" s="667"/>
      <c r="O96" s="21">
        <f t="shared" si="29"/>
        <v>-0.01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0.05</v>
      </c>
      <c r="L97" s="667"/>
      <c r="M97" s="21">
        <f t="shared" si="28"/>
        <v>0</v>
      </c>
      <c r="N97" s="667"/>
      <c r="O97" s="21">
        <f t="shared" si="29"/>
        <v>-0.01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0.05</v>
      </c>
      <c r="L98" s="667"/>
      <c r="M98" s="21">
        <f t="shared" si="28"/>
        <v>0</v>
      </c>
      <c r="N98" s="667"/>
      <c r="O98" s="21">
        <f t="shared" si="29"/>
        <v>-0.01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0.05</v>
      </c>
      <c r="L99" s="667"/>
      <c r="M99" s="21">
        <f t="shared" si="28"/>
        <v>0</v>
      </c>
      <c r="N99" s="667"/>
      <c r="O99" s="21">
        <f t="shared" si="29"/>
        <v>-0.01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0.05</v>
      </c>
      <c r="L100" s="667"/>
      <c r="M100" s="21">
        <f t="shared" si="28"/>
        <v>0</v>
      </c>
      <c r="N100" s="667"/>
      <c r="O100" s="21">
        <f t="shared" si="29"/>
        <v>-0.01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0.05</v>
      </c>
      <c r="L101" s="667"/>
      <c r="M101" s="21">
        <f t="shared" si="28"/>
        <v>0</v>
      </c>
      <c r="N101" s="667"/>
      <c r="O101" s="21">
        <f t="shared" si="29"/>
        <v>-0.01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0.05</v>
      </c>
      <c r="L102" s="667"/>
      <c r="M102" s="21">
        <f t="shared" si="28"/>
        <v>0</v>
      </c>
      <c r="N102" s="667"/>
      <c r="O102" s="21">
        <f t="shared" si="29"/>
        <v>-0.01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0.05</v>
      </c>
      <c r="L103" s="667"/>
      <c r="M103" s="21">
        <f t="shared" si="28"/>
        <v>0</v>
      </c>
      <c r="N103" s="667"/>
      <c r="O103" s="21">
        <f t="shared" si="29"/>
        <v>-0.01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0.05</v>
      </c>
      <c r="L104" s="667"/>
      <c r="M104" s="21">
        <f t="shared" si="28"/>
        <v>0</v>
      </c>
      <c r="N104" s="667"/>
      <c r="O104" s="21">
        <f t="shared" si="29"/>
        <v>-0.01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0.05</v>
      </c>
      <c r="L105" s="667"/>
      <c r="M105" s="21">
        <f t="shared" si="28"/>
        <v>0</v>
      </c>
      <c r="N105" s="667"/>
      <c r="O105" s="21">
        <f t="shared" si="29"/>
        <v>-0.01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0.05</v>
      </c>
      <c r="L106" s="667"/>
      <c r="M106" s="21">
        <f t="shared" si="28"/>
        <v>0</v>
      </c>
      <c r="N106" s="667"/>
      <c r="O106" s="21">
        <f t="shared" si="29"/>
        <v>-0.01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0.05</v>
      </c>
      <c r="L107" s="667"/>
      <c r="M107" s="21">
        <f t="shared" si="28"/>
        <v>0</v>
      </c>
      <c r="N107" s="667"/>
      <c r="O107" s="21">
        <f t="shared" si="29"/>
        <v>-0.01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0.05</v>
      </c>
      <c r="L108" s="667"/>
      <c r="M108" s="21">
        <f t="shared" si="28"/>
        <v>0</v>
      </c>
      <c r="N108" s="667"/>
      <c r="O108" s="21">
        <f t="shared" si="29"/>
        <v>-0.01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0.05</v>
      </c>
      <c r="L109" s="667"/>
      <c r="M109" s="21">
        <f t="shared" si="28"/>
        <v>0</v>
      </c>
      <c r="N109" s="667"/>
      <c r="O109" s="21">
        <f t="shared" si="29"/>
        <v>-0.01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0.05</v>
      </c>
      <c r="L110" s="667"/>
      <c r="M110" s="21">
        <f t="shared" si="28"/>
        <v>0</v>
      </c>
      <c r="N110" s="667"/>
      <c r="O110" s="21">
        <f t="shared" si="29"/>
        <v>-0.01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0.05</v>
      </c>
      <c r="L111" s="667"/>
      <c r="M111" s="21">
        <f t="shared" si="28"/>
        <v>0</v>
      </c>
      <c r="N111" s="667"/>
      <c r="O111" s="21">
        <f t="shared" si="29"/>
        <v>-0.01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0.05</v>
      </c>
      <c r="L112" s="667"/>
      <c r="M112" s="21">
        <f t="shared" si="28"/>
        <v>0</v>
      </c>
      <c r="N112" s="667"/>
      <c r="O112" s="21">
        <f t="shared" si="29"/>
        <v>-0.01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0.05</v>
      </c>
      <c r="L113" s="667"/>
      <c r="M113" s="21">
        <f t="shared" si="28"/>
        <v>0</v>
      </c>
      <c r="N113" s="667"/>
      <c r="O113" s="21">
        <f t="shared" si="29"/>
        <v>-0.01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0.05</v>
      </c>
      <c r="L114" s="667"/>
      <c r="M114" s="21">
        <f t="shared" si="28"/>
        <v>0</v>
      </c>
      <c r="N114" s="667"/>
      <c r="O114" s="21">
        <f t="shared" si="29"/>
        <v>-0.01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0.05</v>
      </c>
      <c r="L115" s="667"/>
      <c r="M115" s="21">
        <f t="shared" si="28"/>
        <v>0</v>
      </c>
      <c r="N115" s="667"/>
      <c r="O115" s="21">
        <f t="shared" si="29"/>
        <v>-0.01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0.05</v>
      </c>
      <c r="L116" s="667"/>
      <c r="M116" s="21">
        <f t="shared" si="28"/>
        <v>0</v>
      </c>
      <c r="N116" s="667"/>
      <c r="O116" s="21">
        <f t="shared" si="29"/>
        <v>-0.01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0.05</v>
      </c>
      <c r="L117" s="667"/>
      <c r="M117" s="21">
        <f t="shared" si="28"/>
        <v>0</v>
      </c>
      <c r="N117" s="667"/>
      <c r="O117" s="21">
        <f t="shared" si="29"/>
        <v>-0.01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0.05</v>
      </c>
      <c r="L118" s="667"/>
      <c r="M118" s="21">
        <f t="shared" si="28"/>
        <v>0</v>
      </c>
      <c r="N118" s="667"/>
      <c r="O118" s="21">
        <f t="shared" si="29"/>
        <v>-0.01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0.05</v>
      </c>
      <c r="L119" s="667"/>
      <c r="M119" s="21">
        <f t="shared" si="28"/>
        <v>0</v>
      </c>
      <c r="N119" s="667"/>
      <c r="O119" s="21">
        <f t="shared" si="29"/>
        <v>-0.01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0.05</v>
      </c>
      <c r="L120" s="667"/>
      <c r="M120" s="21">
        <f t="shared" si="28"/>
        <v>0</v>
      </c>
      <c r="N120" s="667"/>
      <c r="O120" s="21">
        <f t="shared" si="29"/>
        <v>-0.01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0.05</v>
      </c>
      <c r="L121" s="667"/>
      <c r="M121" s="21">
        <f t="shared" si="28"/>
        <v>0</v>
      </c>
      <c r="N121" s="667"/>
      <c r="O121" s="21">
        <f t="shared" si="29"/>
        <v>-0.01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0.05</v>
      </c>
      <c r="L122" s="667"/>
      <c r="M122" s="21">
        <f t="shared" si="28"/>
        <v>0</v>
      </c>
      <c r="N122" s="667"/>
      <c r="O122" s="21">
        <f t="shared" si="29"/>
        <v>-0.01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0.05</v>
      </c>
      <c r="L123" s="667"/>
      <c r="M123" s="21">
        <f t="shared" si="28"/>
        <v>0</v>
      </c>
      <c r="N123" s="667"/>
      <c r="O123" s="21">
        <f t="shared" si="29"/>
        <v>-0.01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0.05</v>
      </c>
      <c r="L124" s="667"/>
      <c r="M124" s="21">
        <f t="shared" si="28"/>
        <v>0</v>
      </c>
      <c r="N124" s="667"/>
      <c r="O124" s="21">
        <f t="shared" si="29"/>
        <v>-0.01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0.05</v>
      </c>
      <c r="L125" s="667"/>
      <c r="M125" s="21">
        <f t="shared" si="28"/>
        <v>0</v>
      </c>
      <c r="N125" s="667"/>
      <c r="O125" s="21">
        <f t="shared" si="29"/>
        <v>-0.01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0.05</v>
      </c>
      <c r="L126" s="667"/>
      <c r="M126" s="21">
        <f t="shared" si="28"/>
        <v>0</v>
      </c>
      <c r="N126" s="667"/>
      <c r="O126" s="21">
        <f t="shared" si="29"/>
        <v>-0.01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0.05</v>
      </c>
      <c r="L127" s="667"/>
      <c r="M127" s="21">
        <f t="shared" si="28"/>
        <v>0</v>
      </c>
      <c r="N127" s="667"/>
      <c r="O127" s="21">
        <f t="shared" si="29"/>
        <v>-0.01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0.05</v>
      </c>
      <c r="L128" s="667"/>
      <c r="M128" s="21">
        <f t="shared" si="28"/>
        <v>0</v>
      </c>
      <c r="N128" s="667"/>
      <c r="O128" s="21">
        <f t="shared" si="29"/>
        <v>-0.01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0.05</v>
      </c>
      <c r="L129" s="667"/>
      <c r="M129" s="21">
        <f t="shared" si="28"/>
        <v>0</v>
      </c>
      <c r="N129" s="667"/>
      <c r="O129" s="21">
        <f t="shared" si="29"/>
        <v>-0.01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0.05</v>
      </c>
      <c r="L130" s="667"/>
      <c r="M130" s="21">
        <f t="shared" si="28"/>
        <v>0</v>
      </c>
      <c r="N130" s="667"/>
      <c r="O130" s="21">
        <f t="shared" si="29"/>
        <v>-0.01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0.05</v>
      </c>
      <c r="L131" s="667"/>
      <c r="M131" s="21">
        <f t="shared" si="28"/>
        <v>0</v>
      </c>
      <c r="N131" s="667"/>
      <c r="O131" s="21">
        <f t="shared" si="29"/>
        <v>-0.01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0.05</v>
      </c>
      <c r="L132" s="667"/>
      <c r="M132" s="21">
        <f t="shared" si="28"/>
        <v>0</v>
      </c>
      <c r="N132" s="667"/>
      <c r="O132" s="21">
        <f t="shared" si="29"/>
        <v>-0.01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0.05</v>
      </c>
      <c r="L133" s="667"/>
      <c r="M133" s="21">
        <f t="shared" si="28"/>
        <v>0</v>
      </c>
      <c r="N133" s="667"/>
      <c r="O133" s="21">
        <f t="shared" si="29"/>
        <v>-0.01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0.05</v>
      </c>
      <c r="L134" s="667"/>
      <c r="M134" s="21">
        <f t="shared" si="28"/>
        <v>0</v>
      </c>
      <c r="N134" s="667"/>
      <c r="O134" s="21">
        <f t="shared" si="29"/>
        <v>-0.01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0.05</v>
      </c>
      <c r="L135" s="667"/>
      <c r="M135" s="21">
        <f t="shared" si="28"/>
        <v>0</v>
      </c>
      <c r="N135" s="667"/>
      <c r="O135" s="21">
        <f t="shared" si="29"/>
        <v>-0.01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0.05</v>
      </c>
      <c r="L136" s="667"/>
      <c r="M136" s="21">
        <f t="shared" si="28"/>
        <v>0</v>
      </c>
      <c r="N136" s="667"/>
      <c r="O136" s="21">
        <f t="shared" si="29"/>
        <v>-0.01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0.05</v>
      </c>
      <c r="L137" s="667"/>
      <c r="M137" s="21">
        <f t="shared" si="28"/>
        <v>0</v>
      </c>
      <c r="N137" s="667"/>
      <c r="O137" s="21">
        <f t="shared" si="29"/>
        <v>-0.01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0.05</v>
      </c>
      <c r="L138" s="667"/>
      <c r="M138" s="21">
        <f t="shared" si="28"/>
        <v>0</v>
      </c>
      <c r="N138" s="667"/>
      <c r="O138" s="21">
        <f t="shared" si="29"/>
        <v>-0.01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0.05</v>
      </c>
      <c r="L139" s="667"/>
      <c r="M139" s="21">
        <f t="shared" si="28"/>
        <v>0</v>
      </c>
      <c r="N139" s="667"/>
      <c r="O139" s="21">
        <f t="shared" si="29"/>
        <v>-0.01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0.05</v>
      </c>
      <c r="L140" s="667"/>
      <c r="M140" s="21">
        <f t="shared" si="28"/>
        <v>0</v>
      </c>
      <c r="N140" s="667"/>
      <c r="O140" s="21">
        <f t="shared" si="29"/>
        <v>-0.01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0.05</v>
      </c>
      <c r="L141" s="667"/>
      <c r="M141" s="21">
        <f t="shared" si="28"/>
        <v>0</v>
      </c>
      <c r="N141" s="667"/>
      <c r="O141" s="21">
        <f t="shared" si="29"/>
        <v>-0.01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0.05</v>
      </c>
      <c r="L142" s="667"/>
      <c r="M142" s="21">
        <f t="shared" si="28"/>
        <v>0</v>
      </c>
      <c r="N142" s="667"/>
      <c r="O142" s="21">
        <f t="shared" si="29"/>
        <v>-0.01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0.05</v>
      </c>
      <c r="L143" s="667"/>
      <c r="M143" s="21">
        <f t="shared" si="28"/>
        <v>0</v>
      </c>
      <c r="N143" s="667"/>
      <c r="O143" s="21">
        <f t="shared" si="29"/>
        <v>-0.01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0.05</v>
      </c>
      <c r="L144" s="667"/>
      <c r="M144" s="21">
        <f t="shared" si="28"/>
        <v>0</v>
      </c>
      <c r="N144" s="667"/>
      <c r="O144" s="21">
        <f t="shared" si="29"/>
        <v>-0.01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0.05</v>
      </c>
      <c r="L145" s="667"/>
      <c r="M145" s="21">
        <f t="shared" si="28"/>
        <v>0</v>
      </c>
      <c r="N145" s="667"/>
      <c r="O145" s="21">
        <f t="shared" si="29"/>
        <v>-0.01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0.05</v>
      </c>
      <c r="L146" s="667"/>
      <c r="M146" s="21">
        <f t="shared" si="28"/>
        <v>0</v>
      </c>
      <c r="N146" s="667"/>
      <c r="O146" s="21">
        <f t="shared" si="29"/>
        <v>-0.01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0.05</v>
      </c>
      <c r="L147" s="667"/>
      <c r="M147" s="21">
        <f t="shared" si="28"/>
        <v>0</v>
      </c>
      <c r="N147" s="667"/>
      <c r="O147" s="21">
        <f t="shared" si="29"/>
        <v>-0.01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0.05</v>
      </c>
      <c r="L148" s="667"/>
      <c r="M148" s="21">
        <f t="shared" si="28"/>
        <v>0</v>
      </c>
      <c r="N148" s="667"/>
      <c r="O148" s="21">
        <f t="shared" si="29"/>
        <v>-0.01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0.05</v>
      </c>
      <c r="L149" s="667"/>
      <c r="M149" s="21">
        <f t="shared" si="28"/>
        <v>0</v>
      </c>
      <c r="N149" s="667"/>
      <c r="O149" s="21">
        <f t="shared" si="29"/>
        <v>-0.01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0.05</v>
      </c>
      <c r="L150" s="667"/>
      <c r="M150" s="21">
        <f t="shared" si="28"/>
        <v>0</v>
      </c>
      <c r="N150" s="667"/>
      <c r="O150" s="21">
        <f t="shared" si="29"/>
        <v>-0.01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0.05</v>
      </c>
      <c r="L151" s="667"/>
      <c r="M151" s="21">
        <f t="shared" si="28"/>
        <v>0</v>
      </c>
      <c r="N151" s="667"/>
      <c r="O151" s="21">
        <f t="shared" si="29"/>
        <v>-0.01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0.05</v>
      </c>
      <c r="L152" s="667"/>
      <c r="M152" s="21">
        <f t="shared" si="28"/>
        <v>0</v>
      </c>
      <c r="N152" s="667"/>
      <c r="O152" s="21">
        <f t="shared" si="29"/>
        <v>-0.01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0.05</v>
      </c>
      <c r="L153" s="667"/>
      <c r="M153" s="21">
        <f t="shared" si="28"/>
        <v>0</v>
      </c>
      <c r="N153" s="667"/>
      <c r="O153" s="21">
        <f t="shared" si="29"/>
        <v>-0.01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0.05</v>
      </c>
      <c r="L154" s="667"/>
      <c r="M154" s="21">
        <f t="shared" ref="M154:M217" si="38">(SUMIF($13:$13,L154,$14:$14)-SUMIF($13:$13,$L$24,$14:$14)+100)/100</f>
        <v>0</v>
      </c>
      <c r="N154" s="667"/>
      <c r="O154" s="21">
        <f t="shared" ref="O154:O217" si="39">(SUMIF($15:$15,N154,$16:$16)-SUMIF($15:$15,$N$24,$16:$16)+100)/100</f>
        <v>-0.01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0.05</v>
      </c>
      <c r="L155" s="667"/>
      <c r="M155" s="21">
        <f t="shared" si="38"/>
        <v>0</v>
      </c>
      <c r="N155" s="667"/>
      <c r="O155" s="21">
        <f t="shared" si="39"/>
        <v>-0.01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0.05</v>
      </c>
      <c r="L156" s="667"/>
      <c r="M156" s="21">
        <f t="shared" si="38"/>
        <v>0</v>
      </c>
      <c r="N156" s="667"/>
      <c r="O156" s="21">
        <f t="shared" si="39"/>
        <v>-0.01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0.05</v>
      </c>
      <c r="L157" s="667"/>
      <c r="M157" s="21">
        <f t="shared" si="38"/>
        <v>0</v>
      </c>
      <c r="N157" s="667"/>
      <c r="O157" s="21">
        <f t="shared" si="39"/>
        <v>-0.01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0.05</v>
      </c>
      <c r="L158" s="667"/>
      <c r="M158" s="21">
        <f t="shared" si="38"/>
        <v>0</v>
      </c>
      <c r="N158" s="667"/>
      <c r="O158" s="21">
        <f t="shared" si="39"/>
        <v>-0.01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0.05</v>
      </c>
      <c r="L159" s="667"/>
      <c r="M159" s="21">
        <f t="shared" si="38"/>
        <v>0</v>
      </c>
      <c r="N159" s="667"/>
      <c r="O159" s="21">
        <f t="shared" si="39"/>
        <v>-0.01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0.05</v>
      </c>
      <c r="L160" s="667"/>
      <c r="M160" s="21">
        <f t="shared" si="38"/>
        <v>0</v>
      </c>
      <c r="N160" s="667"/>
      <c r="O160" s="21">
        <f t="shared" si="39"/>
        <v>-0.01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0.05</v>
      </c>
      <c r="L161" s="667"/>
      <c r="M161" s="21">
        <f t="shared" si="38"/>
        <v>0</v>
      </c>
      <c r="N161" s="667"/>
      <c r="O161" s="21">
        <f t="shared" si="39"/>
        <v>-0.01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0.05</v>
      </c>
      <c r="L162" s="667"/>
      <c r="M162" s="21">
        <f t="shared" si="38"/>
        <v>0</v>
      </c>
      <c r="N162" s="667"/>
      <c r="O162" s="21">
        <f t="shared" si="39"/>
        <v>-0.01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0.05</v>
      </c>
      <c r="L163" s="667"/>
      <c r="M163" s="21">
        <f t="shared" si="38"/>
        <v>0</v>
      </c>
      <c r="N163" s="667"/>
      <c r="O163" s="21">
        <f t="shared" si="39"/>
        <v>-0.01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0.05</v>
      </c>
      <c r="L164" s="667"/>
      <c r="M164" s="21">
        <f t="shared" si="38"/>
        <v>0</v>
      </c>
      <c r="N164" s="667"/>
      <c r="O164" s="21">
        <f t="shared" si="39"/>
        <v>-0.01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0.05</v>
      </c>
      <c r="L165" s="667"/>
      <c r="M165" s="21">
        <f t="shared" si="38"/>
        <v>0</v>
      </c>
      <c r="N165" s="667"/>
      <c r="O165" s="21">
        <f t="shared" si="39"/>
        <v>-0.01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0.05</v>
      </c>
      <c r="L166" s="667"/>
      <c r="M166" s="21">
        <f t="shared" si="38"/>
        <v>0</v>
      </c>
      <c r="N166" s="667"/>
      <c r="O166" s="21">
        <f t="shared" si="39"/>
        <v>-0.01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0.05</v>
      </c>
      <c r="L167" s="667"/>
      <c r="M167" s="21">
        <f t="shared" si="38"/>
        <v>0</v>
      </c>
      <c r="N167" s="667"/>
      <c r="O167" s="21">
        <f t="shared" si="39"/>
        <v>-0.01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0.05</v>
      </c>
      <c r="L168" s="667"/>
      <c r="M168" s="21">
        <f t="shared" si="38"/>
        <v>0</v>
      </c>
      <c r="N168" s="667"/>
      <c r="O168" s="21">
        <f t="shared" si="39"/>
        <v>-0.01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0.05</v>
      </c>
      <c r="L169" s="667"/>
      <c r="M169" s="21">
        <f t="shared" si="38"/>
        <v>0</v>
      </c>
      <c r="N169" s="667"/>
      <c r="O169" s="21">
        <f t="shared" si="39"/>
        <v>-0.01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0.05</v>
      </c>
      <c r="L170" s="667"/>
      <c r="M170" s="21">
        <f t="shared" si="38"/>
        <v>0</v>
      </c>
      <c r="N170" s="667"/>
      <c r="O170" s="21">
        <f t="shared" si="39"/>
        <v>-0.01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0.05</v>
      </c>
      <c r="L171" s="667"/>
      <c r="M171" s="21">
        <f t="shared" si="38"/>
        <v>0</v>
      </c>
      <c r="N171" s="667"/>
      <c r="O171" s="21">
        <f t="shared" si="39"/>
        <v>-0.01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0.05</v>
      </c>
      <c r="L172" s="667"/>
      <c r="M172" s="21">
        <f t="shared" si="38"/>
        <v>0</v>
      </c>
      <c r="N172" s="667"/>
      <c r="O172" s="21">
        <f t="shared" si="39"/>
        <v>-0.01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0.05</v>
      </c>
      <c r="L173" s="667"/>
      <c r="M173" s="21">
        <f t="shared" si="38"/>
        <v>0</v>
      </c>
      <c r="N173" s="667"/>
      <c r="O173" s="21">
        <f t="shared" si="39"/>
        <v>-0.01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0.05</v>
      </c>
      <c r="L174" s="667"/>
      <c r="M174" s="21">
        <f t="shared" si="38"/>
        <v>0</v>
      </c>
      <c r="N174" s="667"/>
      <c r="O174" s="21">
        <f t="shared" si="39"/>
        <v>-0.01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0.05</v>
      </c>
      <c r="L175" s="667"/>
      <c r="M175" s="21">
        <f t="shared" si="38"/>
        <v>0</v>
      </c>
      <c r="N175" s="667"/>
      <c r="O175" s="21">
        <f t="shared" si="39"/>
        <v>-0.01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0.05</v>
      </c>
      <c r="L176" s="667"/>
      <c r="M176" s="21">
        <f t="shared" si="38"/>
        <v>0</v>
      </c>
      <c r="N176" s="667"/>
      <c r="O176" s="21">
        <f t="shared" si="39"/>
        <v>-0.01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0.05</v>
      </c>
      <c r="L177" s="667"/>
      <c r="M177" s="21">
        <f t="shared" si="38"/>
        <v>0</v>
      </c>
      <c r="N177" s="667"/>
      <c r="O177" s="21">
        <f t="shared" si="39"/>
        <v>-0.01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0.05</v>
      </c>
      <c r="L178" s="667"/>
      <c r="M178" s="21">
        <f t="shared" si="38"/>
        <v>0</v>
      </c>
      <c r="N178" s="667"/>
      <c r="O178" s="21">
        <f t="shared" si="39"/>
        <v>-0.01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0.05</v>
      </c>
      <c r="L179" s="667"/>
      <c r="M179" s="21">
        <f t="shared" si="38"/>
        <v>0</v>
      </c>
      <c r="N179" s="667"/>
      <c r="O179" s="21">
        <f t="shared" si="39"/>
        <v>-0.01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0.05</v>
      </c>
      <c r="L180" s="667"/>
      <c r="M180" s="21">
        <f t="shared" si="38"/>
        <v>0</v>
      </c>
      <c r="N180" s="667"/>
      <c r="O180" s="21">
        <f t="shared" si="39"/>
        <v>-0.01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0.05</v>
      </c>
      <c r="L181" s="667"/>
      <c r="M181" s="21">
        <f t="shared" si="38"/>
        <v>0</v>
      </c>
      <c r="N181" s="667"/>
      <c r="O181" s="21">
        <f t="shared" si="39"/>
        <v>-0.01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0.05</v>
      </c>
      <c r="L182" s="667"/>
      <c r="M182" s="21">
        <f t="shared" si="38"/>
        <v>0</v>
      </c>
      <c r="N182" s="667"/>
      <c r="O182" s="21">
        <f t="shared" si="39"/>
        <v>-0.01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0.05</v>
      </c>
      <c r="L183" s="667"/>
      <c r="M183" s="21">
        <f t="shared" si="38"/>
        <v>0</v>
      </c>
      <c r="N183" s="667"/>
      <c r="O183" s="21">
        <f t="shared" si="39"/>
        <v>-0.01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0.05</v>
      </c>
      <c r="L184" s="667"/>
      <c r="M184" s="21">
        <f t="shared" si="38"/>
        <v>0</v>
      </c>
      <c r="N184" s="667"/>
      <c r="O184" s="21">
        <f t="shared" si="39"/>
        <v>-0.01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0.05</v>
      </c>
      <c r="L185" s="667"/>
      <c r="M185" s="21">
        <f t="shared" si="38"/>
        <v>0</v>
      </c>
      <c r="N185" s="667"/>
      <c r="O185" s="21">
        <f t="shared" si="39"/>
        <v>-0.01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0.05</v>
      </c>
      <c r="L186" s="667"/>
      <c r="M186" s="21">
        <f t="shared" si="38"/>
        <v>0</v>
      </c>
      <c r="N186" s="667"/>
      <c r="O186" s="21">
        <f t="shared" si="39"/>
        <v>-0.01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0.05</v>
      </c>
      <c r="L187" s="667"/>
      <c r="M187" s="21">
        <f t="shared" si="38"/>
        <v>0</v>
      </c>
      <c r="N187" s="667"/>
      <c r="O187" s="21">
        <f t="shared" si="39"/>
        <v>-0.01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0.05</v>
      </c>
      <c r="L188" s="667"/>
      <c r="M188" s="21">
        <f t="shared" si="38"/>
        <v>0</v>
      </c>
      <c r="N188" s="667"/>
      <c r="O188" s="21">
        <f t="shared" si="39"/>
        <v>-0.01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0.05</v>
      </c>
      <c r="L189" s="667"/>
      <c r="M189" s="21">
        <f t="shared" si="38"/>
        <v>0</v>
      </c>
      <c r="N189" s="667"/>
      <c r="O189" s="21">
        <f t="shared" si="39"/>
        <v>-0.01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0.05</v>
      </c>
      <c r="L190" s="667"/>
      <c r="M190" s="21">
        <f t="shared" si="38"/>
        <v>0</v>
      </c>
      <c r="N190" s="667"/>
      <c r="O190" s="21">
        <f t="shared" si="39"/>
        <v>-0.01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0.05</v>
      </c>
      <c r="L191" s="667"/>
      <c r="M191" s="21">
        <f t="shared" si="38"/>
        <v>0</v>
      </c>
      <c r="N191" s="667"/>
      <c r="O191" s="21">
        <f t="shared" si="39"/>
        <v>-0.01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0.05</v>
      </c>
      <c r="L192" s="667"/>
      <c r="M192" s="21">
        <f t="shared" si="38"/>
        <v>0</v>
      </c>
      <c r="N192" s="667"/>
      <c r="O192" s="21">
        <f t="shared" si="39"/>
        <v>-0.01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0.05</v>
      </c>
      <c r="L193" s="667"/>
      <c r="M193" s="21">
        <f t="shared" si="38"/>
        <v>0</v>
      </c>
      <c r="N193" s="667"/>
      <c r="O193" s="21">
        <f t="shared" si="39"/>
        <v>-0.01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0.05</v>
      </c>
      <c r="L194" s="667"/>
      <c r="M194" s="21">
        <f t="shared" si="38"/>
        <v>0</v>
      </c>
      <c r="N194" s="667"/>
      <c r="O194" s="21">
        <f t="shared" si="39"/>
        <v>-0.01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0.05</v>
      </c>
      <c r="L195" s="667"/>
      <c r="M195" s="21">
        <f t="shared" si="38"/>
        <v>0</v>
      </c>
      <c r="N195" s="667"/>
      <c r="O195" s="21">
        <f t="shared" si="39"/>
        <v>-0.01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0.05</v>
      </c>
      <c r="L196" s="667"/>
      <c r="M196" s="21">
        <f t="shared" si="38"/>
        <v>0</v>
      </c>
      <c r="N196" s="667"/>
      <c r="O196" s="21">
        <f t="shared" si="39"/>
        <v>-0.01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0.05</v>
      </c>
      <c r="L197" s="667"/>
      <c r="M197" s="21">
        <f t="shared" si="38"/>
        <v>0</v>
      </c>
      <c r="N197" s="667"/>
      <c r="O197" s="21">
        <f t="shared" si="39"/>
        <v>-0.01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0.05</v>
      </c>
      <c r="L198" s="667"/>
      <c r="M198" s="21">
        <f t="shared" si="38"/>
        <v>0</v>
      </c>
      <c r="N198" s="667"/>
      <c r="O198" s="21">
        <f t="shared" si="39"/>
        <v>-0.01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0.05</v>
      </c>
      <c r="L199" s="667"/>
      <c r="M199" s="21">
        <f t="shared" si="38"/>
        <v>0</v>
      </c>
      <c r="N199" s="667"/>
      <c r="O199" s="21">
        <f t="shared" si="39"/>
        <v>-0.01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0.05</v>
      </c>
      <c r="L200" s="667"/>
      <c r="M200" s="21">
        <f t="shared" si="38"/>
        <v>0</v>
      </c>
      <c r="N200" s="667"/>
      <c r="O200" s="21">
        <f t="shared" si="39"/>
        <v>-0.01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0.05</v>
      </c>
      <c r="L201" s="667"/>
      <c r="M201" s="21">
        <f t="shared" si="38"/>
        <v>0</v>
      </c>
      <c r="N201" s="667"/>
      <c r="O201" s="21">
        <f t="shared" si="39"/>
        <v>-0.01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0.05</v>
      </c>
      <c r="L202" s="667"/>
      <c r="M202" s="21">
        <f t="shared" si="38"/>
        <v>0</v>
      </c>
      <c r="N202" s="667"/>
      <c r="O202" s="21">
        <f t="shared" si="39"/>
        <v>-0.01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0.05</v>
      </c>
      <c r="L203" s="667"/>
      <c r="M203" s="21">
        <f t="shared" si="38"/>
        <v>0</v>
      </c>
      <c r="N203" s="667"/>
      <c r="O203" s="21">
        <f t="shared" si="39"/>
        <v>-0.01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0.05</v>
      </c>
      <c r="L204" s="667"/>
      <c r="M204" s="21">
        <f t="shared" si="38"/>
        <v>0</v>
      </c>
      <c r="N204" s="667"/>
      <c r="O204" s="21">
        <f t="shared" si="39"/>
        <v>-0.01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0.05</v>
      </c>
      <c r="L205" s="667"/>
      <c r="M205" s="21">
        <f t="shared" si="38"/>
        <v>0</v>
      </c>
      <c r="N205" s="667"/>
      <c r="O205" s="21">
        <f t="shared" si="39"/>
        <v>-0.01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0.05</v>
      </c>
      <c r="L206" s="667"/>
      <c r="M206" s="21">
        <f t="shared" si="38"/>
        <v>0</v>
      </c>
      <c r="N206" s="667"/>
      <c r="O206" s="21">
        <f t="shared" si="39"/>
        <v>-0.01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0.05</v>
      </c>
      <c r="L207" s="667"/>
      <c r="M207" s="21">
        <f t="shared" si="38"/>
        <v>0</v>
      </c>
      <c r="N207" s="667"/>
      <c r="O207" s="21">
        <f t="shared" si="39"/>
        <v>-0.01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0.05</v>
      </c>
      <c r="L208" s="667"/>
      <c r="M208" s="21">
        <f t="shared" si="38"/>
        <v>0</v>
      </c>
      <c r="N208" s="667"/>
      <c r="O208" s="21">
        <f t="shared" si="39"/>
        <v>-0.01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0.05</v>
      </c>
      <c r="L209" s="667"/>
      <c r="M209" s="21">
        <f t="shared" si="38"/>
        <v>0</v>
      </c>
      <c r="N209" s="667"/>
      <c r="O209" s="21">
        <f t="shared" si="39"/>
        <v>-0.01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0.05</v>
      </c>
      <c r="L210" s="667"/>
      <c r="M210" s="21">
        <f t="shared" si="38"/>
        <v>0</v>
      </c>
      <c r="N210" s="667"/>
      <c r="O210" s="21">
        <f t="shared" si="39"/>
        <v>-0.01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0.05</v>
      </c>
      <c r="L211" s="667"/>
      <c r="M211" s="21">
        <f t="shared" si="38"/>
        <v>0</v>
      </c>
      <c r="N211" s="667"/>
      <c r="O211" s="21">
        <f t="shared" si="39"/>
        <v>-0.01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0.05</v>
      </c>
      <c r="L212" s="667"/>
      <c r="M212" s="21">
        <f t="shared" si="38"/>
        <v>0</v>
      </c>
      <c r="N212" s="667"/>
      <c r="O212" s="21">
        <f t="shared" si="39"/>
        <v>-0.01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0.05</v>
      </c>
      <c r="L213" s="667"/>
      <c r="M213" s="21">
        <f t="shared" si="38"/>
        <v>0</v>
      </c>
      <c r="N213" s="667"/>
      <c r="O213" s="21">
        <f t="shared" si="39"/>
        <v>-0.01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0.05</v>
      </c>
      <c r="L214" s="667"/>
      <c r="M214" s="21">
        <f t="shared" si="38"/>
        <v>0</v>
      </c>
      <c r="N214" s="667"/>
      <c r="O214" s="21">
        <f t="shared" si="39"/>
        <v>-0.01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0.05</v>
      </c>
      <c r="L215" s="667"/>
      <c r="M215" s="21">
        <f t="shared" si="38"/>
        <v>0</v>
      </c>
      <c r="N215" s="667"/>
      <c r="O215" s="21">
        <f t="shared" si="39"/>
        <v>-0.01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0.05</v>
      </c>
      <c r="L216" s="667"/>
      <c r="M216" s="21">
        <f t="shared" si="38"/>
        <v>0</v>
      </c>
      <c r="N216" s="667"/>
      <c r="O216" s="21">
        <f t="shared" si="39"/>
        <v>-0.01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0.05</v>
      </c>
      <c r="L217" s="667"/>
      <c r="M217" s="21">
        <f t="shared" si="38"/>
        <v>0</v>
      </c>
      <c r="N217" s="667"/>
      <c r="O217" s="21">
        <f t="shared" si="39"/>
        <v>-0.01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0.05</v>
      </c>
      <c r="L218" s="667"/>
      <c r="M218" s="21">
        <f t="shared" ref="M218:M281" si="48">(SUMIF($13:$13,L218,$14:$14)-SUMIF($13:$13,$L$24,$14:$14)+100)/100</f>
        <v>0</v>
      </c>
      <c r="N218" s="667"/>
      <c r="O218" s="21">
        <f t="shared" ref="O218:O281" si="49">(SUMIF($15:$15,N218,$16:$16)-SUMIF($15:$15,$N$24,$16:$16)+100)/100</f>
        <v>-0.01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0.05</v>
      </c>
      <c r="L219" s="667"/>
      <c r="M219" s="21">
        <f t="shared" si="48"/>
        <v>0</v>
      </c>
      <c r="N219" s="667"/>
      <c r="O219" s="21">
        <f t="shared" si="49"/>
        <v>-0.01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0.05</v>
      </c>
      <c r="L220" s="667"/>
      <c r="M220" s="21">
        <f t="shared" si="48"/>
        <v>0</v>
      </c>
      <c r="N220" s="667"/>
      <c r="O220" s="21">
        <f t="shared" si="49"/>
        <v>-0.01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0.05</v>
      </c>
      <c r="L221" s="667"/>
      <c r="M221" s="21">
        <f t="shared" si="48"/>
        <v>0</v>
      </c>
      <c r="N221" s="667"/>
      <c r="O221" s="21">
        <f t="shared" si="49"/>
        <v>-0.01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0.05</v>
      </c>
      <c r="L222" s="667"/>
      <c r="M222" s="21">
        <f t="shared" si="48"/>
        <v>0</v>
      </c>
      <c r="N222" s="667"/>
      <c r="O222" s="21">
        <f t="shared" si="49"/>
        <v>-0.01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0.05</v>
      </c>
      <c r="L223" s="667"/>
      <c r="M223" s="21">
        <f t="shared" si="48"/>
        <v>0</v>
      </c>
      <c r="N223" s="667"/>
      <c r="O223" s="21">
        <f t="shared" si="49"/>
        <v>-0.01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0.05</v>
      </c>
      <c r="L224" s="667"/>
      <c r="M224" s="21">
        <f t="shared" si="48"/>
        <v>0</v>
      </c>
      <c r="N224" s="667"/>
      <c r="O224" s="21">
        <f t="shared" si="49"/>
        <v>-0.01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0.05</v>
      </c>
      <c r="L225" s="667"/>
      <c r="M225" s="21">
        <f t="shared" si="48"/>
        <v>0</v>
      </c>
      <c r="N225" s="667"/>
      <c r="O225" s="21">
        <f t="shared" si="49"/>
        <v>-0.01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0.05</v>
      </c>
      <c r="L226" s="667"/>
      <c r="M226" s="21">
        <f t="shared" si="48"/>
        <v>0</v>
      </c>
      <c r="N226" s="667"/>
      <c r="O226" s="21">
        <f t="shared" si="49"/>
        <v>-0.01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0.05</v>
      </c>
      <c r="L227" s="667"/>
      <c r="M227" s="21">
        <f t="shared" si="48"/>
        <v>0</v>
      </c>
      <c r="N227" s="667"/>
      <c r="O227" s="21">
        <f t="shared" si="49"/>
        <v>-0.01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0.05</v>
      </c>
      <c r="L228" s="667"/>
      <c r="M228" s="21">
        <f t="shared" si="48"/>
        <v>0</v>
      </c>
      <c r="N228" s="667"/>
      <c r="O228" s="21">
        <f t="shared" si="49"/>
        <v>-0.01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0.05</v>
      </c>
      <c r="L229" s="667"/>
      <c r="M229" s="21">
        <f t="shared" si="48"/>
        <v>0</v>
      </c>
      <c r="N229" s="667"/>
      <c r="O229" s="21">
        <f t="shared" si="49"/>
        <v>-0.01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0.05</v>
      </c>
      <c r="L230" s="667"/>
      <c r="M230" s="21">
        <f t="shared" si="48"/>
        <v>0</v>
      </c>
      <c r="N230" s="667"/>
      <c r="O230" s="21">
        <f t="shared" si="49"/>
        <v>-0.01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0.05</v>
      </c>
      <c r="L231" s="667"/>
      <c r="M231" s="21">
        <f t="shared" si="48"/>
        <v>0</v>
      </c>
      <c r="N231" s="667"/>
      <c r="O231" s="21">
        <f t="shared" si="49"/>
        <v>-0.01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0.05</v>
      </c>
      <c r="L232" s="667"/>
      <c r="M232" s="21">
        <f t="shared" si="48"/>
        <v>0</v>
      </c>
      <c r="N232" s="667"/>
      <c r="O232" s="21">
        <f t="shared" si="49"/>
        <v>-0.01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0.05</v>
      </c>
      <c r="L233" s="667"/>
      <c r="M233" s="21">
        <f t="shared" si="48"/>
        <v>0</v>
      </c>
      <c r="N233" s="667"/>
      <c r="O233" s="21">
        <f t="shared" si="49"/>
        <v>-0.01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0.05</v>
      </c>
      <c r="L234" s="667"/>
      <c r="M234" s="21">
        <f t="shared" si="48"/>
        <v>0</v>
      </c>
      <c r="N234" s="667"/>
      <c r="O234" s="21">
        <f t="shared" si="49"/>
        <v>-0.01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0.05</v>
      </c>
      <c r="L235" s="667"/>
      <c r="M235" s="21">
        <f t="shared" si="48"/>
        <v>0</v>
      </c>
      <c r="N235" s="667"/>
      <c r="O235" s="21">
        <f t="shared" si="49"/>
        <v>-0.01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0.05</v>
      </c>
      <c r="L236" s="667"/>
      <c r="M236" s="21">
        <f t="shared" si="48"/>
        <v>0</v>
      </c>
      <c r="N236" s="667"/>
      <c r="O236" s="21">
        <f t="shared" si="49"/>
        <v>-0.01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0.05</v>
      </c>
      <c r="L237" s="667"/>
      <c r="M237" s="21">
        <f t="shared" si="48"/>
        <v>0</v>
      </c>
      <c r="N237" s="667"/>
      <c r="O237" s="21">
        <f t="shared" si="49"/>
        <v>-0.01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0.05</v>
      </c>
      <c r="L238" s="667"/>
      <c r="M238" s="21">
        <f t="shared" si="48"/>
        <v>0</v>
      </c>
      <c r="N238" s="667"/>
      <c r="O238" s="21">
        <f t="shared" si="49"/>
        <v>-0.01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0.05</v>
      </c>
      <c r="L239" s="667"/>
      <c r="M239" s="21">
        <f t="shared" si="48"/>
        <v>0</v>
      </c>
      <c r="N239" s="667"/>
      <c r="O239" s="21">
        <f t="shared" si="49"/>
        <v>-0.01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0.05</v>
      </c>
      <c r="L240" s="667"/>
      <c r="M240" s="21">
        <f t="shared" si="48"/>
        <v>0</v>
      </c>
      <c r="N240" s="667"/>
      <c r="O240" s="21">
        <f t="shared" si="49"/>
        <v>-0.01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0.05</v>
      </c>
      <c r="L241" s="667"/>
      <c r="M241" s="21">
        <f t="shared" si="48"/>
        <v>0</v>
      </c>
      <c r="N241" s="667"/>
      <c r="O241" s="21">
        <f t="shared" si="49"/>
        <v>-0.01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0.05</v>
      </c>
      <c r="L242" s="667"/>
      <c r="M242" s="21">
        <f t="shared" si="48"/>
        <v>0</v>
      </c>
      <c r="N242" s="667"/>
      <c r="O242" s="21">
        <f t="shared" si="49"/>
        <v>-0.01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0.05</v>
      </c>
      <c r="L243" s="667"/>
      <c r="M243" s="21">
        <f t="shared" si="48"/>
        <v>0</v>
      </c>
      <c r="N243" s="667"/>
      <c r="O243" s="21">
        <f t="shared" si="49"/>
        <v>-0.01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0.05</v>
      </c>
      <c r="L244" s="667"/>
      <c r="M244" s="21">
        <f t="shared" si="48"/>
        <v>0</v>
      </c>
      <c r="N244" s="667"/>
      <c r="O244" s="21">
        <f t="shared" si="49"/>
        <v>-0.01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0.05</v>
      </c>
      <c r="L245" s="667"/>
      <c r="M245" s="21">
        <f t="shared" si="48"/>
        <v>0</v>
      </c>
      <c r="N245" s="667"/>
      <c r="O245" s="21">
        <f t="shared" si="49"/>
        <v>-0.01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0.05</v>
      </c>
      <c r="L246" s="667"/>
      <c r="M246" s="21">
        <f t="shared" si="48"/>
        <v>0</v>
      </c>
      <c r="N246" s="667"/>
      <c r="O246" s="21">
        <f t="shared" si="49"/>
        <v>-0.01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0.05</v>
      </c>
      <c r="L247" s="667"/>
      <c r="M247" s="21">
        <f t="shared" si="48"/>
        <v>0</v>
      </c>
      <c r="N247" s="667"/>
      <c r="O247" s="21">
        <f t="shared" si="49"/>
        <v>-0.01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0.05</v>
      </c>
      <c r="L248" s="667"/>
      <c r="M248" s="21">
        <f t="shared" si="48"/>
        <v>0</v>
      </c>
      <c r="N248" s="667"/>
      <c r="O248" s="21">
        <f t="shared" si="49"/>
        <v>-0.01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0.05</v>
      </c>
      <c r="L249" s="667"/>
      <c r="M249" s="21">
        <f t="shared" si="48"/>
        <v>0</v>
      </c>
      <c r="N249" s="667"/>
      <c r="O249" s="21">
        <f t="shared" si="49"/>
        <v>-0.01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0.05</v>
      </c>
      <c r="L250" s="667"/>
      <c r="M250" s="21">
        <f t="shared" si="48"/>
        <v>0</v>
      </c>
      <c r="N250" s="667"/>
      <c r="O250" s="21">
        <f t="shared" si="49"/>
        <v>-0.01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0.05</v>
      </c>
      <c r="L251" s="667"/>
      <c r="M251" s="21">
        <f t="shared" si="48"/>
        <v>0</v>
      </c>
      <c r="N251" s="667"/>
      <c r="O251" s="21">
        <f t="shared" si="49"/>
        <v>-0.01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0.05</v>
      </c>
      <c r="L252" s="667"/>
      <c r="M252" s="21">
        <f t="shared" si="48"/>
        <v>0</v>
      </c>
      <c r="N252" s="667"/>
      <c r="O252" s="21">
        <f t="shared" si="49"/>
        <v>-0.01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0.05</v>
      </c>
      <c r="L253" s="667"/>
      <c r="M253" s="21">
        <f t="shared" si="48"/>
        <v>0</v>
      </c>
      <c r="N253" s="667"/>
      <c r="O253" s="21">
        <f t="shared" si="49"/>
        <v>-0.01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0.05</v>
      </c>
      <c r="L254" s="667"/>
      <c r="M254" s="21">
        <f t="shared" si="48"/>
        <v>0</v>
      </c>
      <c r="N254" s="667"/>
      <c r="O254" s="21">
        <f t="shared" si="49"/>
        <v>-0.01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0.05</v>
      </c>
      <c r="L255" s="667"/>
      <c r="M255" s="21">
        <f t="shared" si="48"/>
        <v>0</v>
      </c>
      <c r="N255" s="667"/>
      <c r="O255" s="21">
        <f t="shared" si="49"/>
        <v>-0.01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0.05</v>
      </c>
      <c r="L256" s="667"/>
      <c r="M256" s="21">
        <f t="shared" si="48"/>
        <v>0</v>
      </c>
      <c r="N256" s="667"/>
      <c r="O256" s="21">
        <f t="shared" si="49"/>
        <v>-0.01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0.05</v>
      </c>
      <c r="L257" s="667"/>
      <c r="M257" s="21">
        <f t="shared" si="48"/>
        <v>0</v>
      </c>
      <c r="N257" s="667"/>
      <c r="O257" s="21">
        <f t="shared" si="49"/>
        <v>-0.01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0.05</v>
      </c>
      <c r="L258" s="667"/>
      <c r="M258" s="21">
        <f t="shared" si="48"/>
        <v>0</v>
      </c>
      <c r="N258" s="667"/>
      <c r="O258" s="21">
        <f t="shared" si="49"/>
        <v>-0.01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0.05</v>
      </c>
      <c r="L259" s="667"/>
      <c r="M259" s="21">
        <f t="shared" si="48"/>
        <v>0</v>
      </c>
      <c r="N259" s="667"/>
      <c r="O259" s="21">
        <f t="shared" si="49"/>
        <v>-0.01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0.05</v>
      </c>
      <c r="L260" s="667"/>
      <c r="M260" s="21">
        <f t="shared" si="48"/>
        <v>0</v>
      </c>
      <c r="N260" s="667"/>
      <c r="O260" s="21">
        <f t="shared" si="49"/>
        <v>-0.01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0.05</v>
      </c>
      <c r="L261" s="667"/>
      <c r="M261" s="21">
        <f t="shared" si="48"/>
        <v>0</v>
      </c>
      <c r="N261" s="667"/>
      <c r="O261" s="21">
        <f t="shared" si="49"/>
        <v>-0.01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0.05</v>
      </c>
      <c r="L262" s="667"/>
      <c r="M262" s="21">
        <f t="shared" si="48"/>
        <v>0</v>
      </c>
      <c r="N262" s="667"/>
      <c r="O262" s="21">
        <f t="shared" si="49"/>
        <v>-0.01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0.05</v>
      </c>
      <c r="L263" s="667"/>
      <c r="M263" s="21">
        <f t="shared" si="48"/>
        <v>0</v>
      </c>
      <c r="N263" s="667"/>
      <c r="O263" s="21">
        <f t="shared" si="49"/>
        <v>-0.01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0.05</v>
      </c>
      <c r="L264" s="667"/>
      <c r="M264" s="21">
        <f t="shared" si="48"/>
        <v>0</v>
      </c>
      <c r="N264" s="667"/>
      <c r="O264" s="21">
        <f t="shared" si="49"/>
        <v>-0.01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0.05</v>
      </c>
      <c r="L265" s="667"/>
      <c r="M265" s="21">
        <f t="shared" si="48"/>
        <v>0</v>
      </c>
      <c r="N265" s="667"/>
      <c r="O265" s="21">
        <f t="shared" si="49"/>
        <v>-0.01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0.05</v>
      </c>
      <c r="L266" s="667"/>
      <c r="M266" s="21">
        <f t="shared" si="48"/>
        <v>0</v>
      </c>
      <c r="N266" s="667"/>
      <c r="O266" s="21">
        <f t="shared" si="49"/>
        <v>-0.01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0.05</v>
      </c>
      <c r="L267" s="667"/>
      <c r="M267" s="21">
        <f t="shared" si="48"/>
        <v>0</v>
      </c>
      <c r="N267" s="667"/>
      <c r="O267" s="21">
        <f t="shared" si="49"/>
        <v>-0.01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0.05</v>
      </c>
      <c r="L268" s="667"/>
      <c r="M268" s="21">
        <f t="shared" si="48"/>
        <v>0</v>
      </c>
      <c r="N268" s="667"/>
      <c r="O268" s="21">
        <f t="shared" si="49"/>
        <v>-0.01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0.05</v>
      </c>
      <c r="L269" s="667"/>
      <c r="M269" s="21">
        <f t="shared" si="48"/>
        <v>0</v>
      </c>
      <c r="N269" s="667"/>
      <c r="O269" s="21">
        <f t="shared" si="49"/>
        <v>-0.01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0.05</v>
      </c>
      <c r="L270" s="667"/>
      <c r="M270" s="21">
        <f t="shared" si="48"/>
        <v>0</v>
      </c>
      <c r="N270" s="667"/>
      <c r="O270" s="21">
        <f t="shared" si="49"/>
        <v>-0.01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0.05</v>
      </c>
      <c r="L271" s="667"/>
      <c r="M271" s="21">
        <f t="shared" si="48"/>
        <v>0</v>
      </c>
      <c r="N271" s="667"/>
      <c r="O271" s="21">
        <f t="shared" si="49"/>
        <v>-0.01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0.05</v>
      </c>
      <c r="L272" s="667"/>
      <c r="M272" s="21">
        <f t="shared" si="48"/>
        <v>0</v>
      </c>
      <c r="N272" s="667"/>
      <c r="O272" s="21">
        <f t="shared" si="49"/>
        <v>-0.01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0.05</v>
      </c>
      <c r="L273" s="667"/>
      <c r="M273" s="21">
        <f t="shared" si="48"/>
        <v>0</v>
      </c>
      <c r="N273" s="667"/>
      <c r="O273" s="21">
        <f t="shared" si="49"/>
        <v>-0.01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0.05</v>
      </c>
      <c r="L274" s="667"/>
      <c r="M274" s="21">
        <f t="shared" si="48"/>
        <v>0</v>
      </c>
      <c r="N274" s="667"/>
      <c r="O274" s="21">
        <f t="shared" si="49"/>
        <v>-0.01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0.05</v>
      </c>
      <c r="L275" s="667"/>
      <c r="M275" s="21">
        <f t="shared" si="48"/>
        <v>0</v>
      </c>
      <c r="N275" s="667"/>
      <c r="O275" s="21">
        <f t="shared" si="49"/>
        <v>-0.01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0.05</v>
      </c>
      <c r="L276" s="667"/>
      <c r="M276" s="21">
        <f t="shared" si="48"/>
        <v>0</v>
      </c>
      <c r="N276" s="667"/>
      <c r="O276" s="21">
        <f t="shared" si="49"/>
        <v>-0.01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0.05</v>
      </c>
      <c r="L277" s="667"/>
      <c r="M277" s="21">
        <f t="shared" si="48"/>
        <v>0</v>
      </c>
      <c r="N277" s="667"/>
      <c r="O277" s="21">
        <f t="shared" si="49"/>
        <v>-0.01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0.05</v>
      </c>
      <c r="L278" s="667"/>
      <c r="M278" s="21">
        <f t="shared" si="48"/>
        <v>0</v>
      </c>
      <c r="N278" s="667"/>
      <c r="O278" s="21">
        <f t="shared" si="49"/>
        <v>-0.01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0.05</v>
      </c>
      <c r="L279" s="667"/>
      <c r="M279" s="21">
        <f t="shared" si="48"/>
        <v>0</v>
      </c>
      <c r="N279" s="667"/>
      <c r="O279" s="21">
        <f t="shared" si="49"/>
        <v>-0.01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0.05</v>
      </c>
      <c r="L280" s="667"/>
      <c r="M280" s="21">
        <f t="shared" si="48"/>
        <v>0</v>
      </c>
      <c r="N280" s="667"/>
      <c r="O280" s="21">
        <f t="shared" si="49"/>
        <v>-0.01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0.05</v>
      </c>
      <c r="L281" s="667"/>
      <c r="M281" s="21">
        <f t="shared" si="48"/>
        <v>0</v>
      </c>
      <c r="N281" s="667"/>
      <c r="O281" s="21">
        <f t="shared" si="49"/>
        <v>-0.01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0.05</v>
      </c>
      <c r="L282" s="667"/>
      <c r="M282" s="21">
        <f t="shared" ref="M282:M345" si="58">(SUMIF($13:$13,L282,$14:$14)-SUMIF($13:$13,$L$24,$14:$14)+100)/100</f>
        <v>0</v>
      </c>
      <c r="N282" s="667"/>
      <c r="O282" s="21">
        <f t="shared" ref="O282:O345" si="59">(SUMIF($15:$15,N282,$16:$16)-SUMIF($15:$15,$N$24,$16:$16)+100)/100</f>
        <v>-0.01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0.05</v>
      </c>
      <c r="L283" s="667"/>
      <c r="M283" s="21">
        <f t="shared" si="58"/>
        <v>0</v>
      </c>
      <c r="N283" s="667"/>
      <c r="O283" s="21">
        <f t="shared" si="59"/>
        <v>-0.01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0.05</v>
      </c>
      <c r="L284" s="667"/>
      <c r="M284" s="21">
        <f t="shared" si="58"/>
        <v>0</v>
      </c>
      <c r="N284" s="667"/>
      <c r="O284" s="21">
        <f t="shared" si="59"/>
        <v>-0.01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0.05</v>
      </c>
      <c r="L285" s="667"/>
      <c r="M285" s="21">
        <f t="shared" si="58"/>
        <v>0</v>
      </c>
      <c r="N285" s="667"/>
      <c r="O285" s="21">
        <f t="shared" si="59"/>
        <v>-0.01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0.05</v>
      </c>
      <c r="L286" s="667"/>
      <c r="M286" s="21">
        <f t="shared" si="58"/>
        <v>0</v>
      </c>
      <c r="N286" s="667"/>
      <c r="O286" s="21">
        <f t="shared" si="59"/>
        <v>-0.01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0.05</v>
      </c>
      <c r="L287" s="667"/>
      <c r="M287" s="21">
        <f t="shared" si="58"/>
        <v>0</v>
      </c>
      <c r="N287" s="667"/>
      <c r="O287" s="21">
        <f t="shared" si="59"/>
        <v>-0.01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0.05</v>
      </c>
      <c r="L288" s="667"/>
      <c r="M288" s="21">
        <f t="shared" si="58"/>
        <v>0</v>
      </c>
      <c r="N288" s="667"/>
      <c r="O288" s="21">
        <f t="shared" si="59"/>
        <v>-0.01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0.05</v>
      </c>
      <c r="L289" s="667"/>
      <c r="M289" s="21">
        <f t="shared" si="58"/>
        <v>0</v>
      </c>
      <c r="N289" s="667"/>
      <c r="O289" s="21">
        <f t="shared" si="59"/>
        <v>-0.01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0.05</v>
      </c>
      <c r="L290" s="667"/>
      <c r="M290" s="21">
        <f t="shared" si="58"/>
        <v>0</v>
      </c>
      <c r="N290" s="667"/>
      <c r="O290" s="21">
        <f t="shared" si="59"/>
        <v>-0.01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0.05</v>
      </c>
      <c r="L291" s="667"/>
      <c r="M291" s="21">
        <f t="shared" si="58"/>
        <v>0</v>
      </c>
      <c r="N291" s="667"/>
      <c r="O291" s="21">
        <f t="shared" si="59"/>
        <v>-0.01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0.05</v>
      </c>
      <c r="L292" s="667"/>
      <c r="M292" s="21">
        <f t="shared" si="58"/>
        <v>0</v>
      </c>
      <c r="N292" s="667"/>
      <c r="O292" s="21">
        <f t="shared" si="59"/>
        <v>-0.01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0.05</v>
      </c>
      <c r="L293" s="667"/>
      <c r="M293" s="21">
        <f t="shared" si="58"/>
        <v>0</v>
      </c>
      <c r="N293" s="667"/>
      <c r="O293" s="21">
        <f t="shared" si="59"/>
        <v>-0.01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0.05</v>
      </c>
      <c r="L294" s="667"/>
      <c r="M294" s="21">
        <f t="shared" si="58"/>
        <v>0</v>
      </c>
      <c r="N294" s="667"/>
      <c r="O294" s="21">
        <f t="shared" si="59"/>
        <v>-0.01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0.05</v>
      </c>
      <c r="L295" s="667"/>
      <c r="M295" s="21">
        <f t="shared" si="58"/>
        <v>0</v>
      </c>
      <c r="N295" s="667"/>
      <c r="O295" s="21">
        <f t="shared" si="59"/>
        <v>-0.01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0.05</v>
      </c>
      <c r="L296" s="667"/>
      <c r="M296" s="21">
        <f t="shared" si="58"/>
        <v>0</v>
      </c>
      <c r="N296" s="667"/>
      <c r="O296" s="21">
        <f t="shared" si="59"/>
        <v>-0.01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0.05</v>
      </c>
      <c r="L297" s="667"/>
      <c r="M297" s="21">
        <f t="shared" si="58"/>
        <v>0</v>
      </c>
      <c r="N297" s="667"/>
      <c r="O297" s="21">
        <f t="shared" si="59"/>
        <v>-0.01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0.05</v>
      </c>
      <c r="L298" s="667"/>
      <c r="M298" s="21">
        <f t="shared" si="58"/>
        <v>0</v>
      </c>
      <c r="N298" s="667"/>
      <c r="O298" s="21">
        <f t="shared" si="59"/>
        <v>-0.01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0.05</v>
      </c>
      <c r="L299" s="667"/>
      <c r="M299" s="21">
        <f t="shared" si="58"/>
        <v>0</v>
      </c>
      <c r="N299" s="667"/>
      <c r="O299" s="21">
        <f t="shared" si="59"/>
        <v>-0.01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0.05</v>
      </c>
      <c r="L300" s="667"/>
      <c r="M300" s="21">
        <f t="shared" si="58"/>
        <v>0</v>
      </c>
      <c r="N300" s="667"/>
      <c r="O300" s="21">
        <f t="shared" si="59"/>
        <v>-0.01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0.05</v>
      </c>
      <c r="L301" s="667"/>
      <c r="M301" s="21">
        <f t="shared" si="58"/>
        <v>0</v>
      </c>
      <c r="N301" s="667"/>
      <c r="O301" s="21">
        <f t="shared" si="59"/>
        <v>-0.01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0.05</v>
      </c>
      <c r="L302" s="667"/>
      <c r="M302" s="21">
        <f t="shared" si="58"/>
        <v>0</v>
      </c>
      <c r="N302" s="667"/>
      <c r="O302" s="21">
        <f t="shared" si="59"/>
        <v>-0.01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0.05</v>
      </c>
      <c r="L303" s="667"/>
      <c r="M303" s="21">
        <f t="shared" si="58"/>
        <v>0</v>
      </c>
      <c r="N303" s="667"/>
      <c r="O303" s="21">
        <f t="shared" si="59"/>
        <v>-0.01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0.05</v>
      </c>
      <c r="L304" s="667"/>
      <c r="M304" s="21">
        <f t="shared" si="58"/>
        <v>0</v>
      </c>
      <c r="N304" s="667"/>
      <c r="O304" s="21">
        <f t="shared" si="59"/>
        <v>-0.01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0.05</v>
      </c>
      <c r="L305" s="667"/>
      <c r="M305" s="21">
        <f t="shared" si="58"/>
        <v>0</v>
      </c>
      <c r="N305" s="667"/>
      <c r="O305" s="21">
        <f t="shared" si="59"/>
        <v>-0.01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0.05</v>
      </c>
      <c r="L306" s="667"/>
      <c r="M306" s="21">
        <f t="shared" si="58"/>
        <v>0</v>
      </c>
      <c r="N306" s="667"/>
      <c r="O306" s="21">
        <f t="shared" si="59"/>
        <v>-0.01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0.05</v>
      </c>
      <c r="L307" s="667"/>
      <c r="M307" s="21">
        <f t="shared" si="58"/>
        <v>0</v>
      </c>
      <c r="N307" s="667"/>
      <c r="O307" s="21">
        <f t="shared" si="59"/>
        <v>-0.01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0.05</v>
      </c>
      <c r="L308" s="667"/>
      <c r="M308" s="21">
        <f t="shared" si="58"/>
        <v>0</v>
      </c>
      <c r="N308" s="667"/>
      <c r="O308" s="21">
        <f t="shared" si="59"/>
        <v>-0.01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0.05</v>
      </c>
      <c r="L309" s="667"/>
      <c r="M309" s="21">
        <f t="shared" si="58"/>
        <v>0</v>
      </c>
      <c r="N309" s="667"/>
      <c r="O309" s="21">
        <f t="shared" si="59"/>
        <v>-0.01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0.05</v>
      </c>
      <c r="L310" s="667"/>
      <c r="M310" s="21">
        <f t="shared" si="58"/>
        <v>0</v>
      </c>
      <c r="N310" s="667"/>
      <c r="O310" s="21">
        <f t="shared" si="59"/>
        <v>-0.01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0.05</v>
      </c>
      <c r="L311" s="667"/>
      <c r="M311" s="21">
        <f t="shared" si="58"/>
        <v>0</v>
      </c>
      <c r="N311" s="667"/>
      <c r="O311" s="21">
        <f t="shared" si="59"/>
        <v>-0.01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0.05</v>
      </c>
      <c r="L312" s="667"/>
      <c r="M312" s="21">
        <f t="shared" si="58"/>
        <v>0</v>
      </c>
      <c r="N312" s="667"/>
      <c r="O312" s="21">
        <f t="shared" si="59"/>
        <v>-0.01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0.05</v>
      </c>
      <c r="L313" s="667"/>
      <c r="M313" s="21">
        <f t="shared" si="58"/>
        <v>0</v>
      </c>
      <c r="N313" s="667"/>
      <c r="O313" s="21">
        <f t="shared" si="59"/>
        <v>-0.01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0.05</v>
      </c>
      <c r="L314" s="667"/>
      <c r="M314" s="21">
        <f t="shared" si="58"/>
        <v>0</v>
      </c>
      <c r="N314" s="667"/>
      <c r="O314" s="21">
        <f t="shared" si="59"/>
        <v>-0.01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0.05</v>
      </c>
      <c r="L315" s="667"/>
      <c r="M315" s="21">
        <f t="shared" si="58"/>
        <v>0</v>
      </c>
      <c r="N315" s="667"/>
      <c r="O315" s="21">
        <f t="shared" si="59"/>
        <v>-0.01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0.05</v>
      </c>
      <c r="L316" s="667"/>
      <c r="M316" s="21">
        <f t="shared" si="58"/>
        <v>0</v>
      </c>
      <c r="N316" s="667"/>
      <c r="O316" s="21">
        <f t="shared" si="59"/>
        <v>-0.01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0.05</v>
      </c>
      <c r="L317" s="667"/>
      <c r="M317" s="21">
        <f t="shared" si="58"/>
        <v>0</v>
      </c>
      <c r="N317" s="667"/>
      <c r="O317" s="21">
        <f t="shared" si="59"/>
        <v>-0.01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0.05</v>
      </c>
      <c r="L318" s="667"/>
      <c r="M318" s="21">
        <f t="shared" si="58"/>
        <v>0</v>
      </c>
      <c r="N318" s="667"/>
      <c r="O318" s="21">
        <f t="shared" si="59"/>
        <v>-0.01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0.05</v>
      </c>
      <c r="L319" s="667"/>
      <c r="M319" s="21">
        <f t="shared" si="58"/>
        <v>0</v>
      </c>
      <c r="N319" s="667"/>
      <c r="O319" s="21">
        <f t="shared" si="59"/>
        <v>-0.01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0.05</v>
      </c>
      <c r="L320" s="667"/>
      <c r="M320" s="21">
        <f t="shared" si="58"/>
        <v>0</v>
      </c>
      <c r="N320" s="667"/>
      <c r="O320" s="21">
        <f t="shared" si="59"/>
        <v>-0.01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0.05</v>
      </c>
      <c r="L321" s="667"/>
      <c r="M321" s="21">
        <f t="shared" si="58"/>
        <v>0</v>
      </c>
      <c r="N321" s="667"/>
      <c r="O321" s="21">
        <f t="shared" si="59"/>
        <v>-0.01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0.05</v>
      </c>
      <c r="L322" s="667"/>
      <c r="M322" s="21">
        <f t="shared" si="58"/>
        <v>0</v>
      </c>
      <c r="N322" s="667"/>
      <c r="O322" s="21">
        <f t="shared" si="59"/>
        <v>-0.01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0.05</v>
      </c>
      <c r="L323" s="667"/>
      <c r="M323" s="21">
        <f t="shared" si="58"/>
        <v>0</v>
      </c>
      <c r="N323" s="667"/>
      <c r="O323" s="21">
        <f t="shared" si="59"/>
        <v>-0.01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0.05</v>
      </c>
      <c r="L324" s="667"/>
      <c r="M324" s="21">
        <f t="shared" si="58"/>
        <v>0</v>
      </c>
      <c r="N324" s="667"/>
      <c r="O324" s="21">
        <f t="shared" si="59"/>
        <v>-0.01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0.05</v>
      </c>
      <c r="L325" s="667"/>
      <c r="M325" s="21">
        <f t="shared" si="58"/>
        <v>0</v>
      </c>
      <c r="N325" s="667"/>
      <c r="O325" s="21">
        <f t="shared" si="59"/>
        <v>-0.01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0.05</v>
      </c>
      <c r="L326" s="667"/>
      <c r="M326" s="21">
        <f t="shared" si="58"/>
        <v>0</v>
      </c>
      <c r="N326" s="667"/>
      <c r="O326" s="21">
        <f t="shared" si="59"/>
        <v>-0.01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0.05</v>
      </c>
      <c r="L327" s="667"/>
      <c r="M327" s="21">
        <f t="shared" si="58"/>
        <v>0</v>
      </c>
      <c r="N327" s="667"/>
      <c r="O327" s="21">
        <f t="shared" si="59"/>
        <v>-0.01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0.05</v>
      </c>
      <c r="L328" s="667"/>
      <c r="M328" s="21">
        <f t="shared" si="58"/>
        <v>0</v>
      </c>
      <c r="N328" s="667"/>
      <c r="O328" s="21">
        <f t="shared" si="59"/>
        <v>-0.01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0.05</v>
      </c>
      <c r="L329" s="667"/>
      <c r="M329" s="21">
        <f t="shared" si="58"/>
        <v>0</v>
      </c>
      <c r="N329" s="667"/>
      <c r="O329" s="21">
        <f t="shared" si="59"/>
        <v>-0.01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0.05</v>
      </c>
      <c r="L330" s="667"/>
      <c r="M330" s="21">
        <f t="shared" si="58"/>
        <v>0</v>
      </c>
      <c r="N330" s="667"/>
      <c r="O330" s="21">
        <f t="shared" si="59"/>
        <v>-0.01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0.05</v>
      </c>
      <c r="L331" s="667"/>
      <c r="M331" s="21">
        <f t="shared" si="58"/>
        <v>0</v>
      </c>
      <c r="N331" s="667"/>
      <c r="O331" s="21">
        <f t="shared" si="59"/>
        <v>-0.01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0.05</v>
      </c>
      <c r="L332" s="667"/>
      <c r="M332" s="21">
        <f t="shared" si="58"/>
        <v>0</v>
      </c>
      <c r="N332" s="667"/>
      <c r="O332" s="21">
        <f t="shared" si="59"/>
        <v>-0.01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0.05</v>
      </c>
      <c r="L333" s="667"/>
      <c r="M333" s="21">
        <f t="shared" si="58"/>
        <v>0</v>
      </c>
      <c r="N333" s="667"/>
      <c r="O333" s="21">
        <f t="shared" si="59"/>
        <v>-0.01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0.05</v>
      </c>
      <c r="L334" s="667"/>
      <c r="M334" s="21">
        <f t="shared" si="58"/>
        <v>0</v>
      </c>
      <c r="N334" s="667"/>
      <c r="O334" s="21">
        <f t="shared" si="59"/>
        <v>-0.01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0.05</v>
      </c>
      <c r="L335" s="667"/>
      <c r="M335" s="21">
        <f t="shared" si="58"/>
        <v>0</v>
      </c>
      <c r="N335" s="667"/>
      <c r="O335" s="21">
        <f t="shared" si="59"/>
        <v>-0.01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0.05</v>
      </c>
      <c r="L336" s="667"/>
      <c r="M336" s="21">
        <f t="shared" si="58"/>
        <v>0</v>
      </c>
      <c r="N336" s="667"/>
      <c r="O336" s="21">
        <f t="shared" si="59"/>
        <v>-0.01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0.05</v>
      </c>
      <c r="L337" s="667"/>
      <c r="M337" s="21">
        <f t="shared" si="58"/>
        <v>0</v>
      </c>
      <c r="N337" s="667"/>
      <c r="O337" s="21">
        <f t="shared" si="59"/>
        <v>-0.01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0.05</v>
      </c>
      <c r="L338" s="667"/>
      <c r="M338" s="21">
        <f t="shared" si="58"/>
        <v>0</v>
      </c>
      <c r="N338" s="667"/>
      <c r="O338" s="21">
        <f t="shared" si="59"/>
        <v>-0.01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0.05</v>
      </c>
      <c r="L339" s="667"/>
      <c r="M339" s="21">
        <f t="shared" si="58"/>
        <v>0</v>
      </c>
      <c r="N339" s="667"/>
      <c r="O339" s="21">
        <f t="shared" si="59"/>
        <v>-0.01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0.05</v>
      </c>
      <c r="L340" s="667"/>
      <c r="M340" s="21">
        <f t="shared" si="58"/>
        <v>0</v>
      </c>
      <c r="N340" s="667"/>
      <c r="O340" s="21">
        <f t="shared" si="59"/>
        <v>-0.01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0.05</v>
      </c>
      <c r="L341" s="667"/>
      <c r="M341" s="21">
        <f t="shared" si="58"/>
        <v>0</v>
      </c>
      <c r="N341" s="667"/>
      <c r="O341" s="21">
        <f t="shared" si="59"/>
        <v>-0.01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0.05</v>
      </c>
      <c r="L342" s="667"/>
      <c r="M342" s="21">
        <f t="shared" si="58"/>
        <v>0</v>
      </c>
      <c r="N342" s="667"/>
      <c r="O342" s="21">
        <f t="shared" si="59"/>
        <v>-0.01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0.05</v>
      </c>
      <c r="L343" s="667"/>
      <c r="M343" s="21">
        <f t="shared" si="58"/>
        <v>0</v>
      </c>
      <c r="N343" s="667"/>
      <c r="O343" s="21">
        <f t="shared" si="59"/>
        <v>-0.01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0.05</v>
      </c>
      <c r="L344" s="667"/>
      <c r="M344" s="21">
        <f t="shared" si="58"/>
        <v>0</v>
      </c>
      <c r="N344" s="667"/>
      <c r="O344" s="21">
        <f t="shared" si="59"/>
        <v>-0.01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0.05</v>
      </c>
      <c r="L345" s="667"/>
      <c r="M345" s="21">
        <f t="shared" si="58"/>
        <v>0</v>
      </c>
      <c r="N345" s="667"/>
      <c r="O345" s="21">
        <f t="shared" si="59"/>
        <v>-0.01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0.05</v>
      </c>
      <c r="L346" s="667"/>
      <c r="M346" s="21">
        <f t="shared" ref="M346:M409" si="69">(SUMIF($13:$13,L346,$14:$14)-SUMIF($13:$13,$L$24,$14:$14)+100)/100</f>
        <v>0</v>
      </c>
      <c r="N346" s="667"/>
      <c r="O346" s="21">
        <f t="shared" ref="O346:O409" si="70">(SUMIF($15:$15,N346,$16:$16)-SUMIF($15:$15,$N$24,$16:$16)+100)/100</f>
        <v>-0.01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0.05</v>
      </c>
      <c r="L347" s="667"/>
      <c r="M347" s="21">
        <f t="shared" si="69"/>
        <v>0</v>
      </c>
      <c r="N347" s="667"/>
      <c r="O347" s="21">
        <f t="shared" si="70"/>
        <v>-0.01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0.05</v>
      </c>
      <c r="L348" s="667"/>
      <c r="M348" s="21">
        <f t="shared" si="69"/>
        <v>0</v>
      </c>
      <c r="N348" s="667"/>
      <c r="O348" s="21">
        <f t="shared" si="70"/>
        <v>-0.01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0.05</v>
      </c>
      <c r="L349" s="667"/>
      <c r="M349" s="21">
        <f t="shared" si="69"/>
        <v>0</v>
      </c>
      <c r="N349" s="667"/>
      <c r="O349" s="21">
        <f t="shared" si="70"/>
        <v>-0.01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0.05</v>
      </c>
      <c r="L350" s="667"/>
      <c r="M350" s="21">
        <f t="shared" si="69"/>
        <v>0</v>
      </c>
      <c r="N350" s="667"/>
      <c r="O350" s="21">
        <f t="shared" si="70"/>
        <v>-0.01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0.05</v>
      </c>
      <c r="L351" s="667"/>
      <c r="M351" s="21">
        <f t="shared" si="69"/>
        <v>0</v>
      </c>
      <c r="N351" s="667"/>
      <c r="O351" s="21">
        <f t="shared" si="70"/>
        <v>-0.01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0.05</v>
      </c>
      <c r="L352" s="667"/>
      <c r="M352" s="21">
        <f t="shared" si="69"/>
        <v>0</v>
      </c>
      <c r="N352" s="667"/>
      <c r="O352" s="21">
        <f t="shared" si="70"/>
        <v>-0.01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0.05</v>
      </c>
      <c r="L353" s="667"/>
      <c r="M353" s="21">
        <f t="shared" si="69"/>
        <v>0</v>
      </c>
      <c r="N353" s="667"/>
      <c r="O353" s="21">
        <f t="shared" si="70"/>
        <v>-0.01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0.05</v>
      </c>
      <c r="L354" s="667"/>
      <c r="M354" s="21">
        <f t="shared" si="69"/>
        <v>0</v>
      </c>
      <c r="N354" s="667"/>
      <c r="O354" s="21">
        <f t="shared" si="70"/>
        <v>-0.01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0.05</v>
      </c>
      <c r="L355" s="667"/>
      <c r="M355" s="21">
        <f t="shared" si="69"/>
        <v>0</v>
      </c>
      <c r="N355" s="667"/>
      <c r="O355" s="21">
        <f t="shared" si="70"/>
        <v>-0.01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0.05</v>
      </c>
      <c r="L356" s="667"/>
      <c r="M356" s="21">
        <f t="shared" si="69"/>
        <v>0</v>
      </c>
      <c r="N356" s="667"/>
      <c r="O356" s="21">
        <f t="shared" si="70"/>
        <v>-0.01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0.05</v>
      </c>
      <c r="L357" s="667"/>
      <c r="M357" s="21">
        <f t="shared" si="69"/>
        <v>0</v>
      </c>
      <c r="N357" s="667"/>
      <c r="O357" s="21">
        <f t="shared" si="70"/>
        <v>-0.01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0.05</v>
      </c>
      <c r="L358" s="667"/>
      <c r="M358" s="21">
        <f t="shared" si="69"/>
        <v>0</v>
      </c>
      <c r="N358" s="667"/>
      <c r="O358" s="21">
        <f t="shared" si="70"/>
        <v>-0.01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0.05</v>
      </c>
      <c r="L359" s="667"/>
      <c r="M359" s="21">
        <f t="shared" si="69"/>
        <v>0</v>
      </c>
      <c r="N359" s="667"/>
      <c r="O359" s="21">
        <f t="shared" si="70"/>
        <v>-0.01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0.05</v>
      </c>
      <c r="L360" s="667"/>
      <c r="M360" s="21">
        <f t="shared" si="69"/>
        <v>0</v>
      </c>
      <c r="N360" s="667"/>
      <c r="O360" s="21">
        <f t="shared" si="70"/>
        <v>-0.01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0.05</v>
      </c>
      <c r="L361" s="667"/>
      <c r="M361" s="21">
        <f t="shared" si="69"/>
        <v>0</v>
      </c>
      <c r="N361" s="667"/>
      <c r="O361" s="21">
        <f t="shared" si="70"/>
        <v>-0.01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0.05</v>
      </c>
      <c r="L362" s="667"/>
      <c r="M362" s="21">
        <f t="shared" si="69"/>
        <v>0</v>
      </c>
      <c r="N362" s="667"/>
      <c r="O362" s="21">
        <f t="shared" si="70"/>
        <v>-0.01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0.05</v>
      </c>
      <c r="L363" s="667"/>
      <c r="M363" s="21">
        <f t="shared" si="69"/>
        <v>0</v>
      </c>
      <c r="N363" s="667"/>
      <c r="O363" s="21">
        <f t="shared" si="70"/>
        <v>-0.01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0.05</v>
      </c>
      <c r="L364" s="667"/>
      <c r="M364" s="21">
        <f t="shared" si="69"/>
        <v>0</v>
      </c>
      <c r="N364" s="667"/>
      <c r="O364" s="21">
        <f t="shared" si="70"/>
        <v>-0.01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0.05</v>
      </c>
      <c r="L365" s="667"/>
      <c r="M365" s="21">
        <f t="shared" si="69"/>
        <v>0</v>
      </c>
      <c r="N365" s="667"/>
      <c r="O365" s="21">
        <f t="shared" si="70"/>
        <v>-0.01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0.05</v>
      </c>
      <c r="L366" s="667"/>
      <c r="M366" s="21">
        <f t="shared" si="69"/>
        <v>0</v>
      </c>
      <c r="N366" s="667"/>
      <c r="O366" s="21">
        <f t="shared" si="70"/>
        <v>-0.01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0.05</v>
      </c>
      <c r="L367" s="667"/>
      <c r="M367" s="21">
        <f t="shared" si="69"/>
        <v>0</v>
      </c>
      <c r="N367" s="667"/>
      <c r="O367" s="21">
        <f t="shared" si="70"/>
        <v>-0.01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0.05</v>
      </c>
      <c r="L368" s="667"/>
      <c r="M368" s="21">
        <f t="shared" si="69"/>
        <v>0</v>
      </c>
      <c r="N368" s="667"/>
      <c r="O368" s="21">
        <f t="shared" si="70"/>
        <v>-0.01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0.05</v>
      </c>
      <c r="L369" s="667"/>
      <c r="M369" s="21">
        <f t="shared" si="69"/>
        <v>0</v>
      </c>
      <c r="N369" s="667"/>
      <c r="O369" s="21">
        <f t="shared" si="70"/>
        <v>-0.01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0.05</v>
      </c>
      <c r="L370" s="667"/>
      <c r="M370" s="21">
        <f t="shared" si="69"/>
        <v>0</v>
      </c>
      <c r="N370" s="667"/>
      <c r="O370" s="21">
        <f t="shared" si="70"/>
        <v>-0.01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0.05</v>
      </c>
      <c r="L371" s="667"/>
      <c r="M371" s="21">
        <f t="shared" si="69"/>
        <v>0</v>
      </c>
      <c r="N371" s="667"/>
      <c r="O371" s="21">
        <f t="shared" si="70"/>
        <v>-0.01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0.05</v>
      </c>
      <c r="L372" s="667"/>
      <c r="M372" s="21">
        <f t="shared" si="69"/>
        <v>0</v>
      </c>
      <c r="N372" s="667"/>
      <c r="O372" s="21">
        <f t="shared" si="70"/>
        <v>-0.01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0.05</v>
      </c>
      <c r="L373" s="667"/>
      <c r="M373" s="21">
        <f t="shared" si="69"/>
        <v>0</v>
      </c>
      <c r="N373" s="667"/>
      <c r="O373" s="21">
        <f t="shared" si="70"/>
        <v>-0.01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0.05</v>
      </c>
      <c r="L374" s="667"/>
      <c r="M374" s="21">
        <f t="shared" si="69"/>
        <v>0</v>
      </c>
      <c r="N374" s="667"/>
      <c r="O374" s="21">
        <f t="shared" si="70"/>
        <v>-0.01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0.05</v>
      </c>
      <c r="L375" s="667"/>
      <c r="M375" s="21">
        <f t="shared" si="69"/>
        <v>0</v>
      </c>
      <c r="N375" s="667"/>
      <c r="O375" s="21">
        <f t="shared" si="70"/>
        <v>-0.01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0.05</v>
      </c>
      <c r="L376" s="667"/>
      <c r="M376" s="21">
        <f t="shared" si="69"/>
        <v>0</v>
      </c>
      <c r="N376" s="667"/>
      <c r="O376" s="21">
        <f t="shared" si="70"/>
        <v>-0.01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0.05</v>
      </c>
      <c r="L377" s="667"/>
      <c r="M377" s="21">
        <f t="shared" si="69"/>
        <v>0</v>
      </c>
      <c r="N377" s="667"/>
      <c r="O377" s="21">
        <f t="shared" si="70"/>
        <v>-0.01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0.05</v>
      </c>
      <c r="L378" s="667"/>
      <c r="M378" s="21">
        <f t="shared" si="69"/>
        <v>0</v>
      </c>
      <c r="N378" s="667"/>
      <c r="O378" s="21">
        <f t="shared" si="70"/>
        <v>-0.01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0.05</v>
      </c>
      <c r="L379" s="667"/>
      <c r="M379" s="21">
        <f t="shared" si="69"/>
        <v>0</v>
      </c>
      <c r="N379" s="667"/>
      <c r="O379" s="21">
        <f t="shared" si="70"/>
        <v>-0.01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0.05</v>
      </c>
      <c r="L380" s="667"/>
      <c r="M380" s="21">
        <f t="shared" si="69"/>
        <v>0</v>
      </c>
      <c r="N380" s="667"/>
      <c r="O380" s="21">
        <f t="shared" si="70"/>
        <v>-0.01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0.05</v>
      </c>
      <c r="L381" s="667"/>
      <c r="M381" s="21">
        <f t="shared" si="69"/>
        <v>0</v>
      </c>
      <c r="N381" s="667"/>
      <c r="O381" s="21">
        <f t="shared" si="70"/>
        <v>-0.01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0.05</v>
      </c>
      <c r="L382" s="667"/>
      <c r="M382" s="21">
        <f t="shared" si="69"/>
        <v>0</v>
      </c>
      <c r="N382" s="667"/>
      <c r="O382" s="21">
        <f t="shared" si="70"/>
        <v>-0.01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0.05</v>
      </c>
      <c r="L383" s="667"/>
      <c r="M383" s="21">
        <f t="shared" si="69"/>
        <v>0</v>
      </c>
      <c r="N383" s="667"/>
      <c r="O383" s="21">
        <f t="shared" si="70"/>
        <v>-0.01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0.05</v>
      </c>
      <c r="L384" s="667"/>
      <c r="M384" s="21">
        <f t="shared" si="69"/>
        <v>0</v>
      </c>
      <c r="N384" s="667"/>
      <c r="O384" s="21">
        <f t="shared" si="70"/>
        <v>-0.01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0.05</v>
      </c>
      <c r="L385" s="667"/>
      <c r="M385" s="21">
        <f t="shared" si="69"/>
        <v>0</v>
      </c>
      <c r="N385" s="667"/>
      <c r="O385" s="21">
        <f t="shared" si="70"/>
        <v>-0.01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0.05</v>
      </c>
      <c r="L386" s="667"/>
      <c r="M386" s="21">
        <f t="shared" si="69"/>
        <v>0</v>
      </c>
      <c r="N386" s="667"/>
      <c r="O386" s="21">
        <f t="shared" si="70"/>
        <v>-0.01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0.05</v>
      </c>
      <c r="L387" s="667"/>
      <c r="M387" s="21">
        <f t="shared" si="69"/>
        <v>0</v>
      </c>
      <c r="N387" s="667"/>
      <c r="O387" s="21">
        <f t="shared" si="70"/>
        <v>-0.01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0.05</v>
      </c>
      <c r="L388" s="667"/>
      <c r="M388" s="21">
        <f t="shared" si="69"/>
        <v>0</v>
      </c>
      <c r="N388" s="667"/>
      <c r="O388" s="21">
        <f t="shared" si="70"/>
        <v>-0.01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0.05</v>
      </c>
      <c r="L389" s="667"/>
      <c r="M389" s="21">
        <f t="shared" si="69"/>
        <v>0</v>
      </c>
      <c r="N389" s="667"/>
      <c r="O389" s="21">
        <f t="shared" si="70"/>
        <v>-0.01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0.05</v>
      </c>
      <c r="L390" s="667"/>
      <c r="M390" s="21">
        <f t="shared" si="69"/>
        <v>0</v>
      </c>
      <c r="N390" s="667"/>
      <c r="O390" s="21">
        <f t="shared" si="70"/>
        <v>-0.01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0.05</v>
      </c>
      <c r="L391" s="667"/>
      <c r="M391" s="21">
        <f t="shared" si="69"/>
        <v>0</v>
      </c>
      <c r="N391" s="667"/>
      <c r="O391" s="21">
        <f t="shared" si="70"/>
        <v>-0.01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0.05</v>
      </c>
      <c r="L392" s="667"/>
      <c r="M392" s="21">
        <f t="shared" si="69"/>
        <v>0</v>
      </c>
      <c r="N392" s="667"/>
      <c r="O392" s="21">
        <f t="shared" si="70"/>
        <v>-0.01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0.05</v>
      </c>
      <c r="L393" s="667"/>
      <c r="M393" s="21">
        <f t="shared" si="69"/>
        <v>0</v>
      </c>
      <c r="N393" s="667"/>
      <c r="O393" s="21">
        <f t="shared" si="70"/>
        <v>-0.01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0.05</v>
      </c>
      <c r="L394" s="667"/>
      <c r="M394" s="21">
        <f t="shared" si="69"/>
        <v>0</v>
      </c>
      <c r="N394" s="667"/>
      <c r="O394" s="21">
        <f t="shared" si="70"/>
        <v>-0.01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0.05</v>
      </c>
      <c r="L395" s="667"/>
      <c r="M395" s="21">
        <f t="shared" si="69"/>
        <v>0</v>
      </c>
      <c r="N395" s="667"/>
      <c r="O395" s="21">
        <f t="shared" si="70"/>
        <v>-0.01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0.05</v>
      </c>
      <c r="L396" s="667"/>
      <c r="M396" s="21">
        <f t="shared" si="69"/>
        <v>0</v>
      </c>
      <c r="N396" s="667"/>
      <c r="O396" s="21">
        <f t="shared" si="70"/>
        <v>-0.01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0.05</v>
      </c>
      <c r="L397" s="667"/>
      <c r="M397" s="21">
        <f t="shared" si="69"/>
        <v>0</v>
      </c>
      <c r="N397" s="667"/>
      <c r="O397" s="21">
        <f t="shared" si="70"/>
        <v>-0.01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0.05</v>
      </c>
      <c r="L398" s="667"/>
      <c r="M398" s="21">
        <f t="shared" si="69"/>
        <v>0</v>
      </c>
      <c r="N398" s="667"/>
      <c r="O398" s="21">
        <f t="shared" si="70"/>
        <v>-0.01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0.05</v>
      </c>
      <c r="L399" s="667"/>
      <c r="M399" s="21">
        <f t="shared" si="69"/>
        <v>0</v>
      </c>
      <c r="N399" s="667"/>
      <c r="O399" s="21">
        <f t="shared" si="70"/>
        <v>-0.01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0.05</v>
      </c>
      <c r="L400" s="667"/>
      <c r="M400" s="21">
        <f t="shared" si="69"/>
        <v>0</v>
      </c>
      <c r="N400" s="667"/>
      <c r="O400" s="21">
        <f t="shared" si="70"/>
        <v>-0.01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0.05</v>
      </c>
      <c r="L401" s="667"/>
      <c r="M401" s="21">
        <f t="shared" si="69"/>
        <v>0</v>
      </c>
      <c r="N401" s="667"/>
      <c r="O401" s="21">
        <f t="shared" si="70"/>
        <v>-0.01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0.05</v>
      </c>
      <c r="L402" s="667"/>
      <c r="M402" s="21">
        <f t="shared" si="69"/>
        <v>0</v>
      </c>
      <c r="N402" s="667"/>
      <c r="O402" s="21">
        <f t="shared" si="70"/>
        <v>-0.01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0.05</v>
      </c>
      <c r="L403" s="667"/>
      <c r="M403" s="21">
        <f t="shared" si="69"/>
        <v>0</v>
      </c>
      <c r="N403" s="667"/>
      <c r="O403" s="21">
        <f t="shared" si="70"/>
        <v>-0.01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0.05</v>
      </c>
      <c r="L404" s="667"/>
      <c r="M404" s="21">
        <f t="shared" si="69"/>
        <v>0</v>
      </c>
      <c r="N404" s="667"/>
      <c r="O404" s="21">
        <f t="shared" si="70"/>
        <v>-0.01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0.05</v>
      </c>
      <c r="L405" s="667"/>
      <c r="M405" s="21">
        <f t="shared" si="69"/>
        <v>0</v>
      </c>
      <c r="N405" s="667"/>
      <c r="O405" s="21">
        <f t="shared" si="70"/>
        <v>-0.01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0.05</v>
      </c>
      <c r="L406" s="667"/>
      <c r="M406" s="21">
        <f t="shared" si="69"/>
        <v>0</v>
      </c>
      <c r="N406" s="667"/>
      <c r="O406" s="21">
        <f t="shared" si="70"/>
        <v>-0.01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0.05</v>
      </c>
      <c r="L407" s="667"/>
      <c r="M407" s="21">
        <f t="shared" si="69"/>
        <v>0</v>
      </c>
      <c r="N407" s="667"/>
      <c r="O407" s="21">
        <f t="shared" si="70"/>
        <v>-0.01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0.05</v>
      </c>
      <c r="L408" s="667"/>
      <c r="M408" s="21">
        <f t="shared" si="69"/>
        <v>0</v>
      </c>
      <c r="N408" s="667"/>
      <c r="O408" s="21">
        <f t="shared" si="70"/>
        <v>-0.01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0.05</v>
      </c>
      <c r="L409" s="667"/>
      <c r="M409" s="21">
        <f t="shared" si="69"/>
        <v>0</v>
      </c>
      <c r="N409" s="667"/>
      <c r="O409" s="21">
        <f t="shared" si="70"/>
        <v>-0.01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0.05</v>
      </c>
      <c r="L410" s="667"/>
      <c r="M410" s="21">
        <f t="shared" ref="M410:M473" si="79">(SUMIF($13:$13,L410,$14:$14)-SUMIF($13:$13,$L$24,$14:$14)+100)/100</f>
        <v>0</v>
      </c>
      <c r="N410" s="667"/>
      <c r="O410" s="21">
        <f t="shared" ref="O410:O473" si="80">(SUMIF($15:$15,N410,$16:$16)-SUMIF($15:$15,$N$24,$16:$16)+100)/100</f>
        <v>-0.01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0.05</v>
      </c>
      <c r="L411" s="667"/>
      <c r="M411" s="21">
        <f t="shared" si="79"/>
        <v>0</v>
      </c>
      <c r="N411" s="667"/>
      <c r="O411" s="21">
        <f t="shared" si="80"/>
        <v>-0.01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0.05</v>
      </c>
      <c r="L412" s="667"/>
      <c r="M412" s="21">
        <f t="shared" si="79"/>
        <v>0</v>
      </c>
      <c r="N412" s="667"/>
      <c r="O412" s="21">
        <f t="shared" si="80"/>
        <v>-0.01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0.05</v>
      </c>
      <c r="L413" s="667"/>
      <c r="M413" s="21">
        <f t="shared" si="79"/>
        <v>0</v>
      </c>
      <c r="N413" s="667"/>
      <c r="O413" s="21">
        <f t="shared" si="80"/>
        <v>-0.01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0.05</v>
      </c>
      <c r="L414" s="667"/>
      <c r="M414" s="21">
        <f t="shared" si="79"/>
        <v>0</v>
      </c>
      <c r="N414" s="667"/>
      <c r="O414" s="21">
        <f t="shared" si="80"/>
        <v>-0.01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0.05</v>
      </c>
      <c r="L415" s="667"/>
      <c r="M415" s="21">
        <f t="shared" si="79"/>
        <v>0</v>
      </c>
      <c r="N415" s="667"/>
      <c r="O415" s="21">
        <f t="shared" si="80"/>
        <v>-0.01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0.05</v>
      </c>
      <c r="L416" s="667"/>
      <c r="M416" s="21">
        <f t="shared" si="79"/>
        <v>0</v>
      </c>
      <c r="N416" s="667"/>
      <c r="O416" s="21">
        <f t="shared" si="80"/>
        <v>-0.01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0.05</v>
      </c>
      <c r="L417" s="667"/>
      <c r="M417" s="21">
        <f t="shared" si="79"/>
        <v>0</v>
      </c>
      <c r="N417" s="667"/>
      <c r="O417" s="21">
        <f t="shared" si="80"/>
        <v>-0.01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0.05</v>
      </c>
      <c r="L418" s="667"/>
      <c r="M418" s="21">
        <f t="shared" si="79"/>
        <v>0</v>
      </c>
      <c r="N418" s="667"/>
      <c r="O418" s="21">
        <f t="shared" si="80"/>
        <v>-0.01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0.05</v>
      </c>
      <c r="L419" s="667"/>
      <c r="M419" s="21">
        <f t="shared" si="79"/>
        <v>0</v>
      </c>
      <c r="N419" s="667"/>
      <c r="O419" s="21">
        <f t="shared" si="80"/>
        <v>-0.01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0.05</v>
      </c>
      <c r="L420" s="667"/>
      <c r="M420" s="21">
        <f t="shared" si="79"/>
        <v>0</v>
      </c>
      <c r="N420" s="667"/>
      <c r="O420" s="21">
        <f t="shared" si="80"/>
        <v>-0.01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0.05</v>
      </c>
      <c r="L421" s="667"/>
      <c r="M421" s="21">
        <f t="shared" si="79"/>
        <v>0</v>
      </c>
      <c r="N421" s="667"/>
      <c r="O421" s="21">
        <f t="shared" si="80"/>
        <v>-0.01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0.05</v>
      </c>
      <c r="L422" s="667"/>
      <c r="M422" s="21">
        <f t="shared" si="79"/>
        <v>0</v>
      </c>
      <c r="N422" s="667"/>
      <c r="O422" s="21">
        <f t="shared" si="80"/>
        <v>-0.01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0.05</v>
      </c>
      <c r="L423" s="667"/>
      <c r="M423" s="21">
        <f t="shared" si="79"/>
        <v>0</v>
      </c>
      <c r="N423" s="667"/>
      <c r="O423" s="21">
        <f t="shared" si="80"/>
        <v>-0.01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0.05</v>
      </c>
      <c r="L424" s="667"/>
      <c r="M424" s="21">
        <f t="shared" si="79"/>
        <v>0</v>
      </c>
      <c r="N424" s="667"/>
      <c r="O424" s="21">
        <f t="shared" si="80"/>
        <v>-0.01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0.05</v>
      </c>
      <c r="L425" s="667"/>
      <c r="M425" s="21">
        <f t="shared" si="79"/>
        <v>0</v>
      </c>
      <c r="N425" s="667"/>
      <c r="O425" s="21">
        <f t="shared" si="80"/>
        <v>-0.01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0.05</v>
      </c>
      <c r="L426" s="667"/>
      <c r="M426" s="21">
        <f t="shared" si="79"/>
        <v>0</v>
      </c>
      <c r="N426" s="667"/>
      <c r="O426" s="21">
        <f t="shared" si="80"/>
        <v>-0.01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0.05</v>
      </c>
      <c r="L427" s="667"/>
      <c r="M427" s="21">
        <f t="shared" si="79"/>
        <v>0</v>
      </c>
      <c r="N427" s="667"/>
      <c r="O427" s="21">
        <f t="shared" si="80"/>
        <v>-0.01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0.05</v>
      </c>
      <c r="L428" s="667"/>
      <c r="M428" s="21">
        <f t="shared" si="79"/>
        <v>0</v>
      </c>
      <c r="N428" s="667"/>
      <c r="O428" s="21">
        <f t="shared" si="80"/>
        <v>-0.01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0.05</v>
      </c>
      <c r="L429" s="667"/>
      <c r="M429" s="21">
        <f t="shared" si="79"/>
        <v>0</v>
      </c>
      <c r="N429" s="667"/>
      <c r="O429" s="21">
        <f t="shared" si="80"/>
        <v>-0.01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0.05</v>
      </c>
      <c r="L430" s="667"/>
      <c r="M430" s="21">
        <f t="shared" si="79"/>
        <v>0</v>
      </c>
      <c r="N430" s="667"/>
      <c r="O430" s="21">
        <f t="shared" si="80"/>
        <v>-0.01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0.05</v>
      </c>
      <c r="L431" s="667"/>
      <c r="M431" s="21">
        <f t="shared" si="79"/>
        <v>0</v>
      </c>
      <c r="N431" s="667"/>
      <c r="O431" s="21">
        <f t="shared" si="80"/>
        <v>-0.01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0.05</v>
      </c>
      <c r="L432" s="667"/>
      <c r="M432" s="21">
        <f t="shared" si="79"/>
        <v>0</v>
      </c>
      <c r="N432" s="667"/>
      <c r="O432" s="21">
        <f t="shared" si="80"/>
        <v>-0.01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0.05</v>
      </c>
      <c r="L433" s="667"/>
      <c r="M433" s="21">
        <f t="shared" si="79"/>
        <v>0</v>
      </c>
      <c r="N433" s="667"/>
      <c r="O433" s="21">
        <f t="shared" si="80"/>
        <v>-0.01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0.05</v>
      </c>
      <c r="L434" s="667"/>
      <c r="M434" s="21">
        <f t="shared" si="79"/>
        <v>0</v>
      </c>
      <c r="N434" s="667"/>
      <c r="O434" s="21">
        <f t="shared" si="80"/>
        <v>-0.01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0.05</v>
      </c>
      <c r="L435" s="667"/>
      <c r="M435" s="21">
        <f t="shared" si="79"/>
        <v>0</v>
      </c>
      <c r="N435" s="667"/>
      <c r="O435" s="21">
        <f t="shared" si="80"/>
        <v>-0.01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0.05</v>
      </c>
      <c r="L436" s="667"/>
      <c r="M436" s="21">
        <f t="shared" si="79"/>
        <v>0</v>
      </c>
      <c r="N436" s="667"/>
      <c r="O436" s="21">
        <f t="shared" si="80"/>
        <v>-0.01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0.05</v>
      </c>
      <c r="L437" s="667"/>
      <c r="M437" s="21">
        <f t="shared" si="79"/>
        <v>0</v>
      </c>
      <c r="N437" s="667"/>
      <c r="O437" s="21">
        <f t="shared" si="80"/>
        <v>-0.01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0.05</v>
      </c>
      <c r="L438" s="667"/>
      <c r="M438" s="21">
        <f t="shared" si="79"/>
        <v>0</v>
      </c>
      <c r="N438" s="667"/>
      <c r="O438" s="21">
        <f t="shared" si="80"/>
        <v>-0.01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0.05</v>
      </c>
      <c r="L439" s="667"/>
      <c r="M439" s="21">
        <f t="shared" si="79"/>
        <v>0</v>
      </c>
      <c r="N439" s="667"/>
      <c r="O439" s="21">
        <f t="shared" si="80"/>
        <v>-0.01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0.05</v>
      </c>
      <c r="L440" s="667"/>
      <c r="M440" s="21">
        <f t="shared" si="79"/>
        <v>0</v>
      </c>
      <c r="N440" s="667"/>
      <c r="O440" s="21">
        <f t="shared" si="80"/>
        <v>-0.01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0.05</v>
      </c>
      <c r="L441" s="667"/>
      <c r="M441" s="21">
        <f t="shared" si="79"/>
        <v>0</v>
      </c>
      <c r="N441" s="667"/>
      <c r="O441" s="21">
        <f t="shared" si="80"/>
        <v>-0.01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0.05</v>
      </c>
      <c r="L442" s="667"/>
      <c r="M442" s="21">
        <f t="shared" si="79"/>
        <v>0</v>
      </c>
      <c r="N442" s="667"/>
      <c r="O442" s="21">
        <f t="shared" si="80"/>
        <v>-0.01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0.05</v>
      </c>
      <c r="L443" s="667"/>
      <c r="M443" s="21">
        <f t="shared" si="79"/>
        <v>0</v>
      </c>
      <c r="N443" s="667"/>
      <c r="O443" s="21">
        <f t="shared" si="80"/>
        <v>-0.01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0.05</v>
      </c>
      <c r="L444" s="667"/>
      <c r="M444" s="21">
        <f t="shared" si="79"/>
        <v>0</v>
      </c>
      <c r="N444" s="667"/>
      <c r="O444" s="21">
        <f t="shared" si="80"/>
        <v>-0.01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0.05</v>
      </c>
      <c r="L445" s="667"/>
      <c r="M445" s="21">
        <f t="shared" si="79"/>
        <v>0</v>
      </c>
      <c r="N445" s="667"/>
      <c r="O445" s="21">
        <f t="shared" si="80"/>
        <v>-0.01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0.05</v>
      </c>
      <c r="L446" s="667"/>
      <c r="M446" s="21">
        <f t="shared" si="79"/>
        <v>0</v>
      </c>
      <c r="N446" s="667"/>
      <c r="O446" s="21">
        <f t="shared" si="80"/>
        <v>-0.01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0.05</v>
      </c>
      <c r="L447" s="667"/>
      <c r="M447" s="21">
        <f t="shared" si="79"/>
        <v>0</v>
      </c>
      <c r="N447" s="667"/>
      <c r="O447" s="21">
        <f t="shared" si="80"/>
        <v>-0.01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0.05</v>
      </c>
      <c r="L448" s="667"/>
      <c r="M448" s="21">
        <f t="shared" si="79"/>
        <v>0</v>
      </c>
      <c r="N448" s="667"/>
      <c r="O448" s="21">
        <f t="shared" si="80"/>
        <v>-0.01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0.05</v>
      </c>
      <c r="L449" s="667"/>
      <c r="M449" s="21">
        <f t="shared" si="79"/>
        <v>0</v>
      </c>
      <c r="N449" s="667"/>
      <c r="O449" s="21">
        <f t="shared" si="80"/>
        <v>-0.01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0.05</v>
      </c>
      <c r="L450" s="667"/>
      <c r="M450" s="21">
        <f t="shared" si="79"/>
        <v>0</v>
      </c>
      <c r="N450" s="667"/>
      <c r="O450" s="21">
        <f t="shared" si="80"/>
        <v>-0.01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0.05</v>
      </c>
      <c r="L451" s="667"/>
      <c r="M451" s="21">
        <f t="shared" si="79"/>
        <v>0</v>
      </c>
      <c r="N451" s="667"/>
      <c r="O451" s="21">
        <f t="shared" si="80"/>
        <v>-0.01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0.05</v>
      </c>
      <c r="L452" s="667"/>
      <c r="M452" s="21">
        <f t="shared" si="79"/>
        <v>0</v>
      </c>
      <c r="N452" s="667"/>
      <c r="O452" s="21">
        <f t="shared" si="80"/>
        <v>-0.01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0.05</v>
      </c>
      <c r="L453" s="667"/>
      <c r="M453" s="21">
        <f t="shared" si="79"/>
        <v>0</v>
      </c>
      <c r="N453" s="667"/>
      <c r="O453" s="21">
        <f t="shared" si="80"/>
        <v>-0.01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0.05</v>
      </c>
      <c r="L454" s="667"/>
      <c r="M454" s="21">
        <f t="shared" si="79"/>
        <v>0</v>
      </c>
      <c r="N454" s="667"/>
      <c r="O454" s="21">
        <f t="shared" si="80"/>
        <v>-0.01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0.05</v>
      </c>
      <c r="L455" s="667"/>
      <c r="M455" s="21">
        <f t="shared" si="79"/>
        <v>0</v>
      </c>
      <c r="N455" s="667"/>
      <c r="O455" s="21">
        <f t="shared" si="80"/>
        <v>-0.01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0.05</v>
      </c>
      <c r="L456" s="667"/>
      <c r="M456" s="21">
        <f t="shared" si="79"/>
        <v>0</v>
      </c>
      <c r="N456" s="667"/>
      <c r="O456" s="21">
        <f t="shared" si="80"/>
        <v>-0.01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0.05</v>
      </c>
      <c r="L457" s="667"/>
      <c r="M457" s="21">
        <f t="shared" si="79"/>
        <v>0</v>
      </c>
      <c r="N457" s="667"/>
      <c r="O457" s="21">
        <f t="shared" si="80"/>
        <v>-0.01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0.05</v>
      </c>
      <c r="L458" s="667"/>
      <c r="M458" s="21">
        <f t="shared" si="79"/>
        <v>0</v>
      </c>
      <c r="N458" s="667"/>
      <c r="O458" s="21">
        <f t="shared" si="80"/>
        <v>-0.01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0.05</v>
      </c>
      <c r="L459" s="667"/>
      <c r="M459" s="21">
        <f t="shared" si="79"/>
        <v>0</v>
      </c>
      <c r="N459" s="667"/>
      <c r="O459" s="21">
        <f t="shared" si="80"/>
        <v>-0.01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0.05</v>
      </c>
      <c r="L460" s="667"/>
      <c r="M460" s="21">
        <f t="shared" si="79"/>
        <v>0</v>
      </c>
      <c r="N460" s="667"/>
      <c r="O460" s="21">
        <f t="shared" si="80"/>
        <v>-0.01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0.05</v>
      </c>
      <c r="L461" s="667"/>
      <c r="M461" s="21">
        <f t="shared" si="79"/>
        <v>0</v>
      </c>
      <c r="N461" s="667"/>
      <c r="O461" s="21">
        <f t="shared" si="80"/>
        <v>-0.01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0.05</v>
      </c>
      <c r="L462" s="667"/>
      <c r="M462" s="21">
        <f t="shared" si="79"/>
        <v>0</v>
      </c>
      <c r="N462" s="667"/>
      <c r="O462" s="21">
        <f t="shared" si="80"/>
        <v>-0.01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0.05</v>
      </c>
      <c r="L463" s="667"/>
      <c r="M463" s="21">
        <f t="shared" si="79"/>
        <v>0</v>
      </c>
      <c r="N463" s="667"/>
      <c r="O463" s="21">
        <f t="shared" si="80"/>
        <v>-0.01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0.05</v>
      </c>
      <c r="L464" s="667"/>
      <c r="M464" s="21">
        <f t="shared" si="79"/>
        <v>0</v>
      </c>
      <c r="N464" s="667"/>
      <c r="O464" s="21">
        <f t="shared" si="80"/>
        <v>-0.01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0.05</v>
      </c>
      <c r="L465" s="667"/>
      <c r="M465" s="21">
        <f t="shared" si="79"/>
        <v>0</v>
      </c>
      <c r="N465" s="667"/>
      <c r="O465" s="21">
        <f t="shared" si="80"/>
        <v>-0.01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0.05</v>
      </c>
      <c r="L466" s="667"/>
      <c r="M466" s="21">
        <f t="shared" si="79"/>
        <v>0</v>
      </c>
      <c r="N466" s="667"/>
      <c r="O466" s="21">
        <f t="shared" si="80"/>
        <v>-0.01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0.05</v>
      </c>
      <c r="L467" s="667"/>
      <c r="M467" s="21">
        <f t="shared" si="79"/>
        <v>0</v>
      </c>
      <c r="N467" s="667"/>
      <c r="O467" s="21">
        <f t="shared" si="80"/>
        <v>-0.01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0.05</v>
      </c>
      <c r="L468" s="667"/>
      <c r="M468" s="21">
        <f t="shared" si="79"/>
        <v>0</v>
      </c>
      <c r="N468" s="667"/>
      <c r="O468" s="21">
        <f t="shared" si="80"/>
        <v>-0.01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0.05</v>
      </c>
      <c r="L469" s="667"/>
      <c r="M469" s="21">
        <f t="shared" si="79"/>
        <v>0</v>
      </c>
      <c r="N469" s="667"/>
      <c r="O469" s="21">
        <f t="shared" si="80"/>
        <v>-0.01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0.05</v>
      </c>
      <c r="L470" s="667"/>
      <c r="M470" s="21">
        <f t="shared" si="79"/>
        <v>0</v>
      </c>
      <c r="N470" s="667"/>
      <c r="O470" s="21">
        <f t="shared" si="80"/>
        <v>-0.01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0.05</v>
      </c>
      <c r="L471" s="667"/>
      <c r="M471" s="21">
        <f t="shared" si="79"/>
        <v>0</v>
      </c>
      <c r="N471" s="667"/>
      <c r="O471" s="21">
        <f t="shared" si="80"/>
        <v>-0.01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0.05</v>
      </c>
      <c r="L472" s="667"/>
      <c r="M472" s="21">
        <f t="shared" si="79"/>
        <v>0</v>
      </c>
      <c r="N472" s="667"/>
      <c r="O472" s="21">
        <f t="shared" si="80"/>
        <v>-0.01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0.05</v>
      </c>
      <c r="L473" s="667"/>
      <c r="M473" s="21">
        <f t="shared" si="79"/>
        <v>0</v>
      </c>
      <c r="N473" s="667"/>
      <c r="O473" s="21">
        <f t="shared" si="80"/>
        <v>-0.01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0.05</v>
      </c>
      <c r="L474" s="667"/>
      <c r="M474" s="21">
        <f t="shared" ref="M474:M524" si="90">(SUMIF($13:$13,L474,$14:$14)-SUMIF($13:$13,$L$24,$14:$14)+100)/100</f>
        <v>0</v>
      </c>
      <c r="N474" s="667"/>
      <c r="O474" s="21">
        <f t="shared" ref="O474:O524" si="91">(SUMIF($15:$15,N474,$16:$16)-SUMIF($15:$15,$N$24,$16:$16)+100)/100</f>
        <v>-0.01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0.05</v>
      </c>
      <c r="L475" s="667"/>
      <c r="M475" s="21">
        <f t="shared" si="90"/>
        <v>0</v>
      </c>
      <c r="N475" s="667"/>
      <c r="O475" s="21">
        <f t="shared" si="91"/>
        <v>-0.01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0.05</v>
      </c>
      <c r="L476" s="667"/>
      <c r="M476" s="21">
        <f t="shared" si="90"/>
        <v>0</v>
      </c>
      <c r="N476" s="667"/>
      <c r="O476" s="21">
        <f t="shared" si="91"/>
        <v>-0.01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0.05</v>
      </c>
      <c r="L477" s="667"/>
      <c r="M477" s="21">
        <f t="shared" si="90"/>
        <v>0</v>
      </c>
      <c r="N477" s="667"/>
      <c r="O477" s="21">
        <f t="shared" si="91"/>
        <v>-0.01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0.05</v>
      </c>
      <c r="L478" s="667"/>
      <c r="M478" s="21">
        <f t="shared" si="90"/>
        <v>0</v>
      </c>
      <c r="N478" s="667"/>
      <c r="O478" s="21">
        <f t="shared" si="91"/>
        <v>-0.01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0.05</v>
      </c>
      <c r="L479" s="667"/>
      <c r="M479" s="21">
        <f t="shared" si="90"/>
        <v>0</v>
      </c>
      <c r="N479" s="667"/>
      <c r="O479" s="21">
        <f t="shared" si="91"/>
        <v>-0.01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0.05</v>
      </c>
      <c r="L480" s="667"/>
      <c r="M480" s="21">
        <f t="shared" si="90"/>
        <v>0</v>
      </c>
      <c r="N480" s="667"/>
      <c r="O480" s="21">
        <f t="shared" si="91"/>
        <v>-0.01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0.05</v>
      </c>
      <c r="L481" s="667"/>
      <c r="M481" s="21">
        <f t="shared" si="90"/>
        <v>0</v>
      </c>
      <c r="N481" s="667"/>
      <c r="O481" s="21">
        <f t="shared" si="91"/>
        <v>-0.01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0.05</v>
      </c>
      <c r="L482" s="667"/>
      <c r="M482" s="21">
        <f t="shared" si="90"/>
        <v>0</v>
      </c>
      <c r="N482" s="667"/>
      <c r="O482" s="21">
        <f t="shared" si="91"/>
        <v>-0.01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0.05</v>
      </c>
      <c r="L483" s="667"/>
      <c r="M483" s="21">
        <f t="shared" si="90"/>
        <v>0</v>
      </c>
      <c r="N483" s="667"/>
      <c r="O483" s="21">
        <f t="shared" si="91"/>
        <v>-0.01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0.05</v>
      </c>
      <c r="L484" s="667"/>
      <c r="M484" s="21">
        <f t="shared" si="90"/>
        <v>0</v>
      </c>
      <c r="N484" s="667"/>
      <c r="O484" s="21">
        <f t="shared" si="91"/>
        <v>-0.01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0.05</v>
      </c>
      <c r="L485" s="667"/>
      <c r="M485" s="21">
        <f t="shared" si="90"/>
        <v>0</v>
      </c>
      <c r="N485" s="667"/>
      <c r="O485" s="21">
        <f t="shared" si="91"/>
        <v>-0.01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0.05</v>
      </c>
      <c r="L486" s="667"/>
      <c r="M486" s="21">
        <f t="shared" si="90"/>
        <v>0</v>
      </c>
      <c r="N486" s="667"/>
      <c r="O486" s="21">
        <f t="shared" si="91"/>
        <v>-0.01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0.05</v>
      </c>
      <c r="L487" s="667"/>
      <c r="M487" s="21">
        <f t="shared" si="90"/>
        <v>0</v>
      </c>
      <c r="N487" s="667"/>
      <c r="O487" s="21">
        <f t="shared" si="91"/>
        <v>-0.01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0.05</v>
      </c>
      <c r="L488" s="667"/>
      <c r="M488" s="21">
        <f t="shared" si="90"/>
        <v>0</v>
      </c>
      <c r="N488" s="667"/>
      <c r="O488" s="21">
        <f t="shared" si="91"/>
        <v>-0.01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0.05</v>
      </c>
      <c r="L489" s="667"/>
      <c r="M489" s="21">
        <f t="shared" si="90"/>
        <v>0</v>
      </c>
      <c r="N489" s="667"/>
      <c r="O489" s="21">
        <f t="shared" si="91"/>
        <v>-0.01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0.05</v>
      </c>
      <c r="L490" s="667"/>
      <c r="M490" s="21">
        <f t="shared" si="90"/>
        <v>0</v>
      </c>
      <c r="N490" s="667"/>
      <c r="O490" s="21">
        <f t="shared" si="91"/>
        <v>-0.01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0.05</v>
      </c>
      <c r="L491" s="667"/>
      <c r="M491" s="21">
        <f t="shared" si="90"/>
        <v>0</v>
      </c>
      <c r="N491" s="667"/>
      <c r="O491" s="21">
        <f t="shared" si="91"/>
        <v>-0.01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0.05</v>
      </c>
      <c r="L492" s="667"/>
      <c r="M492" s="21">
        <f t="shared" si="90"/>
        <v>0</v>
      </c>
      <c r="N492" s="667"/>
      <c r="O492" s="21">
        <f t="shared" si="91"/>
        <v>-0.01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0.05</v>
      </c>
      <c r="L493" s="667"/>
      <c r="M493" s="21">
        <f t="shared" si="90"/>
        <v>0</v>
      </c>
      <c r="N493" s="667"/>
      <c r="O493" s="21">
        <f t="shared" si="91"/>
        <v>-0.01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0.05</v>
      </c>
      <c r="L494" s="667"/>
      <c r="M494" s="21">
        <f t="shared" si="90"/>
        <v>0</v>
      </c>
      <c r="N494" s="667"/>
      <c r="O494" s="21">
        <f t="shared" si="91"/>
        <v>-0.01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0.05</v>
      </c>
      <c r="L495" s="667"/>
      <c r="M495" s="21">
        <f t="shared" si="90"/>
        <v>0</v>
      </c>
      <c r="N495" s="667"/>
      <c r="O495" s="21">
        <f t="shared" si="91"/>
        <v>-0.01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0.05</v>
      </c>
      <c r="L496" s="667"/>
      <c r="M496" s="21">
        <f t="shared" si="90"/>
        <v>0</v>
      </c>
      <c r="N496" s="667"/>
      <c r="O496" s="21">
        <f t="shared" si="91"/>
        <v>-0.01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0.05</v>
      </c>
      <c r="L497" s="667"/>
      <c r="M497" s="21">
        <f t="shared" si="90"/>
        <v>0</v>
      </c>
      <c r="N497" s="667"/>
      <c r="O497" s="21">
        <f t="shared" si="91"/>
        <v>-0.01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0.05</v>
      </c>
      <c r="L498" s="667"/>
      <c r="M498" s="21">
        <f t="shared" si="90"/>
        <v>0</v>
      </c>
      <c r="N498" s="667"/>
      <c r="O498" s="21">
        <f t="shared" si="91"/>
        <v>-0.01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0.05</v>
      </c>
      <c r="L499" s="667"/>
      <c r="M499" s="21">
        <f t="shared" si="90"/>
        <v>0</v>
      </c>
      <c r="N499" s="667"/>
      <c r="O499" s="21">
        <f t="shared" si="91"/>
        <v>-0.01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0.05</v>
      </c>
      <c r="L500" s="667"/>
      <c r="M500" s="21">
        <f t="shared" si="90"/>
        <v>0</v>
      </c>
      <c r="N500" s="667"/>
      <c r="O500" s="21">
        <f t="shared" si="91"/>
        <v>-0.01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0.05</v>
      </c>
      <c r="L501" s="667"/>
      <c r="M501" s="21">
        <f t="shared" si="90"/>
        <v>0</v>
      </c>
      <c r="N501" s="667"/>
      <c r="O501" s="21">
        <f t="shared" si="91"/>
        <v>-0.01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0.05</v>
      </c>
      <c r="L502" s="667"/>
      <c r="M502" s="21">
        <f t="shared" si="90"/>
        <v>0</v>
      </c>
      <c r="N502" s="667"/>
      <c r="O502" s="21">
        <f t="shared" si="91"/>
        <v>-0.01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0.05</v>
      </c>
      <c r="L503" s="667"/>
      <c r="M503" s="21">
        <f t="shared" si="90"/>
        <v>0</v>
      </c>
      <c r="N503" s="667"/>
      <c r="O503" s="21">
        <f t="shared" si="91"/>
        <v>-0.01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0.05</v>
      </c>
      <c r="L504" s="667"/>
      <c r="M504" s="21">
        <f t="shared" si="90"/>
        <v>0</v>
      </c>
      <c r="N504" s="667"/>
      <c r="O504" s="21">
        <f t="shared" si="91"/>
        <v>-0.01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0.05</v>
      </c>
      <c r="L505" s="667"/>
      <c r="M505" s="21">
        <f t="shared" si="90"/>
        <v>0</v>
      </c>
      <c r="N505" s="667"/>
      <c r="O505" s="21">
        <f t="shared" si="91"/>
        <v>-0.01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0.05</v>
      </c>
      <c r="L506" s="667"/>
      <c r="M506" s="21">
        <f t="shared" si="90"/>
        <v>0</v>
      </c>
      <c r="N506" s="667"/>
      <c r="O506" s="21">
        <f t="shared" si="91"/>
        <v>-0.01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0.05</v>
      </c>
      <c r="L507" s="667"/>
      <c r="M507" s="21">
        <f t="shared" si="90"/>
        <v>0</v>
      </c>
      <c r="N507" s="667"/>
      <c r="O507" s="21">
        <f t="shared" si="91"/>
        <v>-0.01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0.05</v>
      </c>
      <c r="L508" s="667"/>
      <c r="M508" s="21">
        <f t="shared" si="90"/>
        <v>0</v>
      </c>
      <c r="N508" s="667"/>
      <c r="O508" s="21">
        <f t="shared" si="91"/>
        <v>-0.01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0.05</v>
      </c>
      <c r="L509" s="667"/>
      <c r="M509" s="21">
        <f t="shared" si="90"/>
        <v>0</v>
      </c>
      <c r="N509" s="667"/>
      <c r="O509" s="21">
        <f t="shared" si="91"/>
        <v>-0.01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0.05</v>
      </c>
      <c r="L510" s="667"/>
      <c r="M510" s="21">
        <f t="shared" si="90"/>
        <v>0</v>
      </c>
      <c r="N510" s="667"/>
      <c r="O510" s="21">
        <f t="shared" si="91"/>
        <v>-0.01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0.05</v>
      </c>
      <c r="L511" s="667"/>
      <c r="M511" s="21">
        <f t="shared" si="90"/>
        <v>0</v>
      </c>
      <c r="N511" s="667"/>
      <c r="O511" s="21">
        <f t="shared" si="91"/>
        <v>-0.01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0.05</v>
      </c>
      <c r="L512" s="667"/>
      <c r="M512" s="21">
        <f t="shared" si="90"/>
        <v>0</v>
      </c>
      <c r="N512" s="667"/>
      <c r="O512" s="21">
        <f t="shared" si="91"/>
        <v>-0.01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0.05</v>
      </c>
      <c r="L513" s="667"/>
      <c r="M513" s="21">
        <f t="shared" si="90"/>
        <v>0</v>
      </c>
      <c r="N513" s="667"/>
      <c r="O513" s="21">
        <f t="shared" si="91"/>
        <v>-0.01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0.05</v>
      </c>
      <c r="L514" s="667"/>
      <c r="M514" s="21">
        <f t="shared" si="90"/>
        <v>0</v>
      </c>
      <c r="N514" s="667"/>
      <c r="O514" s="21">
        <f t="shared" si="91"/>
        <v>-0.01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0.05</v>
      </c>
      <c r="L515" s="667"/>
      <c r="M515" s="21">
        <f t="shared" si="90"/>
        <v>0</v>
      </c>
      <c r="N515" s="667"/>
      <c r="O515" s="21">
        <f t="shared" si="91"/>
        <v>-0.01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0.05</v>
      </c>
      <c r="L516" s="667"/>
      <c r="M516" s="21">
        <f t="shared" si="90"/>
        <v>0</v>
      </c>
      <c r="N516" s="667"/>
      <c r="O516" s="21">
        <f t="shared" si="91"/>
        <v>-0.01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0.05</v>
      </c>
      <c r="L517" s="667"/>
      <c r="M517" s="21">
        <f t="shared" si="90"/>
        <v>0</v>
      </c>
      <c r="N517" s="667"/>
      <c r="O517" s="21">
        <f t="shared" si="91"/>
        <v>-0.01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0.05</v>
      </c>
      <c r="L518" s="667"/>
      <c r="M518" s="21">
        <f t="shared" si="90"/>
        <v>0</v>
      </c>
      <c r="N518" s="667"/>
      <c r="O518" s="21">
        <f t="shared" si="91"/>
        <v>-0.01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0.05</v>
      </c>
      <c r="L519" s="667"/>
      <c r="M519" s="21">
        <f t="shared" si="90"/>
        <v>0</v>
      </c>
      <c r="N519" s="667"/>
      <c r="O519" s="21">
        <f t="shared" si="91"/>
        <v>-0.01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0.05</v>
      </c>
      <c r="L520" s="667"/>
      <c r="M520" s="21">
        <f t="shared" si="90"/>
        <v>0</v>
      </c>
      <c r="N520" s="667"/>
      <c r="O520" s="21">
        <f t="shared" si="91"/>
        <v>-0.01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0.05</v>
      </c>
      <c r="L521" s="667"/>
      <c r="M521" s="21">
        <f t="shared" si="90"/>
        <v>0</v>
      </c>
      <c r="N521" s="667"/>
      <c r="O521" s="21">
        <f t="shared" si="91"/>
        <v>-0.01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0.05</v>
      </c>
      <c r="L522" s="667"/>
      <c r="M522" s="21">
        <f t="shared" si="90"/>
        <v>0</v>
      </c>
      <c r="N522" s="667"/>
      <c r="O522" s="21">
        <f t="shared" si="91"/>
        <v>-0.01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0.05</v>
      </c>
      <c r="L523" s="667"/>
      <c r="M523" s="21">
        <f t="shared" si="90"/>
        <v>0</v>
      </c>
      <c r="N523" s="667"/>
      <c r="O523" s="21">
        <f t="shared" si="91"/>
        <v>-0.01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0.05</v>
      </c>
      <c r="L524" s="667"/>
      <c r="M524" s="21">
        <f t="shared" si="90"/>
        <v>0</v>
      </c>
      <c r="N524" s="667"/>
      <c r="O524" s="21">
        <f t="shared" si="91"/>
        <v>-0.01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80" zoomScaleNormal="70" zoomScaleSheetLayoutView="80" workbookViewId="0">
      <selection activeCell="D104" sqref="D104"/>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6" t="s">
        <v>1766</v>
      </c>
      <c r="C1" s="1237" t="s">
        <v>1662</v>
      </c>
      <c r="D1" s="1224" t="s">
        <v>673</v>
      </c>
      <c r="E1" s="3424" t="s">
        <v>3389</v>
      </c>
      <c r="F1" s="1877" t="s">
        <v>3390</v>
      </c>
      <c r="G1" s="1234" t="s">
        <v>1767</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1462</v>
      </c>
      <c r="B2" s="1163">
        <f>IF(E1="项目模式",IF(C2="——",ROUND(C49*D3/10000,0),ROUND(C49*D3/10000,0)-D2),IF(E1="单套模式",IF(C2="——",ROUND(C49*D3/10000,4),ROUND(C49*D3/10000,4)-D2)))</f>
        <v>394.12920000000003</v>
      </c>
      <c r="C2" s="1879" t="s">
        <v>43</v>
      </c>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45297</v>
      </c>
      <c r="C3" s="354" t="s">
        <v>1768</v>
      </c>
      <c r="D3" s="353">
        <f>IF(D1="",'数据-汇总表'!E3,SUMIF('数据-汇总表'!$C19:$C33,D1,'数据-汇总表'!$E19:$E33))</f>
        <v>87.01</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4.4">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75" t="s">
        <v>1773</v>
      </c>
      <c r="W4" s="3675"/>
      <c r="X4" s="1353"/>
      <c r="Y4" s="3690" t="s">
        <v>1775</v>
      </c>
      <c r="Z4" s="3691"/>
      <c r="AA4" s="3677" t="s">
        <v>1771</v>
      </c>
      <c r="AB4" s="3675" t="s">
        <v>1772</v>
      </c>
      <c r="AC4" s="3677" t="s">
        <v>1773</v>
      </c>
    </row>
    <row r="5" spans="1:29">
      <c r="A5" s="358"/>
      <c r="B5" s="359"/>
      <c r="C5" s="3703" t="s">
        <v>3412</v>
      </c>
      <c r="D5" s="3699"/>
      <c r="E5" s="3706" t="s">
        <v>3413</v>
      </c>
      <c r="F5" s="3707"/>
      <c r="G5" s="3698" t="s">
        <v>1675</v>
      </c>
      <c r="H5" s="3699"/>
      <c r="I5" s="3698" t="s">
        <v>1676</v>
      </c>
      <c r="J5" s="3699"/>
      <c r="K5" s="559"/>
      <c r="L5" s="2713"/>
      <c r="M5" s="2714"/>
      <c r="N5" s="2714"/>
      <c r="O5" s="2714"/>
      <c r="P5" s="3686"/>
      <c r="Q5" s="3687"/>
      <c r="R5" s="3692"/>
      <c r="S5" s="3693"/>
      <c r="T5" s="3692"/>
      <c r="U5" s="3693"/>
      <c r="V5" s="3675"/>
      <c r="W5" s="3675"/>
      <c r="X5" s="1353"/>
      <c r="Y5" s="3692"/>
      <c r="Z5" s="3693"/>
      <c r="AA5" s="3678"/>
      <c r="AB5" s="3675"/>
      <c r="AC5" s="3678"/>
    </row>
    <row r="6" spans="1:29" ht="15" thickBot="1">
      <c r="A6" s="360"/>
      <c r="B6" s="361"/>
      <c r="C6" s="3696" t="s">
        <v>1677</v>
      </c>
      <c r="D6" s="3697"/>
      <c r="E6" s="3704" t="s">
        <v>1677</v>
      </c>
      <c r="F6" s="3705"/>
      <c r="G6" s="3696" t="s">
        <v>1677</v>
      </c>
      <c r="H6" s="3697"/>
      <c r="I6" s="3696" t="s">
        <v>1677</v>
      </c>
      <c r="J6" s="3697"/>
      <c r="K6" s="559" t="s">
        <v>1678</v>
      </c>
      <c r="L6" s="2713"/>
      <c r="M6" s="2714"/>
      <c r="N6" s="2714"/>
      <c r="O6" s="2714"/>
      <c r="P6" s="3688"/>
      <c r="Q6" s="3689"/>
      <c r="R6" s="3692"/>
      <c r="S6" s="3693"/>
      <c r="T6" s="3694"/>
      <c r="U6" s="3695"/>
      <c r="V6" s="3675"/>
      <c r="W6" s="3675"/>
      <c r="X6" s="1353"/>
      <c r="Y6" s="3694"/>
      <c r="Z6" s="3695"/>
      <c r="AA6" s="3679"/>
      <c r="AB6" s="3675"/>
      <c r="AC6" s="3679"/>
    </row>
    <row r="7" spans="1:29" s="108" customFormat="1" ht="15" thickBot="1">
      <c r="A7" s="362" t="s">
        <v>1679</v>
      </c>
      <c r="B7" s="363"/>
      <c r="C7" s="364">
        <f>'数据-取费表'!B2</f>
        <v>45322</v>
      </c>
      <c r="D7" s="365">
        <v>100</v>
      </c>
      <c r="E7" s="366">
        <v>45292</v>
      </c>
      <c r="F7" s="367">
        <f>SUMIF(58:58,YEAR(E7)&amp;"-"&amp;MONTH(E7),59:59)</f>
        <v>100</v>
      </c>
      <c r="G7" s="366">
        <v>45292</v>
      </c>
      <c r="H7" s="365">
        <f>SUMIF(58:58,YEAR(G7)&amp;"-"&amp;MONTH(G7),59:59)</f>
        <v>100</v>
      </c>
      <c r="I7" s="366">
        <v>45292</v>
      </c>
      <c r="J7" s="365">
        <f>SUMIF(58:58,YEAR(I7)&amp;"-"&amp;MONTH(I7),59:59)</f>
        <v>100</v>
      </c>
      <c r="K7" s="560"/>
      <c r="L7" s="2715"/>
      <c r="M7" s="2716"/>
      <c r="N7" s="2716"/>
      <c r="O7" s="2716"/>
      <c r="P7" s="3700" t="s">
        <v>1680</v>
      </c>
      <c r="Q7" s="3702"/>
      <c r="R7" s="701" t="s">
        <v>14</v>
      </c>
      <c r="S7" s="702">
        <f t="shared" ref="S7:S15" si="0">F7</f>
        <v>100</v>
      </c>
      <c r="T7" s="701" t="s">
        <v>14</v>
      </c>
      <c r="U7" s="702">
        <f t="shared" ref="U7:U15" si="1">H7</f>
        <v>100</v>
      </c>
      <c r="V7" s="701" t="s">
        <v>14</v>
      </c>
      <c r="W7" s="702">
        <f t="shared" ref="W7:W15" si="2">J7</f>
        <v>100</v>
      </c>
      <c r="X7" s="703"/>
      <c r="Y7" s="3700" t="s">
        <v>1680</v>
      </c>
      <c r="Z7" s="3701"/>
      <c r="AA7" s="704">
        <f>D7/F7</f>
        <v>1</v>
      </c>
      <c r="AB7" s="704">
        <f>D7/H7</f>
        <v>1</v>
      </c>
      <c r="AC7" s="704">
        <f>D7/J7</f>
        <v>1</v>
      </c>
    </row>
    <row r="8" spans="1:29" s="108" customFormat="1" ht="15" thickBot="1">
      <c r="A8" s="362" t="s">
        <v>1681</v>
      </c>
      <c r="B8" s="363"/>
      <c r="C8" s="368" t="s">
        <v>3391</v>
      </c>
      <c r="D8" s="365">
        <v>100</v>
      </c>
      <c r="E8" s="368" t="s">
        <v>3414</v>
      </c>
      <c r="F8" s="367">
        <f>SUMIF(61:61,E8,62:62)-SUMIF(61:61,C8,62:62)+100</f>
        <v>102</v>
      </c>
      <c r="G8" s="368" t="s">
        <v>3414</v>
      </c>
      <c r="H8" s="365">
        <f>SUMIF(61:61,G8,62:62)-SUMIF(61:61,C8,62:62)+100</f>
        <v>102</v>
      </c>
      <c r="I8" s="368" t="s">
        <v>3414</v>
      </c>
      <c r="J8" s="365">
        <f>SUMIF(61:61,I8,62:62)-SUMIF(61:61,C8,62:62)+100</f>
        <v>102</v>
      </c>
      <c r="K8" s="560"/>
      <c r="L8" s="2715"/>
      <c r="M8" s="2716"/>
      <c r="N8" s="2716"/>
      <c r="O8" s="2716"/>
      <c r="P8" s="3700" t="s">
        <v>1683</v>
      </c>
      <c r="Q8" s="3701"/>
      <c r="R8" s="701" t="s">
        <v>14</v>
      </c>
      <c r="S8" s="702">
        <f t="shared" si="0"/>
        <v>102</v>
      </c>
      <c r="T8" s="701" t="s">
        <v>14</v>
      </c>
      <c r="U8" s="702">
        <f t="shared" si="1"/>
        <v>102</v>
      </c>
      <c r="V8" s="701" t="s">
        <v>14</v>
      </c>
      <c r="W8" s="702">
        <f t="shared" si="2"/>
        <v>102</v>
      </c>
      <c r="X8" s="703"/>
      <c r="Y8" s="3700" t="s">
        <v>1683</v>
      </c>
      <c r="Z8" s="3701"/>
      <c r="AA8" s="704">
        <f t="shared" ref="AA8:AA46" si="3">D8/F8</f>
        <v>0.98039215686274506</v>
      </c>
      <c r="AB8" s="704">
        <f t="shared" ref="AB8:AB46" si="4">D8/H8</f>
        <v>0.98039215686274506</v>
      </c>
      <c r="AC8" s="704">
        <f t="shared" ref="AC8:AC46" si="5">D8/J8</f>
        <v>0.98039215686274506</v>
      </c>
    </row>
    <row r="9" spans="1:29" s="108" customFormat="1" ht="14.4">
      <c r="A9" s="369" t="s">
        <v>1684</v>
      </c>
      <c r="B9" s="63" t="s">
        <v>1685</v>
      </c>
      <c r="C9" s="3449" t="s">
        <v>3392</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76" t="s">
        <v>1686</v>
      </c>
      <c r="Q9" s="1341"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6"/>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6"/>
      <c r="Q11" s="1341"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704">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6"/>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6"/>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6"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6"/>
      <c r="Q14" s="1341">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69">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66" t="s">
        <v>1691</v>
      </c>
      <c r="Q15" s="1350" t="str">
        <f t="shared" si="6"/>
        <v>商业繁华度</v>
      </c>
      <c r="R15" s="705" t="s">
        <v>14</v>
      </c>
      <c r="S15" s="706">
        <f t="shared" si="0"/>
        <v>100</v>
      </c>
      <c r="T15" s="705" t="s">
        <v>14</v>
      </c>
      <c r="U15" s="706">
        <f t="shared" si="1"/>
        <v>100</v>
      </c>
      <c r="V15" s="705" t="s">
        <v>14</v>
      </c>
      <c r="W15" s="706">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3393</v>
      </c>
      <c r="D16" s="399"/>
      <c r="E16" s="398" t="s">
        <v>3393</v>
      </c>
      <c r="F16" s="400"/>
      <c r="G16" s="398" t="s">
        <v>3393</v>
      </c>
      <c r="H16" s="401"/>
      <c r="I16" s="398" t="s">
        <v>3393</v>
      </c>
      <c r="J16" s="399"/>
      <c r="K16" s="564"/>
      <c r="L16" s="2720"/>
      <c r="M16" s="2714"/>
      <c r="N16" s="2714"/>
      <c r="O16" s="2714"/>
      <c r="P16" s="3667"/>
      <c r="Q16" s="1350"/>
      <c r="R16" s="705"/>
      <c r="S16" s="706"/>
      <c r="T16" s="705"/>
      <c r="U16" s="706"/>
      <c r="V16" s="705"/>
      <c r="W16" s="706"/>
      <c r="X16" s="1353"/>
      <c r="Y16" s="3669"/>
      <c r="Z16" s="1354"/>
      <c r="AA16" s="1351">
        <v>1</v>
      </c>
      <c r="AB16" s="1351">
        <v>1</v>
      </c>
      <c r="AC16" s="1351">
        <v>1</v>
      </c>
    </row>
    <row r="17" spans="1:29" ht="82.8">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67"/>
      <c r="Q17" s="1350" t="str">
        <f>B17</f>
        <v>交通便捷度</v>
      </c>
      <c r="R17" s="705" t="s">
        <v>14</v>
      </c>
      <c r="S17" s="706">
        <f>F17</f>
        <v>100</v>
      </c>
      <c r="T17" s="705" t="s">
        <v>14</v>
      </c>
      <c r="U17" s="706">
        <f>H17</f>
        <v>100</v>
      </c>
      <c r="V17" s="705" t="s">
        <v>14</v>
      </c>
      <c r="W17" s="706">
        <f>J17</f>
        <v>100</v>
      </c>
      <c r="X17" s="1353"/>
      <c r="Y17" s="3669"/>
      <c r="Z17" s="1354" t="str">
        <f>Q17</f>
        <v>交通便捷度</v>
      </c>
      <c r="AA17" s="1351">
        <f t="shared" si="3"/>
        <v>1</v>
      </c>
      <c r="AB17" s="1351">
        <f t="shared" si="4"/>
        <v>1</v>
      </c>
      <c r="AC17" s="1351">
        <f t="shared" si="5"/>
        <v>1</v>
      </c>
    </row>
    <row r="18" spans="1:29" ht="15">
      <c r="A18" s="379"/>
      <c r="B18" s="407"/>
      <c r="C18" s="1899" t="s">
        <v>3394</v>
      </c>
      <c r="D18" s="401"/>
      <c r="E18" s="1899" t="s">
        <v>3394</v>
      </c>
      <c r="F18" s="404"/>
      <c r="G18" s="1899" t="s">
        <v>3394</v>
      </c>
      <c r="H18" s="399"/>
      <c r="I18" s="1899" t="s">
        <v>3394</v>
      </c>
      <c r="J18" s="399"/>
      <c r="K18" s="564"/>
      <c r="L18" s="2720"/>
      <c r="M18" s="2714"/>
      <c r="N18" s="2714"/>
      <c r="O18" s="2714"/>
      <c r="P18" s="3667"/>
      <c r="Q18" s="1350"/>
      <c r="R18" s="705"/>
      <c r="S18" s="706"/>
      <c r="T18" s="705"/>
      <c r="U18" s="706"/>
      <c r="V18" s="705"/>
      <c r="W18" s="706"/>
      <c r="X18" s="1353"/>
      <c r="Y18" s="3669"/>
      <c r="Z18" s="1354"/>
      <c r="AA18" s="1351">
        <v>1</v>
      </c>
      <c r="AB18" s="1351">
        <v>1</v>
      </c>
      <c r="AC18" s="1351">
        <v>1</v>
      </c>
    </row>
    <row r="19" spans="1:29" ht="41.4">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67"/>
      <c r="Q19" s="1350" t="str">
        <f>B19</f>
        <v>公共配套设施</v>
      </c>
      <c r="R19" s="705" t="s">
        <v>14</v>
      </c>
      <c r="S19" s="706">
        <f>F19</f>
        <v>100</v>
      </c>
      <c r="T19" s="705" t="s">
        <v>14</v>
      </c>
      <c r="U19" s="706">
        <f>H19</f>
        <v>100</v>
      </c>
      <c r="V19" s="705" t="s">
        <v>14</v>
      </c>
      <c r="W19" s="706">
        <f>J19</f>
        <v>100</v>
      </c>
      <c r="X19" s="1353"/>
      <c r="Y19" s="3669"/>
      <c r="Z19" s="1354" t="str">
        <f>Q19</f>
        <v>公共配套设施</v>
      </c>
      <c r="AA19" s="1351">
        <f t="shared" si="3"/>
        <v>1</v>
      </c>
      <c r="AB19" s="1351">
        <f t="shared" si="4"/>
        <v>1</v>
      </c>
      <c r="AC19" s="1351">
        <f t="shared" si="5"/>
        <v>1</v>
      </c>
    </row>
    <row r="20" spans="1:29" ht="15">
      <c r="A20" s="379"/>
      <c r="B20" s="407"/>
      <c r="C20" s="398" t="s">
        <v>3394</v>
      </c>
      <c r="D20" s="399"/>
      <c r="E20" s="1899" t="s">
        <v>3394</v>
      </c>
      <c r="F20" s="400"/>
      <c r="G20" s="1899" t="s">
        <v>3394</v>
      </c>
      <c r="H20" s="399"/>
      <c r="I20" s="1899" t="s">
        <v>3394</v>
      </c>
      <c r="J20" s="399"/>
      <c r="K20" s="564"/>
      <c r="L20" s="2720"/>
      <c r="M20" s="2714"/>
      <c r="N20" s="2714"/>
      <c r="O20" s="2714"/>
      <c r="P20" s="3667"/>
      <c r="Q20" s="1350"/>
      <c r="R20" s="705"/>
      <c r="S20" s="706"/>
      <c r="T20" s="705"/>
      <c r="U20" s="706"/>
      <c r="V20" s="705"/>
      <c r="W20" s="706"/>
      <c r="X20" s="1353"/>
      <c r="Y20" s="3669"/>
      <c r="Z20" s="1354"/>
      <c r="AA20" s="1351">
        <v>1</v>
      </c>
      <c r="AB20" s="1351">
        <v>1</v>
      </c>
      <c r="AC20" s="1351">
        <v>1</v>
      </c>
    </row>
    <row r="21" spans="1:29" ht="27.6">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67"/>
      <c r="Q21" s="1350" t="str">
        <f>B21</f>
        <v>基础设施水平</v>
      </c>
      <c r="R21" s="705" t="s">
        <v>14</v>
      </c>
      <c r="S21" s="706">
        <f>F21</f>
        <v>100</v>
      </c>
      <c r="T21" s="705" t="s">
        <v>14</v>
      </c>
      <c r="U21" s="706">
        <f>H21</f>
        <v>100</v>
      </c>
      <c r="V21" s="705" t="s">
        <v>14</v>
      </c>
      <c r="W21" s="706">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30"/>
      <c r="C22" s="1899" t="s">
        <v>3395</v>
      </c>
      <c r="D22" s="399"/>
      <c r="E22" s="398" t="s">
        <v>3395</v>
      </c>
      <c r="F22" s="400"/>
      <c r="G22" s="398" t="s">
        <v>3395</v>
      </c>
      <c r="H22" s="399"/>
      <c r="I22" s="398" t="s">
        <v>3395</v>
      </c>
      <c r="J22" s="399"/>
      <c r="K22" s="1129"/>
      <c r="L22" s="2720"/>
      <c r="M22" s="2714"/>
      <c r="N22" s="2714"/>
      <c r="O22" s="2714"/>
      <c r="P22" s="3667"/>
      <c r="Q22" s="1350"/>
      <c r="R22" s="705"/>
      <c r="S22" s="706"/>
      <c r="T22" s="705"/>
      <c r="U22" s="706"/>
      <c r="V22" s="705"/>
      <c r="W22" s="706"/>
      <c r="X22" s="1353"/>
      <c r="Y22" s="3669"/>
      <c r="Z22" s="1354"/>
      <c r="AA22" s="1351">
        <v>1</v>
      </c>
      <c r="AB22" s="1351">
        <v>1</v>
      </c>
      <c r="AC22" s="1351">
        <v>1</v>
      </c>
    </row>
    <row r="23" spans="1:29" ht="55.2">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67"/>
      <c r="Q23" s="1350" t="str">
        <f>B23</f>
        <v>自然及人文环境</v>
      </c>
      <c r="R23" s="705" t="s">
        <v>14</v>
      </c>
      <c r="S23" s="706">
        <f>F23</f>
        <v>100</v>
      </c>
      <c r="T23" s="705" t="s">
        <v>14</v>
      </c>
      <c r="U23" s="706">
        <f>H23</f>
        <v>100</v>
      </c>
      <c r="V23" s="705" t="s">
        <v>14</v>
      </c>
      <c r="W23" s="706">
        <f>J23</f>
        <v>100</v>
      </c>
      <c r="X23" s="1353"/>
      <c r="Y23" s="3669"/>
      <c r="Z23" s="1354" t="str">
        <f>Q23</f>
        <v>自然及人文环境</v>
      </c>
      <c r="AA23" s="1351">
        <f t="shared" si="3"/>
        <v>1</v>
      </c>
      <c r="AB23" s="1351">
        <f t="shared" si="4"/>
        <v>1</v>
      </c>
      <c r="AC23" s="1351">
        <f t="shared" si="5"/>
        <v>1</v>
      </c>
    </row>
    <row r="24" spans="1:29" ht="15">
      <c r="A24" s="379"/>
      <c r="B24" s="407"/>
      <c r="C24" s="398" t="s">
        <v>3394</v>
      </c>
      <c r="D24" s="399"/>
      <c r="E24" s="1899" t="s">
        <v>3394</v>
      </c>
      <c r="F24" s="400"/>
      <c r="G24" s="1899" t="s">
        <v>3394</v>
      </c>
      <c r="H24" s="399"/>
      <c r="I24" s="1899" t="s">
        <v>3394</v>
      </c>
      <c r="J24" s="399"/>
      <c r="K24" s="564"/>
      <c r="L24" s="2720"/>
      <c r="M24" s="2714"/>
      <c r="N24" s="2714"/>
      <c r="O24" s="2714"/>
      <c r="P24" s="3667"/>
      <c r="Q24" s="1350"/>
      <c r="R24" s="705"/>
      <c r="S24" s="706"/>
      <c r="T24" s="705"/>
      <c r="U24" s="706"/>
      <c r="V24" s="705"/>
      <c r="W24" s="706"/>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67"/>
      <c r="Q25" s="1350" t="str">
        <f t="shared" ref="Q25:Q46" si="11">B25</f>
        <v>临街状况</v>
      </c>
      <c r="R25" s="705" t="s">
        <v>14</v>
      </c>
      <c r="S25" s="706">
        <f>F25</f>
        <v>100</v>
      </c>
      <c r="T25" s="705" t="s">
        <v>14</v>
      </c>
      <c r="U25" s="706">
        <f>H25</f>
        <v>100</v>
      </c>
      <c r="V25" s="705" t="s">
        <v>14</v>
      </c>
      <c r="W25" s="706">
        <f>J25</f>
        <v>100</v>
      </c>
      <c r="X25" s="1353"/>
      <c r="Y25" s="3669"/>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67"/>
      <c r="Q26" s="1350" t="str">
        <f t="shared" si="11"/>
        <v>平面位置/可视性</v>
      </c>
      <c r="R26" s="705" t="s">
        <v>14</v>
      </c>
      <c r="S26" s="706">
        <f>F26</f>
        <v>100</v>
      </c>
      <c r="T26" s="705" t="s">
        <v>14</v>
      </c>
      <c r="U26" s="706">
        <f>H26</f>
        <v>100</v>
      </c>
      <c r="V26" s="705" t="s">
        <v>14</v>
      </c>
      <c r="W26" s="706">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67"/>
      <c r="Q27" s="1341" t="str">
        <f t="shared" si="11"/>
        <v>人流量</v>
      </c>
      <c r="R27" s="701" t="s">
        <v>14</v>
      </c>
      <c r="S27" s="702">
        <f>F27</f>
        <v>100</v>
      </c>
      <c r="T27" s="701" t="s">
        <v>14</v>
      </c>
      <c r="U27" s="702">
        <f>H27</f>
        <v>100</v>
      </c>
      <c r="V27" s="701" t="s">
        <v>14</v>
      </c>
      <c r="W27" s="702">
        <f>J27</f>
        <v>100</v>
      </c>
      <c r="X27" s="703"/>
      <c r="Y27" s="3669"/>
      <c r="Z27" s="52" t="str">
        <f>Q27</f>
        <v>人流量</v>
      </c>
      <c r="AA27" s="1351">
        <f>D27/F27</f>
        <v>1</v>
      </c>
      <c r="AB27" s="1351">
        <f>D27/H27</f>
        <v>1</v>
      </c>
      <c r="AC27" s="1351">
        <f>D27/J27</f>
        <v>1</v>
      </c>
    </row>
    <row r="28" spans="1:29" ht="15">
      <c r="A28" s="379"/>
      <c r="B28" s="375" t="s">
        <v>1783</v>
      </c>
      <c r="C28" s="565" t="s">
        <v>3410</v>
      </c>
      <c r="D28" s="386">
        <v>100</v>
      </c>
      <c r="E28" s="565" t="s">
        <v>3411</v>
      </c>
      <c r="F28" s="412">
        <f>SUMIF(92:92,E28,93:93)-SUMIF(92:92,C28,93:93)+100</f>
        <v>112</v>
      </c>
      <c r="G28" s="565" t="s">
        <v>3411</v>
      </c>
      <c r="H28" s="386">
        <f>SUMIF(92:92,G28,93:93)-SUMIF(92:92,C28,93:93)+100</f>
        <v>112</v>
      </c>
      <c r="I28" s="565" t="s">
        <v>3411</v>
      </c>
      <c r="J28" s="386">
        <f>SUMIF(92:92,I28,93:93)-SUMIF(92:92,C28,93:93)+100</f>
        <v>112</v>
      </c>
      <c r="K28" s="562"/>
      <c r="L28" s="2720"/>
      <c r="M28" s="2714"/>
      <c r="N28" s="2714"/>
      <c r="O28" s="2714"/>
      <c r="P28" s="3667"/>
      <c r="Q28" s="1350" t="str">
        <f t="shared" si="11"/>
        <v>楼层</v>
      </c>
      <c r="R28" s="705" t="s">
        <v>14</v>
      </c>
      <c r="S28" s="706">
        <f t="shared" ref="S28:S46" si="12">F28</f>
        <v>112</v>
      </c>
      <c r="T28" s="705" t="s">
        <v>14</v>
      </c>
      <c r="U28" s="706">
        <f t="shared" ref="U28:U46" si="13">H28</f>
        <v>112</v>
      </c>
      <c r="V28" s="705" t="s">
        <v>14</v>
      </c>
      <c r="W28" s="706">
        <f t="shared" ref="W28:W46" si="14">J28</f>
        <v>112</v>
      </c>
      <c r="X28" s="1353"/>
      <c r="Y28" s="3669"/>
      <c r="Z28" s="1354" t="str">
        <f t="shared" ref="Z28:Z46" si="15">Q28</f>
        <v>楼层</v>
      </c>
      <c r="AA28" s="1351">
        <f t="shared" si="3"/>
        <v>0.8928571428571429</v>
      </c>
      <c r="AB28" s="1351">
        <f t="shared" si="4"/>
        <v>0.8928571428571429</v>
      </c>
      <c r="AC28" s="1351">
        <f t="shared" si="5"/>
        <v>0.8928571428571429</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67"/>
      <c r="Q29" s="1350">
        <f t="shared" si="11"/>
        <v>111</v>
      </c>
      <c r="R29" s="705" t="s">
        <v>14</v>
      </c>
      <c r="S29" s="706">
        <f t="shared" si="12"/>
        <v>100</v>
      </c>
      <c r="T29" s="705" t="s">
        <v>14</v>
      </c>
      <c r="U29" s="706">
        <f t="shared" si="13"/>
        <v>100</v>
      </c>
      <c r="V29" s="705" t="s">
        <v>14</v>
      </c>
      <c r="W29" s="706">
        <f t="shared" si="14"/>
        <v>100</v>
      </c>
      <c r="X29" s="1353"/>
      <c r="Y29" s="3669"/>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67"/>
      <c r="Q30" s="1350">
        <f t="shared" si="11"/>
        <v>111</v>
      </c>
      <c r="R30" s="705" t="s">
        <v>14</v>
      </c>
      <c r="S30" s="706">
        <f t="shared" si="12"/>
        <v>100</v>
      </c>
      <c r="T30" s="705" t="s">
        <v>14</v>
      </c>
      <c r="U30" s="706">
        <f t="shared" si="13"/>
        <v>100</v>
      </c>
      <c r="V30" s="705" t="s">
        <v>14</v>
      </c>
      <c r="W30" s="706">
        <f t="shared" si="14"/>
        <v>100</v>
      </c>
      <c r="X30" s="1353"/>
      <c r="Y30" s="3669"/>
      <c r="Z30" s="1354">
        <f t="shared" si="15"/>
        <v>111</v>
      </c>
      <c r="AA30" s="1351">
        <f t="shared" si="3"/>
        <v>1</v>
      </c>
      <c r="AB30" s="1351">
        <f t="shared" si="4"/>
        <v>1</v>
      </c>
      <c r="AC30" s="1351">
        <f t="shared" si="5"/>
        <v>1</v>
      </c>
    </row>
    <row r="31" spans="1:29" ht="15.6"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67"/>
      <c r="Q31" s="1350">
        <f t="shared" si="11"/>
        <v>111</v>
      </c>
      <c r="R31" s="705" t="s">
        <v>14</v>
      </c>
      <c r="S31" s="706">
        <f t="shared" si="12"/>
        <v>100</v>
      </c>
      <c r="T31" s="705" t="s">
        <v>14</v>
      </c>
      <c r="U31" s="706">
        <f t="shared" si="13"/>
        <v>100</v>
      </c>
      <c r="V31" s="705" t="s">
        <v>14</v>
      </c>
      <c r="W31" s="706">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5" t="s">
        <v>14</v>
      </c>
      <c r="S32" s="706">
        <f t="shared" si="12"/>
        <v>100</v>
      </c>
      <c r="T32" s="705" t="s">
        <v>14</v>
      </c>
      <c r="U32" s="706">
        <f t="shared" si="13"/>
        <v>100</v>
      </c>
      <c r="V32" s="705" t="s">
        <v>14</v>
      </c>
      <c r="W32" s="706">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87.01</v>
      </c>
      <c r="D33" s="127">
        <v>100</v>
      </c>
      <c r="E33" s="381">
        <v>83.76</v>
      </c>
      <c r="F33" s="376">
        <f>LOOKUP(E33,103:103,104:104)-LOOKUP(C33,103:103,104:104)+100</f>
        <v>100</v>
      </c>
      <c r="G33" s="380">
        <v>143.87</v>
      </c>
      <c r="H33" s="127">
        <f>LOOKUP(G33,103:103,104:104)-LOOKUP(C33,103:103,104:104)+100</f>
        <v>101</v>
      </c>
      <c r="I33" s="380">
        <v>163.33000000000001</v>
      </c>
      <c r="J33" s="127">
        <f>LOOKUP(I33,103:103,104:104)-LOOKUP(C33,103:103,104:104)+100</f>
        <v>101</v>
      </c>
      <c r="K33" s="562"/>
      <c r="L33" s="2719"/>
      <c r="M33" s="2721"/>
      <c r="N33" s="2721"/>
      <c r="O33" s="2721"/>
      <c r="P33" s="3671"/>
      <c r="Q33" s="707" t="str">
        <f t="shared" si="11"/>
        <v>项目建筑规模</v>
      </c>
      <c r="R33" s="708" t="s">
        <v>14</v>
      </c>
      <c r="S33" s="709">
        <f t="shared" si="12"/>
        <v>100</v>
      </c>
      <c r="T33" s="708" t="s">
        <v>14</v>
      </c>
      <c r="U33" s="709">
        <f t="shared" si="13"/>
        <v>101</v>
      </c>
      <c r="V33" s="708" t="s">
        <v>14</v>
      </c>
      <c r="W33" s="709">
        <f t="shared" si="14"/>
        <v>101</v>
      </c>
      <c r="X33" s="710"/>
      <c r="Y33" s="3673"/>
      <c r="Z33" s="711" t="str">
        <f t="shared" si="15"/>
        <v>项目建筑规模</v>
      </c>
      <c r="AA33" s="1351">
        <f t="shared" si="3"/>
        <v>1</v>
      </c>
      <c r="AB33" s="1351">
        <f t="shared" si="4"/>
        <v>0.99009900990099009</v>
      </c>
      <c r="AC33" s="1351">
        <f t="shared" si="5"/>
        <v>0.99009900990099009</v>
      </c>
    </row>
    <row r="34" spans="1:29" ht="15">
      <c r="A34" s="423"/>
      <c r="B34" s="375" t="s">
        <v>1698</v>
      </c>
      <c r="C34" s="1910" t="s">
        <v>3399</v>
      </c>
      <c r="D34" s="386">
        <v>100</v>
      </c>
      <c r="E34" s="1910" t="s">
        <v>3399</v>
      </c>
      <c r="F34" s="412">
        <f>SUMIF(105:105,E34,106:106)-SUMIF(105:105,C34,106:106)+100</f>
        <v>100</v>
      </c>
      <c r="G34" s="1910" t="s">
        <v>3399</v>
      </c>
      <c r="H34" s="386">
        <f>SUMIF(105:105,G34,106:106)-SUMIF(105:105,C34,106:106)+100</f>
        <v>100</v>
      </c>
      <c r="I34" s="1910" t="s">
        <v>3399</v>
      </c>
      <c r="J34" s="386">
        <f>SUMIF(105:105,I34,106:106)-SUMIF(105:105,C34,106:106)+100</f>
        <v>100</v>
      </c>
      <c r="K34" s="561"/>
      <c r="L34" s="2720"/>
      <c r="M34" s="2714"/>
      <c r="N34" s="2714"/>
      <c r="O34" s="2714"/>
      <c r="P34" s="3671"/>
      <c r="Q34" s="1350" t="str">
        <f t="shared" si="11"/>
        <v>建筑结构</v>
      </c>
      <c r="R34" s="705" t="s">
        <v>14</v>
      </c>
      <c r="S34" s="706">
        <f t="shared" si="12"/>
        <v>100</v>
      </c>
      <c r="T34" s="705" t="s">
        <v>14</v>
      </c>
      <c r="U34" s="706">
        <f t="shared" si="13"/>
        <v>100</v>
      </c>
      <c r="V34" s="705" t="s">
        <v>14</v>
      </c>
      <c r="W34" s="706">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5" t="s">
        <v>14</v>
      </c>
      <c r="S35" s="706">
        <f t="shared" si="12"/>
        <v>100</v>
      </c>
      <c r="T35" s="705" t="s">
        <v>14</v>
      </c>
      <c r="U35" s="706">
        <f t="shared" si="13"/>
        <v>100</v>
      </c>
      <c r="V35" s="705" t="s">
        <v>14</v>
      </c>
      <c r="W35" s="706">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0"/>
      <c r="M36" s="2714"/>
      <c r="N36" s="2714"/>
      <c r="O36" s="2714"/>
      <c r="P36" s="3671"/>
      <c r="Q36" s="1350" t="str">
        <f t="shared" si="11"/>
        <v>成新度</v>
      </c>
      <c r="R36" s="705" t="s">
        <v>14</v>
      </c>
      <c r="S36" s="706">
        <f t="shared" si="12"/>
        <v>100</v>
      </c>
      <c r="T36" s="705" t="s">
        <v>14</v>
      </c>
      <c r="U36" s="706">
        <f t="shared" si="13"/>
        <v>100</v>
      </c>
      <c r="V36" s="705" t="s">
        <v>14</v>
      </c>
      <c r="W36" s="706">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5" t="s">
        <v>14</v>
      </c>
      <c r="S38" s="706">
        <f t="shared" si="12"/>
        <v>100</v>
      </c>
      <c r="T38" s="705" t="s">
        <v>14</v>
      </c>
      <c r="U38" s="706">
        <f t="shared" si="13"/>
        <v>100</v>
      </c>
      <c r="V38" s="705" t="s">
        <v>14</v>
      </c>
      <c r="W38" s="706">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5" t="s">
        <v>14</v>
      </c>
      <c r="S39" s="706">
        <f t="shared" si="12"/>
        <v>100</v>
      </c>
      <c r="T39" s="705" t="s">
        <v>14</v>
      </c>
      <c r="U39" s="706">
        <f t="shared" si="13"/>
        <v>100</v>
      </c>
      <c r="V39" s="705" t="s">
        <v>14</v>
      </c>
      <c r="W39" s="706">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5" t="s">
        <v>14</v>
      </c>
      <c r="S40" s="706">
        <f t="shared" si="12"/>
        <v>100</v>
      </c>
      <c r="T40" s="705" t="s">
        <v>14</v>
      </c>
      <c r="U40" s="706">
        <f t="shared" si="13"/>
        <v>100</v>
      </c>
      <c r="V40" s="705" t="s">
        <v>14</v>
      </c>
      <c r="W40" s="706">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5" t="s">
        <v>14</v>
      </c>
      <c r="S42" s="706">
        <f t="shared" si="12"/>
        <v>100</v>
      </c>
      <c r="T42" s="705" t="s">
        <v>14</v>
      </c>
      <c r="U42" s="706">
        <f t="shared" si="13"/>
        <v>100</v>
      </c>
      <c r="V42" s="705" t="s">
        <v>14</v>
      </c>
      <c r="W42" s="706">
        <f t="shared" si="14"/>
        <v>100</v>
      </c>
      <c r="X42" s="1353"/>
      <c r="Y42" s="3673"/>
      <c r="Z42" s="1354" t="str">
        <f t="shared" si="15"/>
        <v>内部装修</v>
      </c>
      <c r="AA42" s="1351">
        <f t="shared" si="3"/>
        <v>1</v>
      </c>
      <c r="AB42" s="1351">
        <f t="shared" si="4"/>
        <v>1</v>
      </c>
      <c r="AC42" s="1351">
        <f t="shared" si="5"/>
        <v>1</v>
      </c>
    </row>
    <row r="43" spans="1:29" ht="28.8">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5" t="s">
        <v>14</v>
      </c>
      <c r="S43" s="706">
        <f t="shared" si="12"/>
        <v>100</v>
      </c>
      <c r="T43" s="705" t="s">
        <v>14</v>
      </c>
      <c r="U43" s="706">
        <f t="shared" si="13"/>
        <v>100</v>
      </c>
      <c r="V43" s="705" t="s">
        <v>14</v>
      </c>
      <c r="W43" s="706">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5" t="s">
        <v>14</v>
      </c>
      <c r="S45" s="706">
        <f t="shared" si="12"/>
        <v>100</v>
      </c>
      <c r="T45" s="705" t="s">
        <v>14</v>
      </c>
      <c r="U45" s="706">
        <f t="shared" si="13"/>
        <v>100</v>
      </c>
      <c r="V45" s="705" t="s">
        <v>14</v>
      </c>
      <c r="W45" s="706">
        <f t="shared" si="14"/>
        <v>100</v>
      </c>
      <c r="X45" s="1353"/>
      <c r="Y45" s="3673"/>
      <c r="Z45" s="1354">
        <f t="shared" si="15"/>
        <v>111</v>
      </c>
      <c r="AA45" s="1351">
        <f t="shared" si="3"/>
        <v>1</v>
      </c>
      <c r="AB45" s="1351">
        <f t="shared" si="4"/>
        <v>1</v>
      </c>
      <c r="AC45" s="1351">
        <f t="shared" si="5"/>
        <v>1</v>
      </c>
    </row>
    <row r="46" spans="1:29" ht="15.6"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5" t="s">
        <v>14</v>
      </c>
      <c r="S46" s="706">
        <f t="shared" si="12"/>
        <v>100</v>
      </c>
      <c r="T46" s="705" t="s">
        <v>14</v>
      </c>
      <c r="U46" s="706">
        <f t="shared" si="13"/>
        <v>100</v>
      </c>
      <c r="V46" s="705" t="s">
        <v>14</v>
      </c>
      <c r="W46" s="706">
        <f t="shared" si="14"/>
        <v>100</v>
      </c>
      <c r="X46" s="1353"/>
      <c r="Y46" s="3674"/>
      <c r="Z46" s="1354">
        <f t="shared" si="15"/>
        <v>111</v>
      </c>
      <c r="AA46" s="1351">
        <f t="shared" si="3"/>
        <v>1</v>
      </c>
      <c r="AB46" s="1351">
        <f t="shared" si="4"/>
        <v>1</v>
      </c>
      <c r="AC46" s="1351">
        <f t="shared" si="5"/>
        <v>1</v>
      </c>
    </row>
    <row r="47" spans="1:29" ht="14.4">
      <c r="A47" s="430" t="s">
        <v>1708</v>
      </c>
      <c r="B47" s="431"/>
      <c r="C47" s="1153" t="s">
        <v>0</v>
      </c>
      <c r="D47" s="1154"/>
      <c r="E47" s="1155">
        <v>53725</v>
      </c>
      <c r="F47" s="1156"/>
      <c r="G47" s="1157">
        <v>48656</v>
      </c>
      <c r="H47" s="1158"/>
      <c r="I47" s="1155">
        <v>53878</v>
      </c>
      <c r="J47" s="1158"/>
      <c r="K47" s="714"/>
      <c r="L47" s="2722"/>
      <c r="M47" s="2723"/>
      <c r="N47" s="2714"/>
      <c r="O47" s="2723"/>
      <c r="P47" s="3661" t="str">
        <f>A47</f>
        <v>成交单价（元/平方米）</v>
      </c>
      <c r="Q47" s="3661"/>
      <c r="R47" s="3675">
        <f>E47</f>
        <v>53725</v>
      </c>
      <c r="S47" s="3675"/>
      <c r="T47" s="3675">
        <f>G47</f>
        <v>48656</v>
      </c>
      <c r="U47" s="3675"/>
      <c r="V47" s="3675">
        <f>I47</f>
        <v>53878</v>
      </c>
      <c r="W47" s="3675"/>
      <c r="X47" s="690"/>
      <c r="Y47" s="712"/>
      <c r="Z47" s="690"/>
      <c r="AA47" s="690"/>
      <c r="AB47" s="690"/>
      <c r="AC47" s="690"/>
    </row>
    <row r="48" spans="1:29" ht="15" thickBot="1">
      <c r="A48" s="437" t="s">
        <v>1793</v>
      </c>
      <c r="B48" s="438"/>
      <c r="C48" s="1159">
        <f>R49</f>
        <v>45297</v>
      </c>
      <c r="D48" s="2315" t="s">
        <v>2133</v>
      </c>
      <c r="E48" s="1160">
        <f>R48</f>
        <v>47028</v>
      </c>
      <c r="F48" s="2316"/>
      <c r="G48" s="1159">
        <f>T48</f>
        <v>42169</v>
      </c>
      <c r="H48" s="2316"/>
      <c r="I48" s="1160">
        <f>V48</f>
        <v>46695</v>
      </c>
      <c r="J48" s="2316"/>
      <c r="K48" s="2318">
        <f>F48+H48+J48</f>
        <v>0</v>
      </c>
      <c r="L48" s="2722"/>
      <c r="M48" s="2723"/>
      <c r="N48" s="2714"/>
      <c r="O48" s="2723"/>
      <c r="P48" s="3661" t="str">
        <f>A48</f>
        <v>比较价值（元/平方米）</v>
      </c>
      <c r="Q48" s="3661"/>
      <c r="R48" s="3662">
        <f>IF(F1="售价",ROUND(PRODUCT(R47,AA7:AA46),0),ROUND(PRODUCT(R47,AA7:AA46),1))</f>
        <v>47028</v>
      </c>
      <c r="S48" s="3662"/>
      <c r="T48" s="3662">
        <f>IF(F1="售价",ROUND(PRODUCT(T47,AB7:AB46),0),ROUND(PRODUCT(T47,AB7:AB46),1))</f>
        <v>42169</v>
      </c>
      <c r="U48" s="3662"/>
      <c r="V48" s="3662">
        <f>IF(F1="售价",ROUND(PRODUCT(V47,AC7:AC46),0),ROUND(PRODUCT(V47,AC7:AC46),1))</f>
        <v>46695</v>
      </c>
      <c r="W48" s="3662"/>
      <c r="X48" s="690"/>
      <c r="Y48" s="690"/>
      <c r="Z48" s="690"/>
      <c r="AA48" s="690"/>
      <c r="AB48" s="690"/>
      <c r="AC48" s="690"/>
    </row>
    <row r="49" spans="1:29" ht="15" thickBot="1">
      <c r="A49" s="441" t="s">
        <v>1794</v>
      </c>
      <c r="B49" s="442"/>
      <c r="C49" s="1162">
        <f>R49</f>
        <v>45297</v>
      </c>
      <c r="D49" s="1162"/>
      <c r="E49" s="1162"/>
      <c r="F49" s="1162"/>
      <c r="G49" s="1162"/>
      <c r="H49" s="1162"/>
      <c r="I49" s="1162"/>
      <c r="J49" s="1162"/>
      <c r="K49" s="715"/>
      <c r="L49" s="2722"/>
      <c r="M49" s="2723"/>
      <c r="N49" s="2714"/>
      <c r="O49" s="2723"/>
      <c r="P49" s="3663" t="str">
        <f>A49</f>
        <v>估价对象XX用房的比较价值（楼面单价，元/平方米）</v>
      </c>
      <c r="Q49" s="3664"/>
      <c r="R49" s="3665">
        <f>IF(F1="售价",ROUND(IF(D48="简单平均",AVERAGE(R48:V48),R48*F48+T48*H48+V48*J48),0),ROUND(IF(D48="简单平均",AVERAGE(R48:V48),R48*F48+T48*H48+V48*J48),1))</f>
        <v>45297</v>
      </c>
      <c r="S49" s="3665"/>
      <c r="T49" s="3665"/>
      <c r="U49" s="3665"/>
      <c r="V49" s="3665"/>
      <c r="W49" s="366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0.14240452496385125</v>
      </c>
      <c r="F52" s="449" t="str">
        <f>IF(OR(E52&gt;=0.3,E52&lt;=-0.3),"超过30%","")</f>
        <v/>
      </c>
      <c r="G52" s="448">
        <f>IF(G47&lt;G48,G48/G47-1,G47/G48-1)</f>
        <v>0.1538333847138893</v>
      </c>
      <c r="H52" s="449" t="str">
        <f>IF(OR(G52&gt;=0.3,G52&lt;=-0.3),"超过30%","")</f>
        <v/>
      </c>
      <c r="I52" s="448">
        <f>IF(I47&lt;I48,I48/I47-1,I47/I48-1)</f>
        <v>0.15382803297997638</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0.11522682539306128</v>
      </c>
      <c r="F53" s="449" t="str">
        <f>IF(OR(E53&gt;=0.2,E53&lt;=-0.2),"超过20%","")</f>
        <v/>
      </c>
      <c r="G53" s="448">
        <f>IF(G48&lt;I48,I48/G48-1,G48/I48-1)</f>
        <v>0.10733002916834633</v>
      </c>
      <c r="H53" s="449" t="str">
        <f>IF(OR(G53&gt;=0.2,G53&lt;=-0.2),"超过20%","")</f>
        <v/>
      </c>
      <c r="I53" s="448">
        <f>IF(I48&lt;E48,E48/I48-1,I48/E48-1)</f>
        <v>7.131384516543493E-3</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0.1041803682999014</v>
      </c>
      <c r="F54" s="449" t="str">
        <f>IF(OR(E54&gt;=0.3,E54&lt;=-0.3),"超过30%","")</f>
        <v/>
      </c>
      <c r="G54" s="448">
        <f>IF(G47&lt;I47,I47/G47-1,G47/I47-1)</f>
        <v>0.10732489312726079</v>
      </c>
      <c r="H54" s="449" t="str">
        <f>IF(OR(G54&gt;=0.3,G54&lt;=-0.3),"超过30%","")</f>
        <v/>
      </c>
      <c r="I54" s="448">
        <f>IF(I47&lt;E47,E47/I47-1,I47/E47-1)</f>
        <v>2.8478362028849791E-3</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3" t="str">
        <f>YEAR(C7)&amp;"-"&amp;MONTH(C7)</f>
        <v>2024-1</v>
      </c>
      <c r="D58" s="1184">
        <f>EDATE(C58,-1)</f>
        <v>45261</v>
      </c>
      <c r="E58" s="1184">
        <f t="shared" ref="E58:N58" si="16">EDATE(D58,-1)</f>
        <v>45231</v>
      </c>
      <c r="F58" s="1184">
        <f t="shared" si="16"/>
        <v>45200</v>
      </c>
      <c r="G58" s="1184">
        <f t="shared" si="16"/>
        <v>45170</v>
      </c>
      <c r="H58" s="1184">
        <f t="shared" si="16"/>
        <v>45139</v>
      </c>
      <c r="I58" s="1184">
        <f t="shared" si="16"/>
        <v>45108</v>
      </c>
      <c r="J58" s="1184">
        <f t="shared" si="16"/>
        <v>45078</v>
      </c>
      <c r="K58" s="1184">
        <f t="shared" si="16"/>
        <v>45047</v>
      </c>
      <c r="L58" s="1184">
        <f t="shared" si="16"/>
        <v>45017</v>
      </c>
      <c r="M58" s="1184">
        <f t="shared" si="16"/>
        <v>44986</v>
      </c>
      <c r="N58" s="1184">
        <f t="shared" si="16"/>
        <v>44958</v>
      </c>
      <c r="O58" s="1184">
        <f>EDATE(N58,-1)</f>
        <v>44927</v>
      </c>
      <c r="P58" s="2738"/>
      <c r="Q58" s="2739"/>
      <c r="R58" s="2739"/>
      <c r="S58" s="2739"/>
      <c r="T58" s="2739"/>
      <c r="U58" s="2739"/>
      <c r="V58" s="2739"/>
      <c r="W58" s="2739"/>
      <c r="X58" s="2739"/>
      <c r="Y58" s="2739"/>
      <c r="Z58" s="2739"/>
      <c r="AA58" s="2739"/>
      <c r="AB58" s="2739"/>
      <c r="AC58" s="2739"/>
    </row>
    <row r="59" spans="1:29" s="108" customFormat="1">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3452" t="s">
        <v>3415</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 thickTop="1">
      <c r="A90" s="502"/>
      <c r="B90" s="487" t="str">
        <f>B27</f>
        <v>人流量</v>
      </c>
      <c r="C90" s="3450"/>
      <c r="D90" s="3450"/>
      <c r="E90" s="3450"/>
      <c r="F90" s="3450"/>
      <c r="G90" s="3450"/>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 thickTop="1">
      <c r="A92" s="483"/>
      <c r="B92" s="487" t="str">
        <f>B28</f>
        <v>楼层</v>
      </c>
      <c r="C92" s="503" t="s">
        <v>3396</v>
      </c>
      <c r="D92" s="503" t="s">
        <v>3397</v>
      </c>
      <c r="E92" s="503" t="s">
        <v>3398</v>
      </c>
      <c r="F92" s="503" t="s">
        <v>3442</v>
      </c>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v>100</v>
      </c>
      <c r="D93" s="485">
        <v>88</v>
      </c>
      <c r="E93" s="485">
        <v>80</v>
      </c>
      <c r="F93" s="485">
        <v>75</v>
      </c>
      <c r="G93" s="485">
        <v>65</v>
      </c>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3451"/>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v>99</v>
      </c>
      <c r="D104" s="485">
        <v>100</v>
      </c>
      <c r="E104" s="485">
        <f t="shared" ref="E104:F104" si="24">D104-1</f>
        <v>99</v>
      </c>
      <c r="F104" s="485">
        <f t="shared" si="24"/>
        <v>98</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50" t="s">
        <v>3400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t="s">
        <v>3395</v>
      </c>
      <c r="D112" s="503" t="s">
        <v>3401</v>
      </c>
      <c r="E112" s="503" t="s">
        <v>3402</v>
      </c>
      <c r="F112" s="503" t="s">
        <v>3403</v>
      </c>
      <c r="G112" s="503" t="s">
        <v>3404</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50" t="s">
        <v>3406</v>
      </c>
      <c r="D114" s="3450" t="s">
        <v>3405</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50" t="s">
        <v>3407</v>
      </c>
      <c r="D122" s="3450" t="s">
        <v>3408</v>
      </c>
      <c r="E122" s="3450" t="s">
        <v>3409</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7" zoomScale="70" zoomScaleNormal="70" zoomScaleSheetLayoutView="70" workbookViewId="0">
      <selection activeCell="I37" sqref="I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3"/>
      <c r="C1" s="1377" t="s">
        <v>673</v>
      </c>
      <c r="D1" s="1360" t="s">
        <v>43</v>
      </c>
      <c r="E1" s="1361" t="s">
        <v>678</v>
      </c>
      <c r="F1" s="1061">
        <f ca="1">J53</f>
        <v>30.78</v>
      </c>
      <c r="G1" s="1376">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3">
        <f ca="1">ROUND(D2/10000,4)</f>
        <v>227.5557</v>
      </c>
      <c r="C2" s="1385" t="s">
        <v>879</v>
      </c>
      <c r="D2" s="1469">
        <f ca="1">C40+J29+L46</f>
        <v>2275557</v>
      </c>
      <c r="E2" s="1386" t="s">
        <v>880</v>
      </c>
      <c r="F2" s="1387"/>
      <c r="G2" s="2704"/>
      <c r="H2" s="2693"/>
      <c r="I2" s="2693"/>
      <c r="J2" s="2693"/>
      <c r="K2" s="2694"/>
      <c r="L2" s="2693"/>
      <c r="M2" s="2693"/>
    </row>
    <row r="3" spans="1:37" ht="18" customHeight="1" thickBot="1">
      <c r="A3" s="1388" t="s">
        <v>881</v>
      </c>
      <c r="B3" s="1389">
        <f ca="1">IF(ISERROR(D2/F43),0,ROUND(D2/F43,0))</f>
        <v>26153</v>
      </c>
      <c r="C3" s="1385" t="s">
        <v>882</v>
      </c>
      <c r="D3" s="1385"/>
      <c r="E3" s="1386"/>
      <c r="F3" s="1387"/>
      <c r="G3" s="2704"/>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143093</v>
      </c>
      <c r="D5" s="1362" t="s">
        <v>889</v>
      </c>
      <c r="E5" s="1070"/>
      <c r="F5" s="1071"/>
      <c r="G5" s="1382"/>
      <c r="H5" s="299">
        <v>1</v>
      </c>
      <c r="I5" s="300" t="s">
        <v>888</v>
      </c>
      <c r="J5" s="1069">
        <f ca="1">J6+J10+J12</f>
        <v>0</v>
      </c>
      <c r="K5" s="1362" t="s">
        <v>889</v>
      </c>
      <c r="L5" s="1070"/>
      <c r="M5" s="1071"/>
    </row>
    <row r="6" spans="1:37" ht="18" customHeight="1">
      <c r="A6" s="1068" t="s">
        <v>398</v>
      </c>
      <c r="B6" s="3652" t="s">
        <v>694</v>
      </c>
      <c r="C6" s="1073">
        <f ca="1">ROUND(F6*F8*F7*(1-F9),0)</f>
        <v>142914</v>
      </c>
      <c r="D6" s="155" t="s">
        <v>2101</v>
      </c>
      <c r="E6" s="302" t="s">
        <v>696</v>
      </c>
      <c r="F6" s="303">
        <f ca="1">INDIRECT("'数据-取费表'!u"&amp;$G$1)</f>
        <v>5</v>
      </c>
      <c r="G6" s="1382"/>
      <c r="H6" s="1068" t="s">
        <v>398</v>
      </c>
      <c r="I6" s="3652" t="s">
        <v>694</v>
      </c>
      <c r="J6" s="301">
        <f ca="1">ROUND(M6*M8*M7*(1-M9),0)</f>
        <v>0</v>
      </c>
      <c r="K6" s="1374" t="s">
        <v>2102</v>
      </c>
      <c r="L6" s="302" t="s">
        <v>696</v>
      </c>
      <c r="M6" s="303">
        <f ca="1">INDIRECT("'数据-取费表'!z"&amp;$G$1)</f>
        <v>0</v>
      </c>
    </row>
    <row r="7" spans="1:37" ht="18" customHeight="1">
      <c r="A7" s="1072"/>
      <c r="B7" s="3653"/>
      <c r="C7" s="1074"/>
      <c r="D7" s="307"/>
      <c r="E7" s="1075" t="s">
        <v>697</v>
      </c>
      <c r="F7" s="303">
        <f ca="1">IF(INDIRECT("'数据-取费表'!ah"&amp;$G$1)="",INDIRECT("'数据-取费表'!k"&amp;$G$1),INDIRECT("'数据-取费表'!ah"&amp;$G$1))</f>
        <v>87.01</v>
      </c>
      <c r="G7" s="1382"/>
      <c r="H7" s="304"/>
      <c r="I7" s="3653"/>
      <c r="J7" s="306"/>
      <c r="K7" s="307"/>
      <c r="L7" s="302" t="s">
        <v>697</v>
      </c>
      <c r="M7" s="303">
        <f ca="1">F7</f>
        <v>87.01</v>
      </c>
    </row>
    <row r="8" spans="1:37" ht="18" customHeight="1">
      <c r="A8" s="304"/>
      <c r="B8" s="3653"/>
      <c r="C8" s="306"/>
      <c r="D8" s="307"/>
      <c r="E8" s="302" t="s">
        <v>698</v>
      </c>
      <c r="F8" s="303">
        <f ca="1">INDIRECT("'数据-取费表'!ai"&amp;$G$1)</f>
        <v>365</v>
      </c>
      <c r="G8" s="1382"/>
      <c r="H8" s="304"/>
      <c r="I8" s="3653"/>
      <c r="J8" s="306"/>
      <c r="K8" s="307"/>
      <c r="L8" s="302" t="s">
        <v>698</v>
      </c>
      <c r="M8" s="303">
        <f ca="1">INDIRECT("'数据-取费表'!ai"&amp;$G$1)</f>
        <v>365</v>
      </c>
    </row>
    <row r="9" spans="1:37" ht="18" customHeight="1">
      <c r="A9" s="304"/>
      <c r="B9" s="3654"/>
      <c r="C9" s="306"/>
      <c r="D9" s="307"/>
      <c r="E9" s="302" t="s">
        <v>699</v>
      </c>
      <c r="F9" s="312">
        <f ca="1">INDIRECT("'数据-取费表'!w"&amp;$G$1)</f>
        <v>0.1</v>
      </c>
      <c r="G9" s="1382"/>
      <c r="H9" s="304"/>
      <c r="I9" s="3654"/>
      <c r="J9" s="306"/>
      <c r="K9" s="307"/>
      <c r="L9" s="313" t="s">
        <v>699</v>
      </c>
      <c r="M9" s="314">
        <f ca="1">INDIRECT("'数据-取费表'!ab"&amp;$G$1)</f>
        <v>0</v>
      </c>
    </row>
    <row r="10" spans="1:37" ht="18" customHeight="1">
      <c r="A10" s="1068" t="s">
        <v>402</v>
      </c>
      <c r="B10" s="1363" t="s">
        <v>700</v>
      </c>
      <c r="C10" s="316">
        <f ca="1">ROUND(IF(F10="押一",C6/12*F11,IF(F10="押二",C6/12*2*F11,IF(F10="押三",C6/12*3*F11,C11*F11))),0)</f>
        <v>179</v>
      </c>
      <c r="D10" s="1364" t="s">
        <v>2111</v>
      </c>
      <c r="E10" s="313" t="s">
        <v>701</v>
      </c>
      <c r="F10" s="1115" t="s">
        <v>3417</v>
      </c>
      <c r="G10" s="1382"/>
      <c r="H10" s="1068" t="s">
        <v>402</v>
      </c>
      <c r="I10" s="1363" t="s">
        <v>700</v>
      </c>
      <c r="J10" s="301">
        <f ca="1">ROUND(IF(M10="押一",J6/12*M11,IF(M10="押二",J6/12*2*M11,IF(M10="押三",J6/12*3*M11,J11*M11))),0)</f>
        <v>0</v>
      </c>
      <c r="K10" s="1375" t="s">
        <v>2113</v>
      </c>
      <c r="L10" s="313" t="s">
        <v>701</v>
      </c>
      <c r="M10" s="1115"/>
    </row>
    <row r="11" spans="1:37" ht="18" customHeight="1">
      <c r="A11" s="308"/>
      <c r="B11" s="1365" t="s">
        <v>890</v>
      </c>
      <c r="C11" s="959"/>
      <c r="D11" s="307"/>
      <c r="E11" s="313" t="s">
        <v>702</v>
      </c>
      <c r="F11" s="314">
        <f ca="1">'数据-取费表'!B39</f>
        <v>1.4999999999999999E-2</v>
      </c>
      <c r="G11" s="1382"/>
      <c r="H11" s="1076"/>
      <c r="I11" s="1365" t="s">
        <v>891</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535962</v>
      </c>
      <c r="D13" s="1080" t="s">
        <v>705</v>
      </c>
      <c r="E13" s="1080" t="s">
        <v>706</v>
      </c>
      <c r="F13" s="1081">
        <f ca="1">INDIRECT("'数据-取费表'!y"&amp;$G$1)</f>
        <v>0.92</v>
      </c>
      <c r="G13" s="1382"/>
      <c r="H13" s="1078">
        <v>2</v>
      </c>
      <c r="I13" s="1079" t="s">
        <v>704</v>
      </c>
      <c r="J13" s="1067">
        <f ca="1">ROUND(J14*J15,0)</f>
        <v>0</v>
      </c>
      <c r="K13" s="1086" t="s">
        <v>705</v>
      </c>
      <c r="L13" s="1390"/>
      <c r="M13" s="1391"/>
    </row>
    <row r="14" spans="1:37" ht="18" customHeight="1">
      <c r="A14" s="982" t="s">
        <v>397</v>
      </c>
      <c r="B14" s="302" t="s">
        <v>707</v>
      </c>
      <c r="C14" s="318">
        <f ca="1">ROUND(INDIRECT("'数据-取费表'!l"&amp;$G$1)*F43+'数据-取费表'!L14*INDIRECT("'数据-取费表'!S"&amp;$G$1),0)</f>
        <v>391545</v>
      </c>
      <c r="D14" s="1343" t="s">
        <v>708</v>
      </c>
      <c r="E14" s="1340"/>
      <c r="F14" s="319"/>
      <c r="G14" s="1382"/>
      <c r="H14" s="982" t="s">
        <v>398</v>
      </c>
      <c r="I14" s="302" t="s">
        <v>709</v>
      </c>
      <c r="J14" s="21">
        <f ca="1">C29</f>
        <v>582567</v>
      </c>
      <c r="K14" s="12"/>
      <c r="L14" s="807"/>
      <c r="M14" s="808"/>
    </row>
    <row r="15" spans="1:37" s="1395" customFormat="1" ht="18" customHeight="1" thickBot="1">
      <c r="A15" s="982" t="s">
        <v>399</v>
      </c>
      <c r="B15" s="302" t="s">
        <v>710</v>
      </c>
      <c r="C15" s="21">
        <f ca="1">ROUND(C14*F15,0)</f>
        <v>11746</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2913</v>
      </c>
      <c r="K16" s="1086" t="s">
        <v>715</v>
      </c>
      <c r="L16" s="1087"/>
      <c r="M16" s="1071"/>
    </row>
    <row r="17" spans="1:37" s="1395" customFormat="1" ht="18" customHeight="1">
      <c r="A17" s="982" t="s">
        <v>681</v>
      </c>
      <c r="B17" s="302" t="s">
        <v>716</v>
      </c>
      <c r="C17" s="21">
        <f ca="1">ROUND(F17*(F43+INDIRECT("'数据-取费表'!S"&amp;$G$1)),0)</f>
        <v>17402</v>
      </c>
      <c r="D17" s="302" t="s">
        <v>717</v>
      </c>
      <c r="E17" s="302" t="s">
        <v>718</v>
      </c>
      <c r="F17" s="23">
        <f>'数据-取费表'!B35</f>
        <v>200</v>
      </c>
      <c r="G17" s="1394"/>
      <c r="H17" s="982"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5873</v>
      </c>
      <c r="D18" s="302" t="s">
        <v>711</v>
      </c>
      <c r="E18" s="302" t="s">
        <v>712</v>
      </c>
      <c r="F18" s="322">
        <f>'数据-取费表'!B36</f>
        <v>1.4999999999999999E-2</v>
      </c>
      <c r="G18" s="1394"/>
      <c r="H18" s="982"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426566</v>
      </c>
      <c r="D19" s="131" t="s">
        <v>726</v>
      </c>
      <c r="E19" s="1358"/>
      <c r="F19" s="23"/>
      <c r="G19" s="1382"/>
      <c r="H19" s="982" t="s">
        <v>399</v>
      </c>
      <c r="I19" s="302" t="s">
        <v>727</v>
      </c>
      <c r="J19" s="21">
        <f ca="1">IF(K19="按租金收入计税",ROUND(J6*M19/(1+'数据-取费表'!C42),0),ROUND(C29*M19*0.7,0))</f>
        <v>0</v>
      </c>
      <c r="K19" s="1368" t="s">
        <v>3335</v>
      </c>
      <c r="L19" s="302" t="s">
        <v>712</v>
      </c>
      <c r="M19" s="322">
        <f>IF(K19="按租金收入计税",'数据-取费表'!B51,'数据-取费表'!B50)</f>
        <v>0.12</v>
      </c>
    </row>
    <row r="20" spans="1:37" s="1395" customFormat="1" ht="18" customHeight="1">
      <c r="A20" s="982" t="s">
        <v>402</v>
      </c>
      <c r="B20" s="302" t="s">
        <v>728</v>
      </c>
      <c r="C20" s="21">
        <f ca="1">ROUND(C19*F20,0)</f>
        <v>8531</v>
      </c>
      <c r="D20" s="323" t="s">
        <v>729</v>
      </c>
      <c r="E20" s="302" t="s">
        <v>712</v>
      </c>
      <c r="F20" s="322">
        <f>'数据-取费表'!B37</f>
        <v>0.02</v>
      </c>
      <c r="G20" s="1394"/>
      <c r="H20" s="982"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ROUND(J14*M22,0)</f>
        <v>2913</v>
      </c>
      <c r="K22" s="1342" t="s">
        <v>739</v>
      </c>
      <c r="L22" s="302" t="s">
        <v>712</v>
      </c>
      <c r="M22" s="328">
        <f ca="1">INDIRECT("'数据-取费表'!Ak"&amp;$G$1)</f>
        <v>5.0000000000000001E-3</v>
      </c>
    </row>
    <row r="23" spans="1:37" s="1395" customFormat="1" ht="18" customHeight="1">
      <c r="A23" s="982" t="s">
        <v>397</v>
      </c>
      <c r="B23" s="302" t="s">
        <v>740</v>
      </c>
      <c r="C23" s="21">
        <f ca="1">IF('数据-取费表'!B22&lt;=1,ROUND(C19*F24*F23/2,0)+ROUND(C20*F24*F23/2,0),ROUND(C19*(POWER((1+F24),F23/2)-1),0)+ROUND(C20*(POWER((1+F24),F23/2)-1),0))</f>
        <v>15011</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1358"/>
      <c r="F25" s="23"/>
      <c r="G25" s="1382"/>
      <c r="H25" s="1078" t="s">
        <v>394</v>
      </c>
      <c r="I25" s="1093" t="s">
        <v>752</v>
      </c>
      <c r="J25" s="310">
        <f ca="1">J5-J16</f>
        <v>-2913</v>
      </c>
      <c r="K25" s="1094" t="s">
        <v>753</v>
      </c>
      <c r="L25" s="1095"/>
      <c r="M25" s="1096"/>
    </row>
    <row r="26" spans="1:37" ht="18" customHeight="1">
      <c r="A26" s="982" t="s">
        <v>397</v>
      </c>
      <c r="B26" s="302" t="s">
        <v>754</v>
      </c>
      <c r="C26" s="21">
        <f ca="1">ROUND((C19+C20)*F26,0)</f>
        <v>87019</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582567</v>
      </c>
      <c r="D29" s="1091"/>
      <c r="E29" s="1089"/>
      <c r="F29" s="1092"/>
      <c r="G29" s="1394"/>
      <c r="H29" s="334" t="s">
        <v>396</v>
      </c>
      <c r="I29" s="335" t="s">
        <v>768</v>
      </c>
      <c r="J29" s="336">
        <f ca="1">ROUND(J26/(1+F40)^F41,0)</f>
        <v>0</v>
      </c>
      <c r="K29" s="337" t="s">
        <v>769</v>
      </c>
      <c r="L29" s="338"/>
      <c r="M29" s="339">
        <f ca="1">INDIRECT("'数据-取费表'!k"&amp;$G$1)</f>
        <v>87.01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28387</v>
      </c>
      <c r="D30" s="1086" t="s">
        <v>715</v>
      </c>
      <c r="E30" s="1087"/>
      <c r="F30" s="1071"/>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ROUND(IF(AND(项目基本情况!B11="自然人",项目基本情况!B10="北京市"),C6*F31/(1+'数据-取费表'!C42),C32+C33+C34),0)</f>
        <v>23955</v>
      </c>
      <c r="D31" s="1343" t="s">
        <v>720</v>
      </c>
      <c r="E31" s="1342" t="s">
        <v>770</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2" t="s">
        <v>397</v>
      </c>
      <c r="B32" s="302" t="s">
        <v>723</v>
      </c>
      <c r="C32" s="21">
        <f ca="1">IF(项目基本情况!B11="自然人","——",ROUND(C6*F32/(1+'数据-取费表'!C42),0))</f>
        <v>7622</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16333</v>
      </c>
      <c r="D33" s="1368" t="s">
        <v>3335</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ROUND(C29*F36,0)</f>
        <v>2913</v>
      </c>
      <c r="D36" s="1342" t="s">
        <v>771</v>
      </c>
      <c r="E36" s="302" t="s">
        <v>712</v>
      </c>
      <c r="F36" s="328">
        <f ca="1">INDIRECT("'数据-取费表'!Ak"&amp;$G$1)</f>
        <v>5.0000000000000001E-3</v>
      </c>
      <c r="G36" s="1382"/>
      <c r="H36" s="2698"/>
      <c r="I36" s="1396"/>
      <c r="J36" s="1397"/>
      <c r="K36" s="2542"/>
      <c r="L36" s="2698"/>
      <c r="M36" s="2698"/>
    </row>
    <row r="37" spans="1:18" ht="18" customHeight="1">
      <c r="A37" s="982" t="s">
        <v>437</v>
      </c>
      <c r="B37" s="302" t="s">
        <v>742</v>
      </c>
      <c r="C37" s="21">
        <f ca="1">ROUND(C13*F37,0)</f>
        <v>804</v>
      </c>
      <c r="D37" s="1342" t="s">
        <v>743</v>
      </c>
      <c r="E37" s="302" t="s">
        <v>744</v>
      </c>
      <c r="F37" s="330">
        <f ca="1">INDIRECT("'数据-取费表'!Al"&amp;$G$1)</f>
        <v>1.5E-3</v>
      </c>
      <c r="G37" s="1382"/>
      <c r="H37" s="2698"/>
      <c r="I37" s="1396"/>
      <c r="J37" s="1397"/>
      <c r="K37" s="2542"/>
      <c r="L37" s="2698"/>
      <c r="M37" s="2698"/>
    </row>
    <row r="38" spans="1:18" ht="18" customHeight="1" thickBot="1">
      <c r="A38" s="1088" t="s">
        <v>684</v>
      </c>
      <c r="B38" s="1089" t="s">
        <v>728</v>
      </c>
      <c r="C38" s="1090">
        <f ca="1">ROUND(C5*F38,0)</f>
        <v>715</v>
      </c>
      <c r="D38" s="1091" t="s">
        <v>748</v>
      </c>
      <c r="E38" s="1089" t="s">
        <v>744</v>
      </c>
      <c r="F38" s="1085">
        <f ca="1">INDIRECT("'数据-取费表'!Am"&amp;$G$1)</f>
        <v>5.0000000000000001E-3</v>
      </c>
      <c r="G38" s="1382"/>
      <c r="H38" s="2698"/>
      <c r="I38" s="1396"/>
      <c r="J38" s="1397"/>
      <c r="K38" s="2702"/>
      <c r="L38" s="2698"/>
      <c r="M38" s="2698"/>
    </row>
    <row r="39" spans="1:18" ht="24.6" customHeight="1" thickTop="1">
      <c r="A39" s="1078" t="s">
        <v>394</v>
      </c>
      <c r="B39" s="1093" t="s">
        <v>772</v>
      </c>
      <c r="C39" s="310">
        <f ca="1">C5-C30</f>
        <v>114706</v>
      </c>
      <c r="D39" s="1094" t="s">
        <v>773</v>
      </c>
      <c r="E39" s="1095"/>
      <c r="F39" s="1096"/>
      <c r="G39" s="1382"/>
      <c r="H39" s="2698">
        <f ca="1">C39/C5</f>
        <v>0.80161852781058474</v>
      </c>
      <c r="I39" s="1396"/>
      <c r="J39" s="1397"/>
      <c r="K39" s="2702"/>
      <c r="L39" s="2698"/>
      <c r="M39" s="2698"/>
    </row>
    <row r="40" spans="1:18" ht="18" customHeight="1">
      <c r="A40" s="299" t="s">
        <v>395</v>
      </c>
      <c r="B40" s="300" t="s">
        <v>774</v>
      </c>
      <c r="C40" s="301">
        <f ca="1">ROUND(C39*(1-((1+F42)/(1+F40))^F41)/(F40-F42),0)</f>
        <v>2250149</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30.78</v>
      </c>
      <c r="G41" s="1382"/>
      <c r="H41" s="1190"/>
      <c r="I41" s="1396"/>
      <c r="J41" s="1397"/>
      <c r="K41" s="2542"/>
      <c r="L41" s="1190"/>
      <c r="M41" s="1190"/>
    </row>
    <row r="42" spans="1:18" ht="18" customHeight="1">
      <c r="A42" s="308"/>
      <c r="B42" s="309"/>
      <c r="C42" s="310"/>
      <c r="D42" s="327"/>
      <c r="E42" s="302" t="s">
        <v>766</v>
      </c>
      <c r="F42" s="312">
        <f ca="1">INDIRECT("'数据-取费表'!v"&amp;$G$1)</f>
        <v>2.5000000000000001E-2</v>
      </c>
      <c r="G42" s="1382"/>
      <c r="H42" s="1190"/>
      <c r="I42" s="1396"/>
      <c r="J42" s="1397"/>
      <c r="K42" s="2542"/>
      <c r="L42" s="1190"/>
      <c r="M42" s="1190"/>
    </row>
    <row r="43" spans="1:18" ht="18" customHeight="1" thickBot="1">
      <c r="A43" s="334" t="s">
        <v>396</v>
      </c>
      <c r="B43" s="335" t="s">
        <v>776</v>
      </c>
      <c r="C43" s="336">
        <f ca="1">ROUND(C40/F43,0)</f>
        <v>25861</v>
      </c>
      <c r="D43" s="337" t="s">
        <v>777</v>
      </c>
      <c r="E43" s="338" t="s">
        <v>778</v>
      </c>
      <c r="F43" s="339">
        <f ca="1">INDIRECT("'数据-取费表'!k"&amp;$G$1)</f>
        <v>87.01</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3429" t="s">
        <v>3351</v>
      </c>
      <c r="B45" s="1398"/>
      <c r="C45" s="1470">
        <f ca="1">ROUND((C68-C40)/10000,4)</f>
        <v>-230.4726</v>
      </c>
      <c r="D45" s="3430" t="s">
        <v>3352</v>
      </c>
      <c r="E45" s="1398"/>
      <c r="F45" s="1398"/>
      <c r="O45" s="1401" t="s">
        <v>808</v>
      </c>
      <c r="P45" s="1459"/>
      <c r="Q45" s="1459"/>
      <c r="R45" s="1459"/>
    </row>
    <row r="46" spans="1:18" s="1382" customFormat="1" ht="13.8" thickBot="1">
      <c r="A46" s="1402" t="s">
        <v>809</v>
      </c>
      <c r="C46" s="1403">
        <f ca="1">ROUND(C45,0)</f>
        <v>-230</v>
      </c>
      <c r="D46" s="1404" t="str">
        <f>C2</f>
        <v>万元</v>
      </c>
      <c r="I46" s="1405" t="s">
        <v>810</v>
      </c>
      <c r="J46" s="1406"/>
      <c r="K46" s="1407"/>
      <c r="L46" s="1408">
        <f ca="1">IF(M47="住宅",0,IF(L48&gt;J51,L60,J60))</f>
        <v>25408</v>
      </c>
      <c r="O46" s="1409" t="s">
        <v>811</v>
      </c>
      <c r="P46" s="1410" t="s">
        <v>812</v>
      </c>
      <c r="Q46" s="1411" t="s">
        <v>813</v>
      </c>
      <c r="R46" s="1411" t="s">
        <v>814</v>
      </c>
    </row>
    <row r="47" spans="1:18" s="1382" customFormat="1" ht="13.8" thickBot="1">
      <c r="A47" s="946" t="s">
        <v>687</v>
      </c>
      <c r="B47" s="978" t="s">
        <v>688</v>
      </c>
      <c r="C47" s="978" t="s">
        <v>689</v>
      </c>
      <c r="D47" s="978" t="s">
        <v>690</v>
      </c>
      <c r="E47" s="1057" t="s">
        <v>691</v>
      </c>
      <c r="F47" s="1058"/>
      <c r="G47" s="722"/>
      <c r="I47" s="1412" t="s">
        <v>815</v>
      </c>
      <c r="J47" s="1413" t="s">
        <v>3399</v>
      </c>
      <c r="K47" s="1414" t="s">
        <v>816</v>
      </c>
      <c r="L47" s="1415">
        <f ca="1">INDIRECT("'数据-取费表'!d"&amp;$G$1)</f>
        <v>40</v>
      </c>
      <c r="M47" s="1378" t="str">
        <f>IF(ISNUMBER(FIND("住宅",C1)),"住宅","非住宅")</f>
        <v>非住宅</v>
      </c>
      <c r="O47" s="1416" t="s">
        <v>403</v>
      </c>
      <c r="P47" s="1417" t="s">
        <v>817</v>
      </c>
      <c r="Q47" s="1418">
        <f ca="1">C40+J29</f>
        <v>2250149</v>
      </c>
      <c r="R47" s="1418" t="s">
        <v>818</v>
      </c>
    </row>
    <row r="48" spans="1:18" s="1382" customFormat="1" ht="40.200000000000003" thickBot="1">
      <c r="A48" s="1109" t="s">
        <v>438</v>
      </c>
      <c r="B48" s="300" t="s">
        <v>692</v>
      </c>
      <c r="C48" s="1357">
        <f ca="1">C49+C53+C55</f>
        <v>0</v>
      </c>
      <c r="D48" s="1111"/>
      <c r="E48" s="1112"/>
      <c r="F48" s="962"/>
      <c r="G48" s="722"/>
      <c r="H48" s="723"/>
      <c r="I48" s="1419" t="s">
        <v>819</v>
      </c>
      <c r="J48" s="1420" t="s">
        <v>3418</v>
      </c>
      <c r="K48" s="1421" t="s">
        <v>820</v>
      </c>
      <c r="L48" s="1422">
        <f ca="1">INDIRECT("'数据-取费表'!f"&amp;$G$1)</f>
        <v>30.78</v>
      </c>
      <c r="O48" s="1416" t="s">
        <v>404</v>
      </c>
      <c r="P48" s="1417" t="s">
        <v>821</v>
      </c>
      <c r="Q48" s="1418">
        <f ca="1">J60</f>
        <v>25408</v>
      </c>
      <c r="R48" s="1418" t="s">
        <v>822</v>
      </c>
    </row>
    <row r="49" spans="1:18" s="1382" customFormat="1" ht="13.8" thickBot="1">
      <c r="A49" s="975" t="s">
        <v>439</v>
      </c>
      <c r="B49" s="1369" t="s">
        <v>779</v>
      </c>
      <c r="C49" s="1113">
        <f ca="1">ROUND(F49*F51*F50*(1-F52),0)</f>
        <v>0</v>
      </c>
      <c r="D49" s="1054" t="s">
        <v>695</v>
      </c>
      <c r="E49" s="1370" t="s">
        <v>780</v>
      </c>
      <c r="F49" s="1059"/>
      <c r="G49" s="1423"/>
      <c r="H49" s="723"/>
      <c r="I49" s="1419" t="s">
        <v>823</v>
      </c>
      <c r="J49" s="1424">
        <v>2019</v>
      </c>
      <c r="K49" s="1421" t="s">
        <v>824</v>
      </c>
      <c r="L49" s="1425"/>
      <c r="O49" s="1426" t="s">
        <v>405</v>
      </c>
      <c r="P49" s="1417" t="s">
        <v>825</v>
      </c>
      <c r="Q49" s="1418">
        <f ca="1">C29</f>
        <v>582567</v>
      </c>
      <c r="R49" s="1418" t="s">
        <v>818</v>
      </c>
    </row>
    <row r="50" spans="1:18" s="1382" customFormat="1" ht="13.8" thickBot="1">
      <c r="A50" s="976"/>
      <c r="B50" s="979"/>
      <c r="C50" s="980"/>
      <c r="D50" s="953"/>
      <c r="E50" s="1055" t="s">
        <v>697</v>
      </c>
      <c r="F50" s="1056">
        <f ca="1">F7</f>
        <v>87.01</v>
      </c>
      <c r="H50" s="723"/>
      <c r="I50" s="1419" t="s">
        <v>826</v>
      </c>
      <c r="J50" s="1427">
        <f>SUMPRODUCT((I63:I65=J47)*(J62:L62=J48)*(J63:L65))</f>
        <v>60</v>
      </c>
      <c r="K50" s="1421" t="s">
        <v>827</v>
      </c>
      <c r="L50" s="1425"/>
      <c r="M50" s="1428"/>
      <c r="O50" s="1426" t="s">
        <v>406</v>
      </c>
      <c r="P50" s="1417" t="s">
        <v>828</v>
      </c>
      <c r="Q50" s="1429">
        <f ca="1">J58</f>
        <v>0.40400000000000003</v>
      </c>
      <c r="R50" s="1418"/>
    </row>
    <row r="51" spans="1:18" s="1382" customFormat="1" ht="13.8" thickBot="1">
      <c r="A51" s="977"/>
      <c r="B51" s="979"/>
      <c r="C51" s="980"/>
      <c r="D51" s="953"/>
      <c r="E51" s="981" t="s">
        <v>698</v>
      </c>
      <c r="F51" s="303">
        <f ca="1">F8</f>
        <v>365</v>
      </c>
      <c r="I51" s="1430" t="s">
        <v>829</v>
      </c>
      <c r="J51" s="1431">
        <f>IF(J49="",J50,J49+J50-YEAR('数据-取费表'!B2))</f>
        <v>55</v>
      </c>
      <c r="K51" s="1432" t="s">
        <v>830</v>
      </c>
      <c r="L51" s="1433">
        <f ca="1">ROUND(-PV(INDIRECT("'数据-取费表'!h"&amp;$G$1),J51,(C39-C13*C76),0),0)</f>
        <v>1438293</v>
      </c>
      <c r="M51" s="1434"/>
      <c r="O51" s="1426" t="s">
        <v>407</v>
      </c>
      <c r="P51" s="1417" t="s">
        <v>831</v>
      </c>
      <c r="Q51" s="1429">
        <f>J52</f>
        <v>7.4999999999999997E-2</v>
      </c>
      <c r="R51" s="1418"/>
    </row>
    <row r="52" spans="1:18" s="1382" customFormat="1" ht="13.8" thickBot="1">
      <c r="A52" s="977"/>
      <c r="B52" s="979"/>
      <c r="C52" s="980"/>
      <c r="D52" s="953"/>
      <c r="E52" s="981" t="s">
        <v>699</v>
      </c>
      <c r="F52" s="1053"/>
      <c r="I52" s="1435" t="s">
        <v>832</v>
      </c>
      <c r="J52" s="1436">
        <v>7.4999999999999997E-2</v>
      </c>
      <c r="K52" s="1435" t="s">
        <v>833</v>
      </c>
      <c r="L52" s="1436"/>
      <c r="O52" s="1426" t="s">
        <v>408</v>
      </c>
      <c r="P52" s="1417" t="s">
        <v>834</v>
      </c>
      <c r="Q52" s="1418">
        <f ca="1">J53</f>
        <v>30.78</v>
      </c>
      <c r="R52" s="1418" t="s">
        <v>835</v>
      </c>
    </row>
    <row r="53" spans="1:18" s="1382" customFormat="1" ht="30.75" customHeight="1" thickBot="1">
      <c r="A53" s="1110" t="s">
        <v>440</v>
      </c>
      <c r="B53" s="323"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30.78</v>
      </c>
      <c r="K53" s="3650" t="s">
        <v>837</v>
      </c>
      <c r="L53" s="3651"/>
      <c r="O53" s="1416" t="s">
        <v>409</v>
      </c>
      <c r="P53" s="1417" t="s">
        <v>838</v>
      </c>
      <c r="Q53" s="1418">
        <f ca="1">Q47+Q48</f>
        <v>2275557</v>
      </c>
      <c r="R53" s="1418" t="s">
        <v>410</v>
      </c>
    </row>
    <row r="54" spans="1:18" s="1382" customFormat="1" ht="13.8" thickBot="1">
      <c r="A54" s="975"/>
      <c r="B54" s="1471" t="s">
        <v>891</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8" thickBot="1">
      <c r="A55" s="1082" t="s">
        <v>437</v>
      </c>
      <c r="B55" s="1367" t="s">
        <v>703</v>
      </c>
      <c r="C55" s="1083"/>
      <c r="D55" s="1364"/>
      <c r="E55" s="1372"/>
      <c r="F55" s="1438"/>
      <c r="I55" s="1441" t="s">
        <v>840</v>
      </c>
      <c r="J55" s="1442">
        <f ca="1">ROUND(IF(J47="钢混",J57/J50,1-(1-2%)*(J50-J57)/J50),3)</f>
        <v>0.40400000000000003</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535962</v>
      </c>
      <c r="D56" s="1445"/>
      <c r="E56" s="1446"/>
      <c r="F56" s="1438"/>
      <c r="I56" s="1447" t="s">
        <v>842</v>
      </c>
      <c r="J56" s="1448" t="s">
        <v>3381</v>
      </c>
      <c r="K56" s="1419" t="s">
        <v>843</v>
      </c>
      <c r="L56" s="1422" t="str">
        <f ca="1">IF(L48&lt;J51,"——",L48-J51)</f>
        <v>——</v>
      </c>
      <c r="O56" s="1416" t="s">
        <v>403</v>
      </c>
      <c r="P56" s="1417" t="s">
        <v>817</v>
      </c>
      <c r="Q56" s="1418">
        <f ca="1">C40+J29</f>
        <v>2250149</v>
      </c>
      <c r="R56" s="1418" t="s">
        <v>818</v>
      </c>
    </row>
    <row r="57" spans="1:18" s="1382" customFormat="1" ht="24.6" thickBot="1">
      <c r="A57" s="1449"/>
      <c r="B57" s="950" t="s">
        <v>767</v>
      </c>
      <c r="C57" s="238">
        <f ca="1">C29</f>
        <v>582567</v>
      </c>
      <c r="D57" s="1450"/>
      <c r="E57" s="1451"/>
      <c r="F57" s="1452"/>
      <c r="I57" s="1453" t="s">
        <v>844</v>
      </c>
      <c r="J57" s="1454">
        <f ca="1">IF(OR(M47="住宅",J51&lt;L48,J56="是"),"——",J51-L48)</f>
        <v>24.22</v>
      </c>
      <c r="K57" s="1419" t="s">
        <v>892</v>
      </c>
      <c r="L57" s="1422" t="str">
        <f ca="1">IF(L48&lt;J51,"——",IF(L55="比较法",L49,IF(L55="基准地价",L50,L51)))</f>
        <v>——</v>
      </c>
      <c r="O57" s="1416" t="s">
        <v>404</v>
      </c>
      <c r="P57" s="1417" t="s">
        <v>893</v>
      </c>
      <c r="Q57" s="1418">
        <f ca="1">L60</f>
        <v>0</v>
      </c>
      <c r="R57" s="1418" t="s">
        <v>894</v>
      </c>
    </row>
    <row r="58" spans="1:18" s="1382" customFormat="1" ht="24.6" thickBot="1">
      <c r="A58" s="315" t="s">
        <v>393</v>
      </c>
      <c r="B58" s="958" t="s">
        <v>714</v>
      </c>
      <c r="C58" s="316">
        <f ca="1">ROUND(C59+C64+C65+C66,0)</f>
        <v>3717</v>
      </c>
      <c r="D58" s="960" t="s">
        <v>715</v>
      </c>
      <c r="E58" s="961"/>
      <c r="F58" s="962"/>
      <c r="I58" s="1453" t="s">
        <v>848</v>
      </c>
      <c r="J58" s="1455">
        <f ca="1">IF(J55&lt;0.4,0.4,J55)</f>
        <v>0.40400000000000003</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f ca="1">IF(OR(M47="住宅",J51&lt;L48,J56="是"),"——",ROUND(C29*J58,0))</f>
        <v>235357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6" t="s">
        <v>853</v>
      </c>
      <c r="J60" s="1457">
        <f ca="1">IF(OR(M47="住宅",J51&lt;L48,J56="是"),"0",ROUND(J59/(1+J52)^J53,0))</f>
        <v>25408</v>
      </c>
      <c r="K60" s="1458" t="s">
        <v>854</v>
      </c>
      <c r="L60" s="1457">
        <f ca="1">IF(OR(M47="住宅",L48&lt;J51),0,ROUND(L57*(L58/L59-1),0))</f>
        <v>0</v>
      </c>
      <c r="O60" s="1426" t="s">
        <v>407</v>
      </c>
      <c r="P60" s="1417" t="s">
        <v>855</v>
      </c>
      <c r="Q60" s="1418" t="e">
        <f ca="1">L58</f>
        <v>#DIV/0!</v>
      </c>
      <c r="R60" s="1418" t="s">
        <v>856</v>
      </c>
    </row>
    <row r="61" spans="1:18" s="1382" customFormat="1" ht="13.8" thickBot="1">
      <c r="A61" s="982" t="s">
        <v>781</v>
      </c>
      <c r="B61" s="950" t="s">
        <v>782</v>
      </c>
      <c r="C61" s="21">
        <f ca="1">IF(项目基本情况!B11="自然人","——",IF(D61="按租金收入计税",ROUND(C49*F61/(1+'数据-取费表'!C42),0),IF(D61="按房产原值计税",ROUND(C57*F61*0.7,0),INDIRECT("'数据-取费表'!Aj"&amp;$G$1))))</f>
        <v>0</v>
      </c>
      <c r="D61" s="1368" t="s">
        <v>3335</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2" t="s">
        <v>784</v>
      </c>
      <c r="B62" s="949" t="s">
        <v>785</v>
      </c>
      <c r="C62" s="22">
        <f ca="1">IF(项目基本情况!B11="自然人","——",ROUND(F62*F63,0))</f>
        <v>0</v>
      </c>
      <c r="D62" s="965" t="s">
        <v>786</v>
      </c>
      <c r="E62" s="950" t="s">
        <v>787</v>
      </c>
      <c r="F62" s="325">
        <f t="shared" si="0"/>
        <v>0</v>
      </c>
      <c r="I62" s="1460" t="s">
        <v>858</v>
      </c>
      <c r="J62" s="1461" t="s">
        <v>859</v>
      </c>
      <c r="K62" s="1461" t="s">
        <v>860</v>
      </c>
      <c r="L62" s="1461" t="s">
        <v>861</v>
      </c>
      <c r="M62" s="1462" t="s">
        <v>862</v>
      </c>
      <c r="O62" s="1416" t="s">
        <v>409</v>
      </c>
      <c r="P62" s="1417" t="s">
        <v>863</v>
      </c>
      <c r="Q62" s="1418">
        <f ca="1">Q56+Q57</f>
        <v>2250149</v>
      </c>
      <c r="R62" s="1418" t="s">
        <v>410</v>
      </c>
    </row>
    <row r="63" spans="1:18" s="1382" customFormat="1" ht="13.8"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8" thickBot="1">
      <c r="A64" s="982" t="s">
        <v>789</v>
      </c>
      <c r="B64" s="950" t="s">
        <v>790</v>
      </c>
      <c r="C64" s="21">
        <f ca="1">ROUND(C57*F64,0)</f>
        <v>2913</v>
      </c>
      <c r="D64" s="964" t="s">
        <v>791</v>
      </c>
      <c r="E64" s="950"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8" thickBot="1">
      <c r="A65" s="982" t="s">
        <v>792</v>
      </c>
      <c r="B65" s="950" t="s">
        <v>742</v>
      </c>
      <c r="C65" s="21">
        <f ca="1">ROUND(C56*F65,0)</f>
        <v>804</v>
      </c>
      <c r="D65" s="964" t="s">
        <v>743</v>
      </c>
      <c r="E65" s="950" t="s">
        <v>744</v>
      </c>
      <c r="F65" s="330">
        <f t="shared" ca="1" si="0"/>
        <v>1.5E-3</v>
      </c>
      <c r="I65" s="1460" t="s">
        <v>867</v>
      </c>
      <c r="J65" s="1461">
        <v>40</v>
      </c>
      <c r="K65" s="1461">
        <v>30</v>
      </c>
      <c r="L65" s="1461">
        <v>50</v>
      </c>
      <c r="M65" s="1463">
        <v>0.02</v>
      </c>
      <c r="O65" s="1416" t="s">
        <v>403</v>
      </c>
      <c r="P65" s="1417" t="s">
        <v>868</v>
      </c>
      <c r="Q65" s="1418">
        <f ca="1">C40+J29</f>
        <v>2250149</v>
      </c>
      <c r="R65" s="1418" t="s">
        <v>818</v>
      </c>
    </row>
    <row r="66" spans="1:18" s="1382" customFormat="1" ht="16.2" thickBot="1">
      <c r="A66" s="982" t="s">
        <v>793</v>
      </c>
      <c r="B66" s="950" t="s">
        <v>728</v>
      </c>
      <c r="C66" s="21">
        <f ca="1">ROUND(C48*F66,0)</f>
        <v>0</v>
      </c>
      <c r="D66" s="964" t="s">
        <v>794</v>
      </c>
      <c r="E66" s="950" t="s">
        <v>712</v>
      </c>
      <c r="F66" s="312">
        <f t="shared" ca="1" si="0"/>
        <v>5.0000000000000001E-3</v>
      </c>
      <c r="O66" s="1416" t="s">
        <v>404</v>
      </c>
      <c r="P66" s="1417" t="s">
        <v>846</v>
      </c>
      <c r="Q66" s="1418">
        <f ca="1">L60</f>
        <v>0</v>
      </c>
      <c r="R66" s="1418" t="s">
        <v>869</v>
      </c>
    </row>
    <row r="67" spans="1:18" s="1382" customFormat="1" ht="24.6" thickBot="1">
      <c r="A67" s="957" t="s">
        <v>394</v>
      </c>
      <c r="B67" s="967" t="s">
        <v>752</v>
      </c>
      <c r="C67" s="316">
        <f ca="1">C48-C58</f>
        <v>-3717</v>
      </c>
      <c r="D67" s="963" t="s">
        <v>753</v>
      </c>
      <c r="E67" s="968"/>
      <c r="F67" s="969"/>
      <c r="O67" s="1426" t="s">
        <v>405</v>
      </c>
      <c r="P67" s="1417" t="s">
        <v>850</v>
      </c>
      <c r="Q67" s="1464">
        <f ca="1">L51</f>
        <v>1438293</v>
      </c>
      <c r="R67" s="1418" t="s">
        <v>870</v>
      </c>
    </row>
    <row r="68" spans="1:18" s="1382" customFormat="1" ht="16.2" thickBot="1">
      <c r="A68" s="947" t="s">
        <v>395</v>
      </c>
      <c r="B68" s="948" t="s">
        <v>774</v>
      </c>
      <c r="C68" s="301">
        <f ca="1">ROUND(C67*(1-((1+F70)/(1+F68))^F69)/(F68-F70),0)</f>
        <v>-54577</v>
      </c>
      <c r="D68" s="965" t="s">
        <v>758</v>
      </c>
      <c r="E68" s="950" t="s">
        <v>759</v>
      </c>
      <c r="F68" s="312">
        <f ca="1">F40</f>
        <v>5.5E-2</v>
      </c>
      <c r="O68" s="1426" t="s">
        <v>406</v>
      </c>
      <c r="P68" s="1465" t="s">
        <v>871</v>
      </c>
      <c r="Q68" s="1418">
        <f ca="1">ROUND(Q69-Q70*Q71,0)</f>
        <v>77189</v>
      </c>
      <c r="R68" s="1418" t="s">
        <v>414</v>
      </c>
    </row>
    <row r="69" spans="1:18" s="1382" customFormat="1" ht="13.8" thickBot="1">
      <c r="A69" s="951"/>
      <c r="B69" s="952"/>
      <c r="C69" s="306"/>
      <c r="D69" s="970" t="s">
        <v>762</v>
      </c>
      <c r="E69" s="950" t="s">
        <v>763</v>
      </c>
      <c r="F69" s="333">
        <f ca="1">F41</f>
        <v>30.78</v>
      </c>
      <c r="O69" s="1426" t="s">
        <v>411</v>
      </c>
      <c r="P69" s="1465" t="s">
        <v>872</v>
      </c>
      <c r="Q69" s="1418">
        <f ca="1">C39</f>
        <v>114706</v>
      </c>
      <c r="R69" s="1418" t="s">
        <v>818</v>
      </c>
    </row>
    <row r="70" spans="1:18" s="1382" customFormat="1" ht="13.8" thickBot="1">
      <c r="A70" s="954"/>
      <c r="B70" s="955"/>
      <c r="C70" s="310"/>
      <c r="D70" s="966"/>
      <c r="E70" s="950" t="s">
        <v>766</v>
      </c>
      <c r="F70" s="1053"/>
      <c r="O70" s="1426" t="s">
        <v>412</v>
      </c>
      <c r="P70" s="1465" t="s">
        <v>873</v>
      </c>
      <c r="Q70" s="1418">
        <f ca="1">C13</f>
        <v>535962</v>
      </c>
      <c r="R70" s="1418" t="s">
        <v>818</v>
      </c>
    </row>
    <row r="71" spans="1:18" s="1382" customFormat="1" ht="13.8" thickBot="1">
      <c r="A71" s="971" t="s">
        <v>396</v>
      </c>
      <c r="B71" s="972" t="s">
        <v>776</v>
      </c>
      <c r="C71" s="336">
        <f ca="1">ROUND(C68/F71,0)</f>
        <v>-627</v>
      </c>
      <c r="D71" s="973" t="s">
        <v>777</v>
      </c>
      <c r="E71" s="974" t="s">
        <v>778</v>
      </c>
      <c r="F71" s="339">
        <f ca="1">F43</f>
        <v>87.01</v>
      </c>
      <c r="O71" s="1426" t="s">
        <v>413</v>
      </c>
      <c r="P71" s="1465" t="s">
        <v>874</v>
      </c>
      <c r="Q71" s="1429">
        <f ca="1">C76</f>
        <v>7.0000000000000007E-2</v>
      </c>
      <c r="R71" s="1418"/>
    </row>
    <row r="72" spans="1:18" s="1382" customFormat="1" ht="13.8" thickBot="1">
      <c r="B72" s="726"/>
      <c r="C72" s="726"/>
      <c r="O72" s="1426" t="s">
        <v>407</v>
      </c>
      <c r="P72" s="1417" t="s">
        <v>852</v>
      </c>
      <c r="Q72" s="1429">
        <f>L52</f>
        <v>0</v>
      </c>
      <c r="R72" s="1418"/>
    </row>
    <row r="73" spans="1:18" ht="16.2" thickBot="1">
      <c r="A73" s="1382"/>
      <c r="B73" s="726"/>
      <c r="C73" s="726"/>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40" t="s">
        <v>795</v>
      </c>
      <c r="C75" s="341">
        <f ca="1">ROUND(C13*C76,0)</f>
        <v>37517</v>
      </c>
      <c r="D75" s="1382"/>
      <c r="E75" s="1382"/>
      <c r="F75" s="1382"/>
      <c r="K75" s="1400"/>
      <c r="L75" s="1382"/>
      <c r="O75" s="1416" t="s">
        <v>409</v>
      </c>
      <c r="P75" s="1417" t="s">
        <v>838</v>
      </c>
      <c r="Q75" s="1418">
        <f ca="1">Q65+Q66</f>
        <v>2250149</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0.67300000000000004</v>
      </c>
    </row>
    <row r="80" spans="1:18">
      <c r="B80" s="340" t="s">
        <v>800</v>
      </c>
      <c r="C80" s="274">
        <f ca="1">ROUND(C75/C39,3)</f>
        <v>0.32700000000000001</v>
      </c>
    </row>
    <row r="81" spans="2:3">
      <c r="B81" s="270" t="s">
        <v>801</v>
      </c>
      <c r="C81" s="238"/>
    </row>
    <row r="82" spans="2:3">
      <c r="B82" s="273" t="s">
        <v>802</v>
      </c>
      <c r="C82" s="275">
        <f ca="1">1-C83</f>
        <v>0.76200000000000001</v>
      </c>
    </row>
    <row r="83" spans="2:3">
      <c r="B83" s="273" t="s">
        <v>803</v>
      </c>
      <c r="C83" s="274">
        <f ca="1">ROUND(C13/C40,3)</f>
        <v>0.23799999999999999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2" customHeight="1">
      <c r="A2" s="1383" t="s">
        <v>2314</v>
      </c>
      <c r="B2" s="2841" t="e">
        <f>IF(D2="——",C40,C40+E2)</f>
        <v>#DIV/0!</v>
      </c>
      <c r="C2" s="2842" t="s">
        <v>2315</v>
      </c>
      <c r="D2" s="3441" t="s">
        <v>3358</v>
      </c>
      <c r="E2" s="3442"/>
      <c r="F2" s="2844"/>
      <c r="G2" s="2845"/>
      <c r="H2" s="2846"/>
      <c r="I2" s="2847"/>
      <c r="J2" s="3714" t="s">
        <v>2316</v>
      </c>
      <c r="K2" s="3715"/>
      <c r="L2" s="2848" t="s">
        <v>2317</v>
      </c>
      <c r="M2" s="2848" t="s">
        <v>2318</v>
      </c>
      <c r="N2" s="2848" t="s">
        <v>2319</v>
      </c>
      <c r="O2" s="2848" t="s">
        <v>2320</v>
      </c>
      <c r="P2" s="2848" t="s">
        <v>2321</v>
      </c>
      <c r="Q2" s="2849" t="s">
        <v>2322</v>
      </c>
      <c r="R2" s="2850" t="s">
        <v>2323</v>
      </c>
      <c r="S2" s="2839"/>
      <c r="T2" s="2839"/>
      <c r="U2" s="2839"/>
      <c r="V2" s="2847"/>
    </row>
    <row r="3" spans="1:22" s="2851" customFormat="1" ht="13.2" customHeight="1">
      <c r="A3" s="2852" t="s">
        <v>2324</v>
      </c>
      <c r="B3" s="2853" t="e">
        <f>ROUND(B2*10000/B4,0)</f>
        <v>#DIV/0!</v>
      </c>
      <c r="C3" s="2842" t="s">
        <v>2325</v>
      </c>
      <c r="D3" s="2842"/>
      <c r="E3" s="2843"/>
      <c r="F3" s="2844"/>
      <c r="G3" s="2845"/>
      <c r="H3" s="2846"/>
      <c r="I3" s="2847"/>
      <c r="J3" s="3716" t="s">
        <v>2326</v>
      </c>
      <c r="K3" s="3717"/>
      <c r="L3" s="2854"/>
      <c r="M3" s="2854"/>
      <c r="N3" s="2854"/>
      <c r="O3" s="2854"/>
      <c r="P3" s="2854"/>
      <c r="Q3" s="2855"/>
      <c r="R3" s="2856">
        <f>SUM(L3:Q3)</f>
        <v>0</v>
      </c>
      <c r="S3" s="2839"/>
      <c r="T3" s="2839"/>
      <c r="U3" s="2839"/>
      <c r="V3" s="2847"/>
    </row>
    <row r="4" spans="1:22" s="2851" customFormat="1" ht="13.2" customHeight="1">
      <c r="A4" s="2857" t="s">
        <v>2327</v>
      </c>
      <c r="B4" s="2858"/>
      <c r="C4" s="2842"/>
      <c r="D4" s="2842"/>
      <c r="E4" s="2843"/>
      <c r="F4" s="2844"/>
      <c r="G4" s="2845"/>
      <c r="H4" s="2846"/>
      <c r="I4" s="2847"/>
      <c r="J4" s="3716" t="s">
        <v>2328</v>
      </c>
      <c r="K4" s="3717"/>
      <c r="L4" s="2859"/>
      <c r="M4" s="2859"/>
      <c r="N4" s="2859"/>
      <c r="O4" s="2859"/>
      <c r="P4" s="2859"/>
      <c r="Q4" s="2860"/>
      <c r="R4" s="2861">
        <f>SUM(L4:Q4)</f>
        <v>0</v>
      </c>
      <c r="S4" s="2839"/>
      <c r="T4" s="2839"/>
      <c r="U4" s="2839"/>
      <c r="V4" s="2847"/>
    </row>
    <row r="5" spans="1:22" s="2851" customFormat="1" ht="13.2"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2" customHeight="1" thickBot="1">
      <c r="A6" s="3722" t="s">
        <v>2332</v>
      </c>
      <c r="B6" s="3723"/>
      <c r="C6" s="3724"/>
      <c r="D6" s="2868"/>
      <c r="E6" s="2869"/>
      <c r="F6" s="2870"/>
      <c r="G6" s="2871"/>
      <c r="H6" s="2846"/>
      <c r="I6" s="2847"/>
      <c r="J6" s="3708">
        <v>1</v>
      </c>
      <c r="K6" s="3709"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2" customHeight="1">
      <c r="A7" s="2874" t="s">
        <v>2342</v>
      </c>
      <c r="B7" s="2875"/>
      <c r="C7" s="2876"/>
      <c r="D7" s="2877">
        <f>SUM(D9,D10,D11,D17,0)</f>
        <v>0</v>
      </c>
      <c r="E7" s="2878" t="e">
        <f>E9+E10+E11+E17</f>
        <v>#DIV/0!</v>
      </c>
      <c r="F7" s="2879"/>
      <c r="G7" s="2880"/>
      <c r="H7" s="2846"/>
      <c r="I7" s="2847"/>
      <c r="J7" s="3708"/>
      <c r="K7" s="3710"/>
      <c r="L7" s="2881" t="s">
        <v>2343</v>
      </c>
      <c r="M7" s="2882"/>
      <c r="N7" s="2858"/>
      <c r="O7" s="2883"/>
      <c r="P7" s="2883"/>
      <c r="Q7" s="2884">
        <v>365</v>
      </c>
      <c r="R7" s="2885">
        <f>ROUND(M7*N7*O7*P7*Q7/10000,0)</f>
        <v>0</v>
      </c>
      <c r="S7" s="2839"/>
      <c r="T7" s="2839" t="s">
        <v>2344</v>
      </c>
      <c r="U7" s="2839"/>
      <c r="V7" s="2847"/>
    </row>
    <row r="8" spans="1:22" s="2851" customFormat="1" ht="13.2" customHeight="1">
      <c r="A8" s="2886" t="s">
        <v>2345</v>
      </c>
      <c r="B8" s="3725" t="s">
        <v>2346</v>
      </c>
      <c r="C8" s="3726"/>
      <c r="D8" s="2887" t="s">
        <v>2347</v>
      </c>
      <c r="E8" s="2888" t="s">
        <v>2348</v>
      </c>
      <c r="F8" s="2889" t="s">
        <v>2349</v>
      </c>
      <c r="G8" s="2890"/>
      <c r="H8" s="2846"/>
      <c r="I8" s="2847"/>
      <c r="J8" s="3708"/>
      <c r="K8" s="3710"/>
      <c r="L8" s="2881" t="s">
        <v>2350</v>
      </c>
      <c r="M8" s="2882"/>
      <c r="N8" s="2858"/>
      <c r="O8" s="2883"/>
      <c r="P8" s="2883"/>
      <c r="Q8" s="2884">
        <v>365</v>
      </c>
      <c r="R8" s="2885">
        <f t="shared" ref="R8:R13" si="0">ROUND(M8*N8*O8*P8*Q8/10000,0)</f>
        <v>0</v>
      </c>
      <c r="S8" s="2839"/>
      <c r="T8" s="2839" t="s">
        <v>2351</v>
      </c>
      <c r="U8" s="2839"/>
      <c r="V8" s="2847"/>
    </row>
    <row r="9" spans="1:22" s="2851" customFormat="1" ht="13.2" customHeight="1">
      <c r="A9" s="2886">
        <v>1</v>
      </c>
      <c r="B9" s="3725" t="s">
        <v>2352</v>
      </c>
      <c r="C9" s="3726"/>
      <c r="D9" s="2887">
        <f>ROUND(D6*E9,0)</f>
        <v>0</v>
      </c>
      <c r="E9" s="2891"/>
      <c r="F9" s="2892" t="s">
        <v>2353</v>
      </c>
      <c r="G9" s="2871"/>
      <c r="H9" s="2846"/>
      <c r="I9" s="2847"/>
      <c r="J9" s="3708"/>
      <c r="K9" s="3710"/>
      <c r="L9" s="2881" t="s">
        <v>2354</v>
      </c>
      <c r="M9" s="2882"/>
      <c r="N9" s="2858"/>
      <c r="O9" s="2883"/>
      <c r="P9" s="2883"/>
      <c r="Q9" s="2884">
        <v>365</v>
      </c>
      <c r="R9" s="2885">
        <f t="shared" si="0"/>
        <v>0</v>
      </c>
      <c r="S9" s="2839"/>
      <c r="T9" s="2839"/>
      <c r="U9" s="2839"/>
      <c r="V9" s="2847"/>
    </row>
    <row r="10" spans="1:22" s="2851" customFormat="1" ht="13.2" customHeight="1">
      <c r="A10" s="2886">
        <v>2</v>
      </c>
      <c r="B10" s="3725" t="s">
        <v>2355</v>
      </c>
      <c r="C10" s="3726"/>
      <c r="D10" s="2887">
        <f>ROUND(D6*E10,0)</f>
        <v>0</v>
      </c>
      <c r="E10" s="2891"/>
      <c r="F10" s="2892" t="s">
        <v>2356</v>
      </c>
      <c r="G10" s="2871"/>
      <c r="H10" s="2846"/>
      <c r="I10" s="2847"/>
      <c r="J10" s="3708"/>
      <c r="K10" s="3710"/>
      <c r="L10" s="2881" t="s">
        <v>2357</v>
      </c>
      <c r="M10" s="2882"/>
      <c r="N10" s="2858"/>
      <c r="O10" s="2883"/>
      <c r="P10" s="2883"/>
      <c r="Q10" s="2884">
        <v>365</v>
      </c>
      <c r="R10" s="2885">
        <f t="shared" si="0"/>
        <v>0</v>
      </c>
      <c r="S10" s="2839"/>
      <c r="T10" s="2839"/>
      <c r="U10" s="2839"/>
      <c r="V10" s="2847"/>
    </row>
    <row r="11" spans="1:22" s="2851" customFormat="1" ht="13.2" customHeight="1">
      <c r="A11" s="2886">
        <v>3</v>
      </c>
      <c r="B11" s="3725" t="s">
        <v>2358</v>
      </c>
      <c r="C11" s="3726"/>
      <c r="D11" s="2887">
        <f>D12+D14+D15+D16</f>
        <v>0</v>
      </c>
      <c r="E11" s="2893" t="e">
        <f>D11/D6</f>
        <v>#DIV/0!</v>
      </c>
      <c r="F11" s="2889"/>
      <c r="G11" s="2890"/>
      <c r="H11" s="2846"/>
      <c r="I11" s="2847"/>
      <c r="J11" s="3708"/>
      <c r="K11" s="3710"/>
      <c r="L11" s="2881" t="s">
        <v>2359</v>
      </c>
      <c r="M11" s="2882"/>
      <c r="N11" s="2858"/>
      <c r="O11" s="2883"/>
      <c r="P11" s="2883"/>
      <c r="Q11" s="2884">
        <v>365</v>
      </c>
      <c r="R11" s="2885">
        <f t="shared" si="0"/>
        <v>0</v>
      </c>
      <c r="S11" s="2839"/>
      <c r="T11" s="2839"/>
      <c r="U11" s="2839"/>
      <c r="V11" s="2847"/>
    </row>
    <row r="12" spans="1:22" s="2851" customFormat="1" ht="13.2" customHeight="1">
      <c r="A12" s="2894" t="s">
        <v>2360</v>
      </c>
      <c r="B12" s="3718" t="s">
        <v>2361</v>
      </c>
      <c r="C12" s="3719"/>
      <c r="D12" s="2895">
        <f>ROUND(D13*1.2%*(1-30%),0)</f>
        <v>0</v>
      </c>
      <c r="E12" s="2896">
        <v>1.2E-2</v>
      </c>
      <c r="F12" s="2889" t="s">
        <v>2362</v>
      </c>
      <c r="G12" s="2890"/>
      <c r="H12" s="2846"/>
      <c r="I12" s="2847"/>
      <c r="J12" s="3708"/>
      <c r="K12" s="3710"/>
      <c r="L12" s="2881" t="s">
        <v>2363</v>
      </c>
      <c r="M12" s="2882"/>
      <c r="N12" s="2858"/>
      <c r="O12" s="2883"/>
      <c r="P12" s="2883"/>
      <c r="Q12" s="2884">
        <v>365</v>
      </c>
      <c r="R12" s="2885">
        <f t="shared" si="0"/>
        <v>0</v>
      </c>
      <c r="S12" s="2839"/>
      <c r="T12" s="2839"/>
      <c r="U12" s="2839"/>
      <c r="V12" s="2847"/>
    </row>
    <row r="13" spans="1:22" s="2851" customFormat="1" ht="13.2" customHeight="1">
      <c r="A13" s="2894"/>
      <c r="B13" s="2897"/>
      <c r="C13" s="2898" t="s">
        <v>2364</v>
      </c>
      <c r="D13" s="2899"/>
      <c r="E13" s="2900"/>
      <c r="F13" s="2889"/>
      <c r="G13" s="2890"/>
      <c r="H13" s="2846"/>
      <c r="I13" s="2847"/>
      <c r="J13" s="3708"/>
      <c r="K13" s="3710"/>
      <c r="L13" s="2881" t="s">
        <v>2365</v>
      </c>
      <c r="M13" s="2882"/>
      <c r="N13" s="2858"/>
      <c r="O13" s="2883"/>
      <c r="P13" s="2883"/>
      <c r="Q13" s="2884">
        <v>365</v>
      </c>
      <c r="R13" s="2885">
        <f t="shared" si="0"/>
        <v>0</v>
      </c>
      <c r="S13" s="2839"/>
      <c r="T13" s="2839"/>
      <c r="U13" s="2839"/>
      <c r="V13" s="2847"/>
    </row>
    <row r="14" spans="1:22" s="2851" customFormat="1" ht="13.2" customHeight="1">
      <c r="A14" s="2894" t="s">
        <v>2366</v>
      </c>
      <c r="B14" s="3718" t="s">
        <v>2367</v>
      </c>
      <c r="C14" s="3719"/>
      <c r="D14" s="2895">
        <f>ROUND(E14*B5/10000,0)</f>
        <v>0</v>
      </c>
      <c r="E14" s="2884"/>
      <c r="F14" s="2889" t="s">
        <v>2368</v>
      </c>
      <c r="G14" s="2890"/>
      <c r="H14" s="2846"/>
      <c r="I14" s="2847"/>
      <c r="J14" s="3708"/>
      <c r="K14" s="3711"/>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2370</v>
      </c>
      <c r="B15" s="3718" t="s">
        <v>2371</v>
      </c>
      <c r="C15" s="3719"/>
      <c r="D15" s="2895">
        <f>ROUND(D6*E15,0)</f>
        <v>0</v>
      </c>
      <c r="E15" s="2896">
        <v>5.5E-2</v>
      </c>
      <c r="F15" s="2889" t="s">
        <v>2372</v>
      </c>
      <c r="G15" s="2871"/>
      <c r="H15" s="2846"/>
      <c r="I15" s="2847"/>
      <c r="J15" s="3708">
        <v>2</v>
      </c>
      <c r="K15" s="3709"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2" customHeight="1">
      <c r="A16" s="2894" t="s">
        <v>2379</v>
      </c>
      <c r="B16" s="3718" t="s">
        <v>2380</v>
      </c>
      <c r="C16" s="3719"/>
      <c r="D16" s="2906">
        <f>D6*E16</f>
        <v>0</v>
      </c>
      <c r="E16" s="2907"/>
      <c r="F16" s="2892" t="s">
        <v>2381</v>
      </c>
      <c r="G16" s="2871"/>
      <c r="H16" s="2846"/>
      <c r="I16" s="2847"/>
      <c r="J16" s="3708"/>
      <c r="K16" s="3710"/>
      <c r="L16" s="2881" t="s">
        <v>2382</v>
      </c>
      <c r="M16" s="2882"/>
      <c r="N16" s="2882"/>
      <c r="O16" s="2883"/>
      <c r="P16" s="2884">
        <v>365</v>
      </c>
      <c r="Q16" s="2858"/>
      <c r="R16" s="2905">
        <f>ROUND(M16*N16*O16*P16/10000,0)</f>
        <v>0</v>
      </c>
      <c r="S16" s="2839"/>
      <c r="T16" s="2839"/>
      <c r="U16" s="2839"/>
      <c r="V16" s="2847"/>
    </row>
    <row r="17" spans="1:22" s="2851" customFormat="1" ht="13.2" customHeight="1" thickBot="1">
      <c r="A17" s="2908">
        <v>4</v>
      </c>
      <c r="B17" s="3720" t="s">
        <v>2383</v>
      </c>
      <c r="C17" s="3721"/>
      <c r="D17" s="2909">
        <f>ROUND(D6*E17,0)</f>
        <v>0</v>
      </c>
      <c r="E17" s="2910"/>
      <c r="F17" s="2911" t="s">
        <v>2384</v>
      </c>
      <c r="G17" s="2871"/>
      <c r="H17" s="2846"/>
      <c r="I17" s="2847"/>
      <c r="J17" s="3708"/>
      <c r="K17" s="3710"/>
      <c r="L17" s="2881" t="s">
        <v>2385</v>
      </c>
      <c r="M17" s="2882"/>
      <c r="N17" s="2882"/>
      <c r="O17" s="2883"/>
      <c r="P17" s="2884">
        <v>365</v>
      </c>
      <c r="Q17" s="2858"/>
      <c r="R17" s="2905">
        <f>ROUND(M17*N17*O17*P17/10000,0)</f>
        <v>0</v>
      </c>
      <c r="S17" s="2839"/>
      <c r="T17" s="2839"/>
      <c r="U17" s="2839"/>
      <c r="V17" s="2847"/>
    </row>
    <row r="18" spans="1:22" s="2851" customFormat="1" ht="13.2" customHeight="1" thickBot="1">
      <c r="A18" s="2874" t="s">
        <v>2386</v>
      </c>
      <c r="B18" s="2875"/>
      <c r="C18" s="2875"/>
      <c r="D18" s="2912">
        <f>ROUND(D6*E18,0)</f>
        <v>0</v>
      </c>
      <c r="E18" s="2913"/>
      <c r="F18" s="2914" t="s">
        <v>2387</v>
      </c>
      <c r="G18" s="2871"/>
      <c r="H18" s="2846"/>
      <c r="I18" s="2847"/>
      <c r="J18" s="3708"/>
      <c r="K18" s="3710"/>
      <c r="L18" s="2881" t="s">
        <v>2388</v>
      </c>
      <c r="M18" s="2882"/>
      <c r="N18" s="2882"/>
      <c r="O18" s="2883"/>
      <c r="P18" s="2884">
        <v>365</v>
      </c>
      <c r="Q18" s="2858"/>
      <c r="R18" s="2905">
        <f>ROUND(M18*N18*O18*P18/10000,0)</f>
        <v>0</v>
      </c>
      <c r="S18" s="2839"/>
      <c r="T18" s="2839"/>
      <c r="U18" s="2839"/>
      <c r="V18" s="2847"/>
    </row>
    <row r="19" spans="1:22" s="2851" customFormat="1" ht="13.2" customHeight="1" thickBot="1">
      <c r="A19" s="2915" t="s">
        <v>2389</v>
      </c>
      <c r="B19" s="2869"/>
      <c r="C19" s="2869"/>
      <c r="D19" s="2869"/>
      <c r="E19" s="2869"/>
      <c r="F19" s="2870"/>
      <c r="G19" s="2890"/>
      <c r="H19" s="2846"/>
      <c r="I19" s="2847"/>
      <c r="J19" s="3708"/>
      <c r="K19" s="3711"/>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08">
        <v>3</v>
      </c>
      <c r="K20" s="3709"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2" customHeight="1">
      <c r="A21" s="2874"/>
      <c r="B21" s="2875"/>
      <c r="C21" s="2921" t="s">
        <v>2398</v>
      </c>
      <c r="D21" s="2922" t="s">
        <v>2399</v>
      </c>
      <c r="E21" s="2923" t="s">
        <v>2400</v>
      </c>
      <c r="F21" s="2918"/>
      <c r="G21" s="2890"/>
      <c r="H21" s="2846"/>
      <c r="I21" s="2847"/>
      <c r="J21" s="3708"/>
      <c r="K21" s="3710"/>
      <c r="L21" s="2881" t="s">
        <v>2401</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2402</v>
      </c>
      <c r="D22" s="2926" t="s">
        <v>2403</v>
      </c>
      <c r="E22" s="2927" t="s">
        <v>2404</v>
      </c>
      <c r="F22" s="2918"/>
      <c r="G22" s="2928"/>
      <c r="H22" s="2846"/>
      <c r="I22" s="2847"/>
      <c r="J22" s="3708"/>
      <c r="K22" s="3710"/>
      <c r="L22" s="2881" t="s">
        <v>2405</v>
      </c>
      <c r="M22" s="2882"/>
      <c r="N22" s="2882"/>
      <c r="O22" s="2883"/>
      <c r="P22" s="2884">
        <v>365</v>
      </c>
      <c r="Q22" s="2858"/>
      <c r="R22" s="2924">
        <f>ROUND(M22*N22*O22*P22/10000,0)</f>
        <v>0</v>
      </c>
      <c r="S22" s="2920"/>
      <c r="T22" s="2920"/>
      <c r="U22" s="2920"/>
      <c r="V22" s="2847"/>
    </row>
    <row r="23" spans="1:22" s="2851" customFormat="1" ht="13.2" customHeight="1">
      <c r="A23" s="2929">
        <v>1</v>
      </c>
      <c r="B23" s="2930" t="s">
        <v>2406</v>
      </c>
      <c r="C23" s="2931">
        <f>D6</f>
        <v>0</v>
      </c>
      <c r="D23" s="2932">
        <f>C23*(1+D24)</f>
        <v>0</v>
      </c>
      <c r="E23" s="2933">
        <f>D23*(1+E24)</f>
        <v>0</v>
      </c>
      <c r="F23" s="2934"/>
      <c r="G23" s="2935"/>
      <c r="H23" s="2846"/>
      <c r="I23" s="2847"/>
      <c r="J23" s="3708"/>
      <c r="K23" s="3710"/>
      <c r="L23" s="2881" t="s">
        <v>2407</v>
      </c>
      <c r="M23" s="2882"/>
      <c r="N23" s="2882"/>
      <c r="O23" s="2883"/>
      <c r="P23" s="2884">
        <v>365</v>
      </c>
      <c r="Q23" s="2858"/>
      <c r="R23" s="2924">
        <f>ROUND(M23*N23*O23*P23/10000,0)</f>
        <v>0</v>
      </c>
      <c r="S23" s="2839"/>
      <c r="T23" s="2839"/>
      <c r="U23" s="2839"/>
      <c r="V23" s="2847"/>
    </row>
    <row r="24" spans="1:22" s="2851" customFormat="1" ht="13.2" customHeight="1">
      <c r="A24" s="2936"/>
      <c r="B24" s="2937" t="s">
        <v>2408</v>
      </c>
      <c r="C24" s="2938"/>
      <c r="D24" s="2939"/>
      <c r="E24" s="2940"/>
      <c r="F24" s="2941"/>
      <c r="G24" s="2935"/>
      <c r="H24" s="2846"/>
      <c r="I24" s="2847"/>
      <c r="J24" s="3708"/>
      <c r="K24" s="3711"/>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2" customHeight="1">
      <c r="A26" s="2929">
        <v>2</v>
      </c>
      <c r="B26" s="2930" t="s">
        <v>2410</v>
      </c>
      <c r="C26" s="2931">
        <f>D7</f>
        <v>0</v>
      </c>
      <c r="D26" s="2932">
        <f>D23*D27</f>
        <v>0</v>
      </c>
      <c r="E26" s="2933">
        <f>E23*E27</f>
        <v>0</v>
      </c>
      <c r="F26" s="2934"/>
      <c r="G26" s="2935"/>
      <c r="H26" s="2846"/>
      <c r="I26" s="2847"/>
      <c r="J26" s="3712">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2" customHeight="1">
      <c r="A27" s="2936"/>
      <c r="B27" s="2937" t="s">
        <v>2416</v>
      </c>
      <c r="C27" s="2955" t="e">
        <f>E7</f>
        <v>#DIV/0!</v>
      </c>
      <c r="D27" s="2939"/>
      <c r="E27" s="2940"/>
      <c r="F27" s="2941"/>
      <c r="G27" s="2935"/>
      <c r="H27" s="2956"/>
      <c r="I27" s="2947"/>
      <c r="J27" s="3713"/>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2"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2" customHeight="1">
      <c r="A32" s="2929">
        <v>4</v>
      </c>
      <c r="B32" s="2930" t="s">
        <v>2424</v>
      </c>
      <c r="C32" s="2931">
        <f>C23-C26-C29</f>
        <v>0</v>
      </c>
      <c r="D32" s="2932">
        <f>D23-D26-D29</f>
        <v>0</v>
      </c>
      <c r="E32" s="2933">
        <f>E23-E26-E29</f>
        <v>0</v>
      </c>
      <c r="F32" s="2934"/>
      <c r="G32" s="2928"/>
      <c r="H32" s="2846"/>
      <c r="I32" s="2847"/>
      <c r="J32" s="3714" t="s">
        <v>2316</v>
      </c>
      <c r="K32" s="3715"/>
      <c r="L32" s="2848" t="s">
        <v>2317</v>
      </c>
      <c r="M32" s="2848" t="s">
        <v>2318</v>
      </c>
      <c r="N32" s="2848" t="s">
        <v>2319</v>
      </c>
      <c r="O32" s="2848" t="s">
        <v>2320</v>
      </c>
      <c r="P32" s="2848" t="s">
        <v>2321</v>
      </c>
      <c r="Q32" s="2849" t="s">
        <v>2322</v>
      </c>
      <c r="R32" s="2971" t="s">
        <v>2323</v>
      </c>
      <c r="S32" s="2920"/>
      <c r="T32" s="2839"/>
      <c r="U32" s="2839"/>
      <c r="V32" s="2947"/>
    </row>
    <row r="33" spans="1:23" s="2851" customFormat="1" ht="13.2" customHeight="1">
      <c r="A33" s="2929"/>
      <c r="B33" s="2930"/>
      <c r="C33" s="2931"/>
      <c r="D33" s="2972"/>
      <c r="E33" s="2973"/>
      <c r="F33" s="2934"/>
      <c r="G33" s="2928"/>
      <c r="H33" s="2956"/>
      <c r="I33" s="2947"/>
      <c r="J33" s="3716" t="s">
        <v>2326</v>
      </c>
      <c r="K33" s="3717"/>
      <c r="L33" s="2854"/>
      <c r="M33" s="2854"/>
      <c r="N33" s="2854"/>
      <c r="O33" s="2854"/>
      <c r="P33" s="2854"/>
      <c r="Q33" s="2855"/>
      <c r="R33" s="2974">
        <f>SUM(L33:Q33)</f>
        <v>0</v>
      </c>
      <c r="S33" s="2920"/>
      <c r="T33" s="2839"/>
      <c r="U33" s="2839"/>
      <c r="V33" s="2847"/>
    </row>
    <row r="34" spans="1:23" s="2851" customFormat="1" ht="13.2" customHeight="1">
      <c r="A34" s="2929">
        <v>5</v>
      </c>
      <c r="B34" s="2930" t="s">
        <v>2425</v>
      </c>
      <c r="C34" s="2975"/>
      <c r="D34" s="2976"/>
      <c r="E34" s="2977"/>
      <c r="F34" s="2934"/>
      <c r="G34" s="2928"/>
      <c r="H34" s="2956"/>
      <c r="I34" s="2947"/>
      <c r="J34" s="3716" t="s">
        <v>2328</v>
      </c>
      <c r="K34" s="3717"/>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2" customHeight="1" thickBot="1">
      <c r="A36" s="2929">
        <v>7</v>
      </c>
      <c r="B36" s="2984" t="s">
        <v>2427</v>
      </c>
      <c r="C36" s="2985"/>
      <c r="D36" s="2986"/>
      <c r="E36" s="2987"/>
      <c r="F36" s="2988">
        <f>C36+D36+E36</f>
        <v>0</v>
      </c>
      <c r="G36" s="2928"/>
      <c r="H36" s="2846"/>
      <c r="I36" s="2847"/>
      <c r="J36" s="3708">
        <v>1</v>
      </c>
      <c r="K36" s="3709" t="s">
        <v>2428</v>
      </c>
      <c r="L36" s="2872"/>
      <c r="M36" s="2873"/>
      <c r="N36" s="2873"/>
      <c r="O36" s="2873"/>
      <c r="P36" s="2873"/>
      <c r="Q36" s="2873"/>
      <c r="R36" s="2856" t="s">
        <v>2340</v>
      </c>
      <c r="S36" s="2920"/>
      <c r="T36" s="2839" t="s">
        <v>2341</v>
      </c>
      <c r="U36" s="2839"/>
      <c r="V36" s="2847"/>
    </row>
    <row r="37" spans="1:23" s="2851" customFormat="1" ht="13.2" customHeight="1">
      <c r="A37" s="2929"/>
      <c r="B37" s="2930"/>
      <c r="C37" s="2930"/>
      <c r="D37" s="2930"/>
      <c r="E37" s="2930"/>
      <c r="F37" s="2934"/>
      <c r="G37" s="2928"/>
      <c r="H37" s="2846"/>
      <c r="I37" s="2847"/>
      <c r="J37" s="3708"/>
      <c r="K37" s="3710"/>
      <c r="L37" s="2881"/>
      <c r="M37" s="2882"/>
      <c r="N37" s="2858"/>
      <c r="O37" s="2883"/>
      <c r="P37" s="2883"/>
      <c r="Q37" s="2884"/>
      <c r="R37" s="2885"/>
      <c r="S37" s="2920"/>
      <c r="T37" s="2839" t="s">
        <v>2344</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08"/>
      <c r="K38" s="3710"/>
      <c r="L38" s="2881"/>
      <c r="M38" s="2882"/>
      <c r="N38" s="2858"/>
      <c r="O38" s="2883"/>
      <c r="P38" s="2883"/>
      <c r="Q38" s="2884"/>
      <c r="R38" s="2885"/>
      <c r="S38" s="2920"/>
      <c r="T38" s="2839" t="s">
        <v>2351</v>
      </c>
      <c r="U38" s="2839"/>
      <c r="V38" s="2847"/>
    </row>
    <row r="39" spans="1:23" s="2851" customFormat="1" ht="13.2" customHeight="1">
      <c r="A39" s="2929">
        <v>9</v>
      </c>
      <c r="B39" s="2930" t="s">
        <v>2429</v>
      </c>
      <c r="C39" s="2895" t="e">
        <f>C38</f>
        <v>#DIV/0!</v>
      </c>
      <c r="D39" s="2930">
        <f>D38/(1+D34)^C36</f>
        <v>0</v>
      </c>
      <c r="E39" s="2930">
        <f>E38/(1+E34)^(C36+D36)</f>
        <v>0</v>
      </c>
      <c r="F39" s="2934"/>
      <c r="G39" s="2989"/>
      <c r="H39" s="2846"/>
      <c r="I39" s="2847"/>
      <c r="J39" s="3708"/>
      <c r="K39" s="3710"/>
      <c r="L39" s="2881"/>
      <c r="M39" s="2882"/>
      <c r="N39" s="2858"/>
      <c r="O39" s="2883"/>
      <c r="P39" s="2883"/>
      <c r="Q39" s="2884"/>
      <c r="R39" s="2885"/>
      <c r="S39" s="2920"/>
      <c r="T39" s="2839"/>
      <c r="U39" s="2839"/>
      <c r="V39" s="2847"/>
    </row>
    <row r="40" spans="1:23" s="2851" customFormat="1" ht="13.2" customHeight="1">
      <c r="A40" s="2990">
        <v>10</v>
      </c>
      <c r="B40" s="2930" t="s">
        <v>2430</v>
      </c>
      <c r="C40" s="2991" t="e">
        <f>C39+D39+E39</f>
        <v>#DIV/0!</v>
      </c>
      <c r="D40" s="2992"/>
      <c r="E40" s="2992"/>
      <c r="F40" s="2993"/>
      <c r="G40" s="2928"/>
      <c r="H40" s="2846"/>
      <c r="I40" s="2847"/>
      <c r="J40" s="3708"/>
      <c r="K40" s="3711"/>
      <c r="L40" s="2901" t="s">
        <v>2369</v>
      </c>
      <c r="M40" s="2902"/>
      <c r="N40" s="2902"/>
      <c r="O40" s="2903"/>
      <c r="P40" s="2903"/>
      <c r="Q40" s="2904"/>
      <c r="R40" s="2850">
        <f>SUM(R37:R39)</f>
        <v>0</v>
      </c>
      <c r="S40" s="2920"/>
      <c r="T40" s="2839"/>
      <c r="U40" s="2839"/>
      <c r="V40" s="2847"/>
    </row>
    <row r="41" spans="1:23" s="2851" customFormat="1" ht="13.2"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2" customHeight="1">
      <c r="G42" s="2998"/>
      <c r="H42" s="2846"/>
      <c r="I42" s="2847"/>
      <c r="J42" s="3712">
        <v>3</v>
      </c>
      <c r="K42" s="2949" t="s">
        <v>2411</v>
      </c>
      <c r="L42" s="2950"/>
      <c r="M42" s="2951"/>
      <c r="N42" s="2952" t="s">
        <v>2412</v>
      </c>
      <c r="O42" s="2952" t="s">
        <v>2413</v>
      </c>
      <c r="P42" s="2953" t="s">
        <v>2414</v>
      </c>
      <c r="Q42" s="2953" t="s">
        <v>2415</v>
      </c>
      <c r="R42" s="2856" t="s">
        <v>2340</v>
      </c>
      <c r="S42" s="2954"/>
      <c r="T42" s="2954"/>
      <c r="U42" s="2839"/>
      <c r="V42" s="2847"/>
    </row>
    <row r="43" spans="1:23" ht="13.2" customHeight="1">
      <c r="A43" s="2851"/>
      <c r="B43" s="2851"/>
      <c r="C43" s="2851"/>
      <c r="D43" s="2851"/>
      <c r="E43" s="2851"/>
      <c r="F43" s="2851"/>
      <c r="I43" s="2834"/>
      <c r="J43" s="3713"/>
      <c r="K43" s="2957"/>
      <c r="L43" s="2958"/>
      <c r="M43" s="2959"/>
      <c r="N43" s="2882"/>
      <c r="O43" s="2882"/>
      <c r="P43" s="2882"/>
      <c r="Q43" s="2946"/>
      <c r="R43" s="2917">
        <f>ROUND(O43*N43*P43*(1-Q43)/10000,0)</f>
        <v>0</v>
      </c>
      <c r="S43" s="2920"/>
      <c r="T43" s="2839"/>
      <c r="V43" s="3000"/>
      <c r="W43" s="3001"/>
    </row>
    <row r="44" spans="1:23" ht="13.2"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3.8"/>
  <cols>
    <col min="1" max="1" width="23.6640625" style="1475" customWidth="1"/>
    <col min="2" max="2" width="12" style="1475" customWidth="1"/>
    <col min="3" max="3" width="9" style="1475"/>
    <col min="4" max="4" width="14.109375" style="1475" customWidth="1"/>
    <col min="5" max="5" width="9" style="1475"/>
    <col min="6" max="6" width="12.88671875" style="1475" customWidth="1"/>
    <col min="7" max="16384" width="9" style="1475"/>
  </cols>
  <sheetData>
    <row r="1" spans="1:22" ht="21.6">
      <c r="A1" s="1865" t="s">
        <v>1658</v>
      </c>
      <c r="B1" s="1866"/>
      <c r="C1" s="1866"/>
      <c r="D1" s="1866"/>
      <c r="E1" s="1867"/>
      <c r="F1" s="2705"/>
      <c r="G1" s="1487"/>
      <c r="H1" s="1487"/>
      <c r="I1" s="1487"/>
      <c r="J1" s="1487"/>
      <c r="K1" s="1487"/>
      <c r="L1" s="1487"/>
      <c r="M1" s="1487"/>
      <c r="N1" s="1487"/>
      <c r="O1" s="1487"/>
      <c r="P1" s="1487"/>
      <c r="Q1" s="1487"/>
      <c r="R1" s="1487"/>
      <c r="S1" s="1487"/>
    </row>
    <row r="2" spans="1:22" ht="15.6">
      <c r="A2" s="1868" t="s">
        <v>1462</v>
      </c>
      <c r="B2" s="1869">
        <f ca="1">SUMIF(B6:B13,"&lt;&gt;#ref!",B6:B13)</f>
        <v>227.5557</v>
      </c>
      <c r="C2" s="1870" t="s">
        <v>1651</v>
      </c>
      <c r="D2" s="1871" t="s">
        <v>1652</v>
      </c>
      <c r="E2" s="2605">
        <f>SUM(E6:E13)</f>
        <v>87.01</v>
      </c>
      <c r="F2" s="2705"/>
      <c r="G2" s="1487"/>
      <c r="H2" s="1487"/>
      <c r="I2" s="1487"/>
      <c r="J2" s="1487"/>
      <c r="K2" s="1487"/>
      <c r="L2" s="1487"/>
      <c r="M2" s="1487"/>
      <c r="N2" s="1487"/>
      <c r="O2" s="1487"/>
      <c r="P2" s="1487"/>
      <c r="Q2" s="1487"/>
      <c r="R2" s="1487"/>
      <c r="S2" s="1487"/>
    </row>
    <row r="3" spans="1:22" ht="15.6">
      <c r="A3" s="1868" t="s">
        <v>686</v>
      </c>
      <c r="B3" s="2599">
        <f ca="1">ROUND(B2*10000/E2,0)</f>
        <v>26153</v>
      </c>
      <c r="C3" s="1870" t="s">
        <v>1659</v>
      </c>
      <c r="D3" s="2707"/>
      <c r="E3" s="2709"/>
      <c r="F3" s="2705"/>
      <c r="G3" s="1487"/>
      <c r="H3" s="1487"/>
      <c r="I3" s="1487"/>
      <c r="J3" s="1487"/>
      <c r="K3" s="1487"/>
      <c r="L3" s="1487"/>
      <c r="M3" s="1487"/>
      <c r="N3" s="1487"/>
      <c r="O3" s="1487"/>
      <c r="P3" s="1487"/>
      <c r="Q3" s="1487"/>
      <c r="R3" s="1487"/>
      <c r="S3" s="1487"/>
    </row>
    <row r="4" spans="1:22" ht="15.6">
      <c r="A4" s="2710"/>
      <c r="B4" s="2707"/>
      <c r="C4" s="2707"/>
      <c r="D4" s="2707"/>
      <c r="E4" s="2709"/>
      <c r="F4" s="2705"/>
      <c r="G4" s="1487"/>
      <c r="H4" s="1487"/>
      <c r="I4" s="1487"/>
      <c r="J4" s="1487"/>
      <c r="K4" s="1487"/>
      <c r="L4" s="1487"/>
      <c r="M4" s="1487"/>
      <c r="N4" s="1487"/>
      <c r="O4" s="1487"/>
      <c r="P4" s="1487"/>
      <c r="Q4" s="1487"/>
      <c r="R4" s="1487"/>
      <c r="S4" s="1487"/>
    </row>
    <row r="5" spans="1:22" ht="14.4">
      <c r="A5" s="2601" t="s">
        <v>1653</v>
      </c>
      <c r="B5" s="3727" t="s">
        <v>1654</v>
      </c>
      <c r="C5" s="3728"/>
      <c r="D5" s="2706"/>
      <c r="E5" s="1872" t="s">
        <v>1655</v>
      </c>
      <c r="F5" s="1873" t="s">
        <v>1656</v>
      </c>
      <c r="G5" s="1487"/>
      <c r="H5" s="1487"/>
      <c r="I5" s="1487"/>
      <c r="J5" s="1487"/>
      <c r="K5" s="1487"/>
      <c r="L5" s="1487"/>
      <c r="M5" s="1487"/>
      <c r="N5" s="1487"/>
      <c r="O5" s="1487"/>
      <c r="P5" s="1487"/>
      <c r="Q5" s="1487"/>
      <c r="R5" s="1487"/>
      <c r="S5" s="1487"/>
    </row>
    <row r="6" spans="1:22" ht="14.4">
      <c r="A6" s="2602" t="str">
        <f>'数据-取费表'!AN6</f>
        <v>收益法 (元)</v>
      </c>
      <c r="B6" s="2600">
        <f ca="1">IF(F6="是",'数据-取费表'!AO6,0)</f>
        <v>227.5557</v>
      </c>
      <c r="C6" s="1870" t="s">
        <v>1651</v>
      </c>
      <c r="D6" s="2707"/>
      <c r="E6" s="2604">
        <f>IF(OR(A6=0,F6="否"),0,'数据-取费表'!K6+'数据-取费表'!S6)</f>
        <v>87.01</v>
      </c>
      <c r="F6" s="1874" t="s">
        <v>1657</v>
      </c>
      <c r="G6" s="1487"/>
      <c r="H6" s="1487"/>
      <c r="I6" s="1487"/>
      <c r="J6" s="1487"/>
      <c r="K6" s="1487"/>
      <c r="L6" s="1487"/>
      <c r="M6" s="1487"/>
      <c r="N6" s="1487"/>
      <c r="O6" s="1487"/>
      <c r="P6" s="1487"/>
      <c r="Q6" s="1487"/>
      <c r="R6" s="1487"/>
      <c r="S6" s="1487"/>
    </row>
    <row r="7" spans="1:22" ht="14.4">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ht="14.4">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ht="14.4">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ht="14.4">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ht="14.4">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ht="14.4">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6" t="s">
        <v>1661</v>
      </c>
      <c r="C1" s="1237" t="s">
        <v>1662</v>
      </c>
      <c r="D1" s="1224"/>
      <c r="E1" s="3424"/>
      <c r="F1" s="1877"/>
      <c r="G1" s="1234" t="s">
        <v>1663</v>
      </c>
      <c r="H1" s="1233"/>
      <c r="I1" s="1233"/>
      <c r="J1" s="1233"/>
      <c r="K1" s="1235"/>
      <c r="L1" s="1236"/>
      <c r="M1" s="1237"/>
      <c r="N1" s="1237"/>
      <c r="O1" s="1237"/>
      <c r="P1" s="1878"/>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7"/>
      <c r="H2" s="907"/>
      <c r="I2" s="907"/>
      <c r="J2" s="907"/>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87.01</v>
      </c>
      <c r="E3" s="907"/>
      <c r="F3" s="1886"/>
      <c r="G3" s="907"/>
      <c r="H3" s="907"/>
      <c r="I3" s="907"/>
      <c r="J3" s="907"/>
      <c r="K3" s="1882"/>
      <c r="L3" s="2711"/>
      <c r="M3" s="2712"/>
      <c r="N3" s="2712"/>
      <c r="O3" s="2712"/>
      <c r="P3" s="1883"/>
      <c r="Q3" s="1884"/>
      <c r="R3" s="1884"/>
      <c r="S3" s="1884"/>
      <c r="T3" s="1884"/>
      <c r="U3" s="1884"/>
      <c r="V3" s="1884"/>
      <c r="W3" s="1884"/>
      <c r="X3" s="1884"/>
      <c r="Y3" s="1884"/>
      <c r="Z3" s="1884"/>
      <c r="AA3" s="1884"/>
      <c r="AB3" s="1884"/>
      <c r="AC3" s="1060"/>
    </row>
    <row r="4" spans="1:29" ht="14.4">
      <c r="A4" s="355" t="s">
        <v>1666</v>
      </c>
      <c r="B4" s="356"/>
      <c r="C4" s="3680" t="s">
        <v>1667</v>
      </c>
      <c r="D4" s="3681"/>
      <c r="E4" s="3682" t="s">
        <v>1668</v>
      </c>
      <c r="F4" s="3683"/>
      <c r="G4" s="3680" t="s">
        <v>1669</v>
      </c>
      <c r="H4" s="3681"/>
      <c r="I4" s="3680" t="s">
        <v>1670</v>
      </c>
      <c r="J4" s="3681"/>
      <c r="K4" s="1887" t="s">
        <v>1671</v>
      </c>
      <c r="L4" s="2713"/>
      <c r="M4" s="2714"/>
      <c r="N4" s="2714"/>
      <c r="O4" s="2714"/>
      <c r="P4" s="3684" t="s">
        <v>1672</v>
      </c>
      <c r="Q4" s="3685"/>
      <c r="R4" s="3690" t="s">
        <v>1668</v>
      </c>
      <c r="S4" s="3691"/>
      <c r="T4" s="3690" t="s">
        <v>1669</v>
      </c>
      <c r="U4" s="3691"/>
      <c r="V4" s="3675" t="s">
        <v>1670</v>
      </c>
      <c r="W4" s="3675"/>
      <c r="X4" s="1353"/>
      <c r="Y4" s="3690" t="s">
        <v>1672</v>
      </c>
      <c r="Z4" s="3691"/>
      <c r="AA4" s="3677" t="s">
        <v>1668</v>
      </c>
      <c r="AB4" s="3677" t="s">
        <v>1669</v>
      </c>
      <c r="AC4" s="3677" t="s">
        <v>1670</v>
      </c>
    </row>
    <row r="5" spans="1:29">
      <c r="A5" s="358"/>
      <c r="B5" s="359"/>
      <c r="C5" s="3698" t="s">
        <v>1673</v>
      </c>
      <c r="D5" s="3699"/>
      <c r="E5" s="3729" t="s">
        <v>1674</v>
      </c>
      <c r="F5" s="3707"/>
      <c r="G5" s="3698" t="s">
        <v>1675</v>
      </c>
      <c r="H5" s="3699"/>
      <c r="I5" s="3698" t="s">
        <v>1676</v>
      </c>
      <c r="J5" s="3699"/>
      <c r="K5" s="1888"/>
      <c r="L5" s="2713"/>
      <c r="M5" s="2714"/>
      <c r="N5" s="2714"/>
      <c r="O5" s="2714"/>
      <c r="P5" s="3686"/>
      <c r="Q5" s="3687"/>
      <c r="R5" s="3692"/>
      <c r="S5" s="3693"/>
      <c r="T5" s="3692"/>
      <c r="U5" s="3693"/>
      <c r="V5" s="3675"/>
      <c r="W5" s="3675"/>
      <c r="X5" s="1353"/>
      <c r="Y5" s="3692"/>
      <c r="Z5" s="3693"/>
      <c r="AA5" s="3678"/>
      <c r="AB5" s="3678"/>
      <c r="AC5" s="3678"/>
    </row>
    <row r="6" spans="1:29" ht="15" thickBot="1">
      <c r="A6" s="360"/>
      <c r="B6" s="361"/>
      <c r="C6" s="3696" t="s">
        <v>1677</v>
      </c>
      <c r="D6" s="3697"/>
      <c r="E6" s="3704" t="s">
        <v>1677</v>
      </c>
      <c r="F6" s="3705"/>
      <c r="G6" s="3696" t="s">
        <v>1677</v>
      </c>
      <c r="H6" s="3697"/>
      <c r="I6" s="3696" t="s">
        <v>1677</v>
      </c>
      <c r="J6" s="3697"/>
      <c r="K6" s="1888" t="s">
        <v>1678</v>
      </c>
      <c r="L6" s="2713"/>
      <c r="M6" s="2714"/>
      <c r="N6" s="2714"/>
      <c r="O6" s="2714"/>
      <c r="P6" s="3688"/>
      <c r="Q6" s="3689"/>
      <c r="R6" s="3692"/>
      <c r="S6" s="3693"/>
      <c r="T6" s="3694"/>
      <c r="U6" s="3695"/>
      <c r="V6" s="3675"/>
      <c r="W6" s="3675"/>
      <c r="X6" s="1353"/>
      <c r="Y6" s="3694"/>
      <c r="Z6" s="3695"/>
      <c r="AA6" s="3679"/>
      <c r="AB6" s="3679"/>
      <c r="AC6" s="3679"/>
    </row>
    <row r="7" spans="1:29" s="108" customFormat="1" ht="15" thickBot="1">
      <c r="A7" s="362" t="s">
        <v>1679</v>
      </c>
      <c r="B7" s="363"/>
      <c r="C7" s="364">
        <f>'数据-取费表'!B2</f>
        <v>45322</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6" t="s">
        <v>1686</v>
      </c>
      <c r="Q9" s="1341"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6"/>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6"/>
      <c r="Q11" s="1341" t="str">
        <f t="shared" si="6"/>
        <v>容积率</v>
      </c>
      <c r="R11" s="701" t="s">
        <v>18</v>
      </c>
      <c r="S11" s="702" t="e">
        <f t="shared" si="0"/>
        <v>#N/A</v>
      </c>
      <c r="T11" s="701" t="s">
        <v>18</v>
      </c>
      <c r="U11" s="702" t="e">
        <f t="shared" si="1"/>
        <v>#N/A</v>
      </c>
      <c r="V11" s="701" t="s">
        <v>18</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6"/>
      <c r="Q12" s="1341">
        <f t="shared" si="6"/>
        <v>111</v>
      </c>
      <c r="R12" s="701" t="s">
        <v>18</v>
      </c>
      <c r="S12" s="702">
        <f t="shared" si="0"/>
        <v>100</v>
      </c>
      <c r="T12" s="701" t="s">
        <v>18</v>
      </c>
      <c r="U12" s="702">
        <f t="shared" si="1"/>
        <v>100</v>
      </c>
      <c r="V12" s="701" t="s">
        <v>18</v>
      </c>
      <c r="W12" s="702">
        <f t="shared" si="2"/>
        <v>100</v>
      </c>
      <c r="X12" s="703"/>
      <c r="Y12" s="355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6"/>
      <c r="Q13" s="1341">
        <f t="shared" si="6"/>
        <v>111</v>
      </c>
      <c r="R13" s="701" t="s">
        <v>18</v>
      </c>
      <c r="S13" s="702">
        <f t="shared" si="0"/>
        <v>100</v>
      </c>
      <c r="T13" s="701" t="s">
        <v>18</v>
      </c>
      <c r="U13" s="702">
        <f t="shared" si="1"/>
        <v>100</v>
      </c>
      <c r="V13" s="701" t="s">
        <v>18</v>
      </c>
      <c r="W13" s="702">
        <f t="shared" si="2"/>
        <v>100</v>
      </c>
      <c r="X13" s="703"/>
      <c r="Y13" s="3554"/>
      <c r="Z13" s="52">
        <f t="shared" si="7"/>
        <v>111</v>
      </c>
      <c r="AA13" s="704">
        <f t="shared" si="3"/>
        <v>1</v>
      </c>
      <c r="AB13" s="704">
        <f t="shared" si="4"/>
        <v>1</v>
      </c>
      <c r="AC13" s="704">
        <f t="shared" si="5"/>
        <v>1</v>
      </c>
    </row>
    <row r="14" spans="1:29" ht="15.6"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6"/>
      <c r="Q14" s="1341">
        <f t="shared" si="6"/>
        <v>111</v>
      </c>
      <c r="R14" s="701" t="s">
        <v>18</v>
      </c>
      <c r="S14" s="702">
        <f t="shared" si="0"/>
        <v>100</v>
      </c>
      <c r="T14" s="701" t="s">
        <v>18</v>
      </c>
      <c r="U14" s="702">
        <f t="shared" si="1"/>
        <v>100</v>
      </c>
      <c r="V14" s="701" t="s">
        <v>18</v>
      </c>
      <c r="W14" s="702">
        <f t="shared" si="2"/>
        <v>100</v>
      </c>
      <c r="X14" s="703"/>
      <c r="Y14" s="3554"/>
      <c r="Z14" s="52">
        <f t="shared" si="7"/>
        <v>111</v>
      </c>
      <c r="AA14" s="704">
        <f t="shared" si="3"/>
        <v>1</v>
      </c>
      <c r="AB14" s="704">
        <f t="shared" si="4"/>
        <v>1</v>
      </c>
      <c r="AC14" s="704">
        <f t="shared" si="5"/>
        <v>1</v>
      </c>
    </row>
    <row r="15" spans="1:29" ht="96.6">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66" t="s">
        <v>1691</v>
      </c>
      <c r="Q15" s="1350" t="str">
        <f t="shared" si="6"/>
        <v>居住社区成熟度</v>
      </c>
      <c r="R15" s="705" t="s">
        <v>18</v>
      </c>
      <c r="S15" s="706">
        <f t="shared" si="0"/>
        <v>100</v>
      </c>
      <c r="T15" s="705" t="s">
        <v>18</v>
      </c>
      <c r="U15" s="706">
        <f t="shared" si="1"/>
        <v>100</v>
      </c>
      <c r="V15" s="705" t="s">
        <v>18</v>
      </c>
      <c r="W15" s="706">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67"/>
      <c r="Q16" s="1350"/>
      <c r="R16" s="705"/>
      <c r="S16" s="706"/>
      <c r="T16" s="705"/>
      <c r="U16" s="706"/>
      <c r="V16" s="705"/>
      <c r="W16" s="706"/>
      <c r="X16" s="1353"/>
      <c r="Y16" s="3669"/>
      <c r="Z16" s="1354"/>
      <c r="AA16" s="1351">
        <v>1</v>
      </c>
      <c r="AB16" s="1351">
        <v>1</v>
      </c>
      <c r="AC16" s="1351">
        <v>1</v>
      </c>
    </row>
    <row r="17" spans="1:29" ht="82.8">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67"/>
      <c r="Q17" s="1350" t="str">
        <f>B17</f>
        <v>交通便捷度</v>
      </c>
      <c r="R17" s="705" t="s">
        <v>18</v>
      </c>
      <c r="S17" s="706">
        <f>F17</f>
        <v>100</v>
      </c>
      <c r="T17" s="705" t="s">
        <v>18</v>
      </c>
      <c r="U17" s="706">
        <f>H17</f>
        <v>100</v>
      </c>
      <c r="V17" s="705" t="s">
        <v>18</v>
      </c>
      <c r="W17" s="706">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67"/>
      <c r="Q18" s="1350"/>
      <c r="R18" s="705"/>
      <c r="S18" s="706"/>
      <c r="T18" s="705"/>
      <c r="U18" s="706"/>
      <c r="V18" s="705"/>
      <c r="W18" s="706"/>
      <c r="X18" s="1353"/>
      <c r="Y18" s="3669"/>
      <c r="Z18" s="1354"/>
      <c r="AA18" s="1351">
        <v>1</v>
      </c>
      <c r="AB18" s="1351">
        <v>1</v>
      </c>
      <c r="AC18" s="1351">
        <v>1</v>
      </c>
    </row>
    <row r="19" spans="1:29" ht="41.4">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67"/>
      <c r="Q19" s="1350" t="str">
        <f>B19</f>
        <v>公共配套设施</v>
      </c>
      <c r="R19" s="705" t="s">
        <v>18</v>
      </c>
      <c r="S19" s="706">
        <f>F19</f>
        <v>100</v>
      </c>
      <c r="T19" s="705" t="s">
        <v>18</v>
      </c>
      <c r="U19" s="706">
        <f>H19</f>
        <v>100</v>
      </c>
      <c r="V19" s="705" t="s">
        <v>18</v>
      </c>
      <c r="W19" s="706">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67"/>
      <c r="Q20" s="1350"/>
      <c r="R20" s="705"/>
      <c r="S20" s="706"/>
      <c r="T20" s="705"/>
      <c r="U20" s="706"/>
      <c r="V20" s="705"/>
      <c r="W20" s="706"/>
      <c r="X20" s="1353"/>
      <c r="Y20" s="3669"/>
      <c r="Z20" s="1354"/>
      <c r="AA20" s="1351">
        <v>1</v>
      </c>
      <c r="AB20" s="1351">
        <v>1</v>
      </c>
      <c r="AC20" s="1351">
        <v>1</v>
      </c>
    </row>
    <row r="21" spans="1:29" ht="27.6">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67"/>
      <c r="Q21" s="1350" t="str">
        <f>B21</f>
        <v>基础设施水平</v>
      </c>
      <c r="R21" s="705" t="s">
        <v>14</v>
      </c>
      <c r="S21" s="706">
        <f>F21</f>
        <v>100</v>
      </c>
      <c r="T21" s="705" t="s">
        <v>14</v>
      </c>
      <c r="U21" s="706">
        <f>H21</f>
        <v>100</v>
      </c>
      <c r="V21" s="705" t="s">
        <v>14</v>
      </c>
      <c r="W21" s="706">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20"/>
      <c r="M22" s="2714"/>
      <c r="N22" s="2714"/>
      <c r="O22" s="2714"/>
      <c r="P22" s="3667"/>
      <c r="Q22" s="1350"/>
      <c r="R22" s="705"/>
      <c r="S22" s="706"/>
      <c r="T22" s="705"/>
      <c r="U22" s="706"/>
      <c r="V22" s="705"/>
      <c r="W22" s="706"/>
      <c r="X22" s="1353"/>
      <c r="Y22" s="3669"/>
      <c r="Z22" s="1354"/>
      <c r="AA22" s="1351">
        <v>1</v>
      </c>
      <c r="AB22" s="1351">
        <v>1</v>
      </c>
      <c r="AC22" s="1351">
        <v>1</v>
      </c>
    </row>
    <row r="23" spans="1:29" ht="55.2">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67"/>
      <c r="Q23" s="1350" t="str">
        <f>B23</f>
        <v>自然及人文环境</v>
      </c>
      <c r="R23" s="705" t="s">
        <v>18</v>
      </c>
      <c r="S23" s="706">
        <f>F23</f>
        <v>100</v>
      </c>
      <c r="T23" s="705" t="s">
        <v>18</v>
      </c>
      <c r="U23" s="706">
        <f>H23</f>
        <v>100</v>
      </c>
      <c r="V23" s="705" t="s">
        <v>18</v>
      </c>
      <c r="W23" s="706">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67"/>
      <c r="Q24" s="1350"/>
      <c r="R24" s="705"/>
      <c r="S24" s="706"/>
      <c r="T24" s="705"/>
      <c r="U24" s="706"/>
      <c r="V24" s="705"/>
      <c r="W24" s="706"/>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67"/>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67"/>
      <c r="Q26" s="1350" t="str">
        <f t="shared" si="11"/>
        <v>朝向</v>
      </c>
      <c r="R26" s="705" t="s">
        <v>18</v>
      </c>
      <c r="S26" s="706">
        <f t="shared" si="12"/>
        <v>100</v>
      </c>
      <c r="T26" s="705" t="s">
        <v>18</v>
      </c>
      <c r="U26" s="706">
        <f t="shared" si="13"/>
        <v>100</v>
      </c>
      <c r="V26" s="705" t="s">
        <v>18</v>
      </c>
      <c r="W26" s="706">
        <f t="shared" si="14"/>
        <v>100</v>
      </c>
      <c r="X26" s="1353"/>
      <c r="Y26" s="3669"/>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67"/>
      <c r="Q27" s="1341">
        <f t="shared" si="11"/>
        <v>111</v>
      </c>
      <c r="R27" s="701" t="s">
        <v>18</v>
      </c>
      <c r="S27" s="702">
        <f t="shared" si="12"/>
        <v>100</v>
      </c>
      <c r="T27" s="701" t="s">
        <v>18</v>
      </c>
      <c r="U27" s="702">
        <f t="shared" si="13"/>
        <v>100</v>
      </c>
      <c r="V27" s="701" t="s">
        <v>18</v>
      </c>
      <c r="W27" s="702">
        <f t="shared" si="14"/>
        <v>100</v>
      </c>
      <c r="X27" s="703"/>
      <c r="Y27" s="3669"/>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67"/>
      <c r="Q28" s="1350">
        <f t="shared" si="11"/>
        <v>111</v>
      </c>
      <c r="R28" s="705" t="s">
        <v>18</v>
      </c>
      <c r="S28" s="706">
        <f t="shared" si="12"/>
        <v>100</v>
      </c>
      <c r="T28" s="705" t="s">
        <v>18</v>
      </c>
      <c r="U28" s="706">
        <f t="shared" si="13"/>
        <v>100</v>
      </c>
      <c r="V28" s="705" t="s">
        <v>18</v>
      </c>
      <c r="W28" s="706">
        <f t="shared" si="14"/>
        <v>100</v>
      </c>
      <c r="X28" s="1353"/>
      <c r="Y28" s="3669"/>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67"/>
      <c r="Q29" s="1350">
        <f t="shared" si="11"/>
        <v>111</v>
      </c>
      <c r="R29" s="705" t="s">
        <v>18</v>
      </c>
      <c r="S29" s="706">
        <f t="shared" si="12"/>
        <v>100</v>
      </c>
      <c r="T29" s="705" t="s">
        <v>18</v>
      </c>
      <c r="U29" s="706">
        <f t="shared" si="13"/>
        <v>100</v>
      </c>
      <c r="V29" s="705" t="s">
        <v>18</v>
      </c>
      <c r="W29" s="706">
        <f t="shared" si="14"/>
        <v>100</v>
      </c>
      <c r="X29" s="1353"/>
      <c r="Y29" s="3669"/>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67"/>
      <c r="Q30" s="1350">
        <f t="shared" si="11"/>
        <v>111</v>
      </c>
      <c r="R30" s="705" t="s">
        <v>18</v>
      </c>
      <c r="S30" s="706">
        <f t="shared" si="12"/>
        <v>100</v>
      </c>
      <c r="T30" s="705" t="s">
        <v>18</v>
      </c>
      <c r="U30" s="706">
        <f t="shared" si="13"/>
        <v>100</v>
      </c>
      <c r="V30" s="705" t="s">
        <v>18</v>
      </c>
      <c r="W30" s="706">
        <f t="shared" si="14"/>
        <v>100</v>
      </c>
      <c r="X30" s="1353"/>
      <c r="Y30" s="3669"/>
      <c r="Z30" s="1354">
        <f t="shared" si="18"/>
        <v>111</v>
      </c>
      <c r="AA30" s="1351">
        <f t="shared" si="15"/>
        <v>1</v>
      </c>
      <c r="AB30" s="1351">
        <f t="shared" si="16"/>
        <v>1</v>
      </c>
      <c r="AC30" s="1351">
        <f t="shared" si="17"/>
        <v>1</v>
      </c>
    </row>
    <row r="31" spans="1:29" ht="15.6"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67"/>
      <c r="Q31" s="1350">
        <f t="shared" si="11"/>
        <v>111</v>
      </c>
      <c r="R31" s="705" t="s">
        <v>18</v>
      </c>
      <c r="S31" s="706">
        <f t="shared" si="12"/>
        <v>100</v>
      </c>
      <c r="T31" s="705" t="s">
        <v>18</v>
      </c>
      <c r="U31" s="706">
        <f t="shared" si="13"/>
        <v>100</v>
      </c>
      <c r="V31" s="705" t="s">
        <v>18</v>
      </c>
      <c r="W31" s="706">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5" t="s">
        <v>18</v>
      </c>
      <c r="S32" s="706">
        <f t="shared" si="12"/>
        <v>100</v>
      </c>
      <c r="T32" s="705" t="s">
        <v>18</v>
      </c>
      <c r="U32" s="706">
        <f t="shared" si="13"/>
        <v>100</v>
      </c>
      <c r="V32" s="705" t="s">
        <v>18</v>
      </c>
      <c r="W32" s="706">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5" t="s">
        <v>18</v>
      </c>
      <c r="S34" s="706">
        <f t="shared" si="12"/>
        <v>100</v>
      </c>
      <c r="T34" s="705" t="s">
        <v>18</v>
      </c>
      <c r="U34" s="706">
        <f t="shared" si="13"/>
        <v>100</v>
      </c>
      <c r="V34" s="705" t="s">
        <v>18</v>
      </c>
      <c r="W34" s="706">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5" t="s">
        <v>18</v>
      </c>
      <c r="S35" s="706">
        <f t="shared" si="12"/>
        <v>100</v>
      </c>
      <c r="T35" s="705" t="s">
        <v>18</v>
      </c>
      <c r="U35" s="706">
        <f t="shared" si="13"/>
        <v>100</v>
      </c>
      <c r="V35" s="705" t="s">
        <v>18</v>
      </c>
      <c r="W35" s="706">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5" t="s">
        <v>18</v>
      </c>
      <c r="S36" s="706">
        <f t="shared" si="12"/>
        <v>100</v>
      </c>
      <c r="T36" s="705" t="s">
        <v>18</v>
      </c>
      <c r="U36" s="706">
        <f t="shared" si="13"/>
        <v>100</v>
      </c>
      <c r="V36" s="705" t="s">
        <v>18</v>
      </c>
      <c r="W36" s="706">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5" t="s">
        <v>18</v>
      </c>
      <c r="S38" s="706">
        <f t="shared" si="12"/>
        <v>100</v>
      </c>
      <c r="T38" s="705" t="s">
        <v>18</v>
      </c>
      <c r="U38" s="706">
        <f t="shared" si="13"/>
        <v>100</v>
      </c>
      <c r="V38" s="705" t="s">
        <v>18</v>
      </c>
      <c r="W38" s="706">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5" t="s">
        <v>18</v>
      </c>
      <c r="S39" s="706">
        <f t="shared" si="12"/>
        <v>100</v>
      </c>
      <c r="T39" s="705" t="s">
        <v>18</v>
      </c>
      <c r="U39" s="706">
        <f t="shared" si="13"/>
        <v>100</v>
      </c>
      <c r="V39" s="705" t="s">
        <v>18</v>
      </c>
      <c r="W39" s="706">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5" t="s">
        <v>18</v>
      </c>
      <c r="S40" s="706">
        <f t="shared" si="12"/>
        <v>100</v>
      </c>
      <c r="T40" s="705" t="s">
        <v>18</v>
      </c>
      <c r="U40" s="706">
        <f t="shared" si="13"/>
        <v>100</v>
      </c>
      <c r="V40" s="705" t="s">
        <v>18</v>
      </c>
      <c r="W40" s="706">
        <f t="shared" si="14"/>
        <v>100</v>
      </c>
      <c r="X40" s="1353"/>
      <c r="Y40" s="3673"/>
      <c r="Z40" s="1354" t="str">
        <f t="shared" si="18"/>
        <v>房型</v>
      </c>
      <c r="AA40" s="1351">
        <f t="shared" si="15"/>
        <v>1</v>
      </c>
      <c r="AB40" s="1351">
        <f t="shared" si="16"/>
        <v>1</v>
      </c>
      <c r="AC40" s="1351">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5" t="s">
        <v>18</v>
      </c>
      <c r="S42" s="706">
        <f t="shared" si="12"/>
        <v>100</v>
      </c>
      <c r="T42" s="705" t="s">
        <v>18</v>
      </c>
      <c r="U42" s="706">
        <f t="shared" si="13"/>
        <v>100</v>
      </c>
      <c r="V42" s="705" t="s">
        <v>18</v>
      </c>
      <c r="W42" s="706">
        <f t="shared" si="14"/>
        <v>100</v>
      </c>
      <c r="X42" s="1353"/>
      <c r="Y42" s="3673"/>
      <c r="Z42" s="1354" t="str">
        <f t="shared" si="18"/>
        <v>内部装修</v>
      </c>
      <c r="AA42" s="1351">
        <f t="shared" si="15"/>
        <v>1</v>
      </c>
      <c r="AB42" s="1351">
        <f t="shared" si="16"/>
        <v>1</v>
      </c>
      <c r="AC42" s="1351">
        <f t="shared" si="17"/>
        <v>1</v>
      </c>
    </row>
    <row r="43" spans="1:29" ht="28.8">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5" t="s">
        <v>18</v>
      </c>
      <c r="S43" s="706">
        <f t="shared" si="12"/>
        <v>100</v>
      </c>
      <c r="T43" s="705" t="s">
        <v>18</v>
      </c>
      <c r="U43" s="706">
        <f t="shared" si="13"/>
        <v>100</v>
      </c>
      <c r="V43" s="705" t="s">
        <v>18</v>
      </c>
      <c r="W43" s="706">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5" t="s">
        <v>18</v>
      </c>
      <c r="S45" s="706">
        <f t="shared" si="12"/>
        <v>100</v>
      </c>
      <c r="T45" s="705" t="s">
        <v>18</v>
      </c>
      <c r="U45" s="706">
        <f t="shared" si="13"/>
        <v>100</v>
      </c>
      <c r="V45" s="705" t="s">
        <v>18</v>
      </c>
      <c r="W45" s="706">
        <f t="shared" si="14"/>
        <v>100</v>
      </c>
      <c r="X45" s="1353"/>
      <c r="Y45" s="3673"/>
      <c r="Z45" s="1354">
        <f t="shared" si="18"/>
        <v>111</v>
      </c>
      <c r="AA45" s="1351">
        <f t="shared" si="15"/>
        <v>1</v>
      </c>
      <c r="AB45" s="1351">
        <f t="shared" si="16"/>
        <v>1</v>
      </c>
      <c r="AC45" s="1351">
        <f t="shared" si="17"/>
        <v>1</v>
      </c>
    </row>
    <row r="46" spans="1:29" ht="15.6"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5" t="s">
        <v>17</v>
      </c>
      <c r="S46" s="706">
        <f t="shared" si="12"/>
        <v>100</v>
      </c>
      <c r="T46" s="705" t="s">
        <v>17</v>
      </c>
      <c r="U46" s="706">
        <f t="shared" si="13"/>
        <v>100</v>
      </c>
      <c r="V46" s="705" t="s">
        <v>17</v>
      </c>
      <c r="W46" s="706">
        <f t="shared" si="14"/>
        <v>100</v>
      </c>
      <c r="X46" s="1353"/>
      <c r="Y46" s="3674"/>
      <c r="Z46" s="1354">
        <f t="shared" si="18"/>
        <v>111</v>
      </c>
      <c r="AA46" s="1351">
        <f t="shared" si="15"/>
        <v>1</v>
      </c>
      <c r="AB46" s="1351">
        <f t="shared" si="16"/>
        <v>1</v>
      </c>
      <c r="AC46" s="1351">
        <f t="shared" si="17"/>
        <v>1</v>
      </c>
    </row>
    <row r="47" spans="1:29" ht="14.4">
      <c r="A47" s="430" t="s">
        <v>1708</v>
      </c>
      <c r="B47" s="431"/>
      <c r="C47" s="1153" t="s">
        <v>16</v>
      </c>
      <c r="D47" s="1154"/>
      <c r="E47" s="1155"/>
      <c r="F47" s="1156"/>
      <c r="G47" s="1157"/>
      <c r="H47" s="1158"/>
      <c r="I47" s="1155"/>
      <c r="J47" s="1158"/>
      <c r="K47" s="1912"/>
      <c r="L47" s="2722"/>
      <c r="M47" s="2723"/>
      <c r="N47" s="2714"/>
      <c r="O47" s="2723"/>
      <c r="P47" s="3661" t="str">
        <f>A47</f>
        <v>成交单价（元/平方米）</v>
      </c>
      <c r="Q47" s="3661"/>
      <c r="R47" s="3662">
        <f>E47</f>
        <v>0</v>
      </c>
      <c r="S47" s="3662"/>
      <c r="T47" s="3662">
        <f>G47</f>
        <v>0</v>
      </c>
      <c r="U47" s="3662"/>
      <c r="V47" s="3662">
        <f>I47</f>
        <v>0</v>
      </c>
      <c r="W47" s="3662"/>
      <c r="X47" s="690"/>
      <c r="Y47" s="712"/>
      <c r="Z47" s="690"/>
      <c r="AA47" s="690"/>
      <c r="AB47" s="690"/>
      <c r="AC47" s="690"/>
    </row>
    <row r="48" spans="1:29" ht="15" thickBot="1">
      <c r="A48" s="437" t="s">
        <v>1709</v>
      </c>
      <c r="B48" s="438"/>
      <c r="C48" s="1159" t="e">
        <f>R49</f>
        <v>#DIV/0!</v>
      </c>
      <c r="D48" s="2315" t="s">
        <v>2133</v>
      </c>
      <c r="E48" s="1160" t="e">
        <f>R48</f>
        <v>#DIV/0!</v>
      </c>
      <c r="F48" s="2316"/>
      <c r="G48" s="1159" t="e">
        <f>T48</f>
        <v>#DIV/0!</v>
      </c>
      <c r="H48" s="2316"/>
      <c r="I48" s="1160" t="e">
        <f>V48</f>
        <v>#DIV/0!</v>
      </c>
      <c r="J48" s="2316"/>
      <c r="K48" s="2317">
        <f>F48+H48+J48</f>
        <v>0</v>
      </c>
      <c r="L48" s="2722"/>
      <c r="M48" s="2723"/>
      <c r="N48" s="2723"/>
      <c r="O48" s="2723"/>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90"/>
      <c r="Y48" s="690"/>
      <c r="Z48" s="690"/>
      <c r="AA48" s="690"/>
      <c r="AB48" s="690"/>
      <c r="AC48" s="690"/>
    </row>
    <row r="49" spans="1:29" ht="15" thickBot="1">
      <c r="A49" s="441" t="s">
        <v>1710</v>
      </c>
      <c r="B49" s="442"/>
      <c r="C49" s="1161" t="e">
        <f>R49</f>
        <v>#DIV/0!</v>
      </c>
      <c r="D49" s="1162"/>
      <c r="E49" s="1162"/>
      <c r="F49" s="1162"/>
      <c r="G49" s="1162"/>
      <c r="H49" s="1162"/>
      <c r="I49" s="1162"/>
      <c r="J49" s="1162"/>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6"/>
      <c r="Q57" s="453"/>
    </row>
    <row r="58" spans="1:29" s="457" customFormat="1" ht="14.4">
      <c r="A58" s="454" t="s">
        <v>1715</v>
      </c>
      <c r="B58" s="455"/>
      <c r="C58" s="1185" t="str">
        <f>YEAR(C7)&amp;"-"&amp;MONTH(C7)</f>
        <v>2024-1</v>
      </c>
      <c r="D58" s="1184">
        <f>EDATE(C58,-1)</f>
        <v>45261</v>
      </c>
      <c r="E58" s="1184">
        <f>EDATE(D58,-1)</f>
        <v>45231</v>
      </c>
      <c r="F58" s="1184">
        <f t="shared" ref="F58:O58" si="19">EDATE(E58,-1)</f>
        <v>45200</v>
      </c>
      <c r="G58" s="1184">
        <f t="shared" si="19"/>
        <v>45170</v>
      </c>
      <c r="H58" s="1184">
        <f t="shared" si="19"/>
        <v>45139</v>
      </c>
      <c r="I58" s="1184">
        <f t="shared" si="19"/>
        <v>45108</v>
      </c>
      <c r="J58" s="1184">
        <f t="shared" si="19"/>
        <v>45078</v>
      </c>
      <c r="K58" s="1184">
        <f t="shared" si="19"/>
        <v>45047</v>
      </c>
      <c r="L58" s="1184">
        <f t="shared" si="19"/>
        <v>45017</v>
      </c>
      <c r="M58" s="1184">
        <f t="shared" si="19"/>
        <v>44986</v>
      </c>
      <c r="N58" s="1184">
        <f t="shared" si="19"/>
        <v>44958</v>
      </c>
      <c r="O58" s="1184">
        <f t="shared" si="19"/>
        <v>44927</v>
      </c>
      <c r="P58" s="1180"/>
    </row>
    <row r="59" spans="1:29" s="108" customFormat="1">
      <c r="A59" s="458"/>
      <c r="B59" s="1917"/>
      <c r="C59" s="1182">
        <v>100</v>
      </c>
      <c r="D59" s="460"/>
      <c r="E59" s="461"/>
      <c r="F59" s="461"/>
      <c r="G59" s="461"/>
      <c r="H59" s="461"/>
      <c r="I59" s="461"/>
      <c r="J59" s="461"/>
      <c r="K59" s="461"/>
      <c r="L59" s="461"/>
      <c r="M59" s="462"/>
      <c r="N59" s="461"/>
      <c r="O59" s="462"/>
      <c r="P59" s="1918"/>
    </row>
    <row r="60" spans="1:29" s="108" customFormat="1" ht="15" thickBot="1">
      <c r="A60" s="464" t="s">
        <v>1716</v>
      </c>
      <c r="B60" s="465"/>
      <c r="C60" s="466"/>
      <c r="D60" s="467"/>
      <c r="E60" s="467"/>
      <c r="F60" s="467"/>
      <c r="G60" s="467"/>
      <c r="H60" s="467"/>
      <c r="I60" s="467"/>
      <c r="J60" s="467"/>
      <c r="K60" s="467"/>
      <c r="L60" s="467"/>
      <c r="M60" s="468"/>
      <c r="N60" s="467"/>
      <c r="O60" s="468"/>
      <c r="P60" s="1918"/>
      <c r="Q60" s="453"/>
    </row>
    <row r="61" spans="1:29" s="108" customFormat="1" ht="14.4">
      <c r="A61" s="470" t="s">
        <v>1717</v>
      </c>
      <c r="B61" s="459"/>
      <c r="C61" s="471" t="s">
        <v>1718</v>
      </c>
      <c r="D61" s="472"/>
      <c r="E61" s="472"/>
      <c r="F61" s="472"/>
      <c r="G61" s="472"/>
      <c r="H61" s="472"/>
      <c r="I61" s="472"/>
      <c r="J61" s="472"/>
      <c r="K61" s="472"/>
      <c r="L61" s="473"/>
      <c r="M61" s="474"/>
      <c r="N61" s="932"/>
      <c r="O61" s="932"/>
      <c r="P61" s="1919"/>
      <c r="Q61" s="453"/>
    </row>
    <row r="62" spans="1:29" s="108" customFormat="1" ht="14.4" thickBot="1">
      <c r="A62" s="470"/>
      <c r="B62" s="459"/>
      <c r="C62" s="460">
        <v>100</v>
      </c>
      <c r="D62" s="461"/>
      <c r="E62" s="461"/>
      <c r="F62" s="461"/>
      <c r="G62" s="461"/>
      <c r="H62" s="461"/>
      <c r="I62" s="461"/>
      <c r="J62" s="461"/>
      <c r="K62" s="461"/>
      <c r="L62" s="461"/>
      <c r="M62" s="463"/>
      <c r="N62" s="932"/>
      <c r="O62" s="932"/>
      <c r="P62" s="1918"/>
      <c r="Q62" s="453"/>
    </row>
    <row r="63" spans="1:29" ht="14.4">
      <c r="A63" s="476" t="s">
        <v>1719</v>
      </c>
      <c r="B63" s="477" t="s">
        <v>1685</v>
      </c>
      <c r="C63" s="478">
        <f>C9</f>
        <v>0</v>
      </c>
      <c r="D63" s="479"/>
      <c r="E63" s="479"/>
      <c r="F63" s="479"/>
      <c r="G63" s="479"/>
      <c r="H63" s="479"/>
      <c r="I63" s="479"/>
      <c r="J63" s="479"/>
      <c r="K63" s="480"/>
      <c r="L63" s="481"/>
      <c r="M63" s="482"/>
      <c r="N63" s="933"/>
      <c r="O63" s="933"/>
      <c r="P63" s="1920"/>
      <c r="Q63" s="453"/>
    </row>
    <row r="64" spans="1:29" ht="14.4" thickBot="1">
      <c r="A64" s="483"/>
      <c r="B64" s="484"/>
      <c r="C64" s="485">
        <v>100</v>
      </c>
      <c r="D64" s="485"/>
      <c r="E64" s="485"/>
      <c r="F64" s="485"/>
      <c r="G64" s="485"/>
      <c r="H64" s="485"/>
      <c r="I64" s="485"/>
      <c r="J64" s="485"/>
      <c r="K64" s="485"/>
      <c r="L64" s="485"/>
      <c r="M64" s="486"/>
      <c r="N64" s="934"/>
      <c r="O64" s="934"/>
      <c r="P64" s="1920"/>
      <c r="Q64" s="453"/>
    </row>
    <row r="65" spans="1:17" ht="29.4" thickTop="1">
      <c r="A65" s="483"/>
      <c r="B65" s="487" t="s">
        <v>1688</v>
      </c>
      <c r="C65" s="532"/>
      <c r="D65" s="532"/>
      <c r="E65" s="532"/>
      <c r="F65" s="532"/>
      <c r="G65" s="532"/>
      <c r="H65" s="532"/>
      <c r="I65" s="532"/>
      <c r="J65" s="532"/>
      <c r="K65" s="532"/>
      <c r="L65" s="532"/>
      <c r="M65" s="532"/>
      <c r="N65" s="934"/>
      <c r="O65" s="934"/>
      <c r="P65" s="1920"/>
      <c r="Q65" s="453"/>
    </row>
    <row r="66" spans="1:17" ht="14.4" thickBot="1">
      <c r="A66" s="483"/>
      <c r="B66" s="492"/>
      <c r="C66" s="485"/>
      <c r="D66" s="485"/>
      <c r="E66" s="485"/>
      <c r="F66" s="485"/>
      <c r="G66" s="485"/>
      <c r="H66" s="485"/>
      <c r="I66" s="485"/>
      <c r="J66" s="485"/>
      <c r="K66" s="485"/>
      <c r="L66" s="485"/>
      <c r="M66" s="486"/>
      <c r="N66" s="934"/>
      <c r="O66" s="934"/>
      <c r="P66" s="1920"/>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c r="A68" s="483"/>
      <c r="B68" s="497"/>
      <c r="C68" s="498"/>
      <c r="D68" s="498"/>
      <c r="E68" s="498"/>
      <c r="F68" s="498"/>
      <c r="G68" s="498"/>
      <c r="H68" s="498"/>
      <c r="I68" s="498"/>
      <c r="J68" s="498"/>
      <c r="K68" s="499"/>
      <c r="L68" s="500"/>
      <c r="M68" s="501"/>
      <c r="N68" s="933"/>
      <c r="O68" s="933"/>
      <c r="P68" s="1920"/>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4.4" thickTop="1">
      <c r="A70" s="502"/>
      <c r="B70" s="487">
        <f>B12</f>
        <v>111</v>
      </c>
      <c r="C70" s="503"/>
      <c r="D70" s="503"/>
      <c r="E70" s="503"/>
      <c r="F70" s="503"/>
      <c r="G70" s="503"/>
      <c r="H70" s="504"/>
      <c r="I70" s="504"/>
      <c r="J70" s="504"/>
      <c r="K70" s="504"/>
      <c r="L70" s="505"/>
      <c r="M70" s="506"/>
      <c r="N70" s="935"/>
      <c r="O70" s="935"/>
      <c r="P70" s="1921"/>
      <c r="Q70" s="508"/>
    </row>
    <row r="71" spans="1:17" s="422" customFormat="1" ht="14.4" thickBot="1">
      <c r="A71" s="502"/>
      <c r="B71" s="492"/>
      <c r="C71" s="509"/>
      <c r="D71" s="485"/>
      <c r="E71" s="485"/>
      <c r="F71" s="485"/>
      <c r="G71" s="485"/>
      <c r="H71" s="485"/>
      <c r="I71" s="485"/>
      <c r="J71" s="485"/>
      <c r="K71" s="485"/>
      <c r="L71" s="485"/>
      <c r="M71" s="486"/>
      <c r="N71" s="934"/>
      <c r="O71" s="934"/>
      <c r="P71" s="1921"/>
      <c r="Q71" s="508"/>
    </row>
    <row r="72" spans="1:17" s="422" customFormat="1" ht="14.4" thickTop="1">
      <c r="A72" s="502"/>
      <c r="B72" s="487">
        <f>B13</f>
        <v>111</v>
      </c>
      <c r="C72" s="503"/>
      <c r="D72" s="503"/>
      <c r="E72" s="503"/>
      <c r="F72" s="503"/>
      <c r="G72" s="503"/>
      <c r="H72" s="504"/>
      <c r="I72" s="504"/>
      <c r="J72" s="504"/>
      <c r="K72" s="504"/>
      <c r="L72" s="505"/>
      <c r="M72" s="506"/>
      <c r="N72" s="935"/>
      <c r="O72" s="935"/>
      <c r="P72" s="1922"/>
      <c r="Q72" s="510"/>
    </row>
    <row r="73" spans="1:17" s="422" customFormat="1" ht="14.4" thickBot="1">
      <c r="A73" s="502"/>
      <c r="B73" s="492"/>
      <c r="C73" s="509"/>
      <c r="D73" s="509"/>
      <c r="E73" s="509"/>
      <c r="F73" s="509"/>
      <c r="G73" s="509"/>
      <c r="H73" s="511"/>
      <c r="I73" s="511"/>
      <c r="J73" s="511"/>
      <c r="K73" s="511"/>
      <c r="L73" s="511"/>
      <c r="M73" s="512"/>
      <c r="N73" s="935"/>
      <c r="O73" s="935"/>
      <c r="P73" s="1921"/>
      <c r="Q73" s="508"/>
    </row>
    <row r="74" spans="1:17" s="422" customFormat="1" ht="14.4" thickTop="1">
      <c r="A74" s="502"/>
      <c r="B74" s="495">
        <f>B14</f>
        <v>111</v>
      </c>
      <c r="C74" s="503"/>
      <c r="D74" s="503"/>
      <c r="E74" s="503"/>
      <c r="F74" s="503"/>
      <c r="G74" s="472"/>
      <c r="H74" s="513"/>
      <c r="I74" s="513"/>
      <c r="J74" s="513"/>
      <c r="K74" s="513"/>
      <c r="L74" s="514"/>
      <c r="M74" s="515"/>
      <c r="N74" s="935"/>
      <c r="O74" s="935"/>
      <c r="P74" s="1923"/>
      <c r="Q74" s="508"/>
    </row>
    <row r="75" spans="1:17" s="422" customFormat="1" ht="14.4" thickBot="1">
      <c r="A75" s="517"/>
      <c r="B75" s="518"/>
      <c r="C75" s="519"/>
      <c r="D75" s="519"/>
      <c r="E75" s="519"/>
      <c r="F75" s="519"/>
      <c r="G75" s="519"/>
      <c r="H75" s="520"/>
      <c r="I75" s="520"/>
      <c r="J75" s="520"/>
      <c r="K75" s="520"/>
      <c r="L75" s="520"/>
      <c r="M75" s="521"/>
      <c r="N75" s="935"/>
      <c r="O75" s="935"/>
      <c r="P75" s="1921"/>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 thickTop="1">
      <c r="A82" s="483"/>
      <c r="B82" s="495" t="s">
        <v>1260</v>
      </c>
      <c r="C82" s="488" t="s">
        <v>1728</v>
      </c>
      <c r="D82" s="488" t="s">
        <v>1729</v>
      </c>
      <c r="E82" s="488" t="s">
        <v>1730</v>
      </c>
      <c r="F82" s="488" t="s">
        <v>1731</v>
      </c>
      <c r="G82" s="488" t="s">
        <v>1732</v>
      </c>
      <c r="H82" s="488"/>
      <c r="I82" s="488"/>
      <c r="J82" s="488"/>
      <c r="K82" s="488"/>
      <c r="L82" s="488"/>
      <c r="M82" s="1128"/>
      <c r="N82" s="934"/>
      <c r="O82" s="934"/>
      <c r="P82" s="1920"/>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 thickTop="1">
      <c r="A86" s="528"/>
      <c r="B86" s="487" t="s">
        <v>1734</v>
      </c>
      <c r="C86" s="503"/>
      <c r="D86" s="503"/>
      <c r="E86" s="503"/>
      <c r="F86" s="503"/>
      <c r="G86" s="503"/>
      <c r="H86" s="503"/>
      <c r="I86" s="503"/>
      <c r="J86" s="503"/>
      <c r="K86" s="503"/>
      <c r="L86" s="529"/>
      <c r="M86" s="530"/>
      <c r="N86" s="932"/>
      <c r="O86" s="932"/>
      <c r="P86" s="1920"/>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 thickTop="1">
      <c r="A88" s="528"/>
      <c r="B88" s="487" t="s">
        <v>1735</v>
      </c>
      <c r="C88" s="503"/>
      <c r="D88" s="503"/>
      <c r="E88" s="503"/>
      <c r="F88" s="1925"/>
      <c r="G88" s="503"/>
      <c r="H88" s="503"/>
      <c r="I88" s="503"/>
      <c r="J88" s="503"/>
      <c r="K88" s="503"/>
      <c r="L88" s="503"/>
      <c r="M88" s="530"/>
      <c r="N88" s="932"/>
      <c r="O88" s="932"/>
      <c r="P88" s="1920"/>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4.4" thickTop="1">
      <c r="A90" s="502"/>
      <c r="B90" s="487">
        <f>B27</f>
        <v>111</v>
      </c>
      <c r="C90" s="503"/>
      <c r="D90" s="503"/>
      <c r="E90" s="503"/>
      <c r="F90" s="503"/>
      <c r="G90" s="503"/>
      <c r="H90" s="504"/>
      <c r="I90" s="504"/>
      <c r="J90" s="504"/>
      <c r="K90" s="504"/>
      <c r="L90" s="505"/>
      <c r="M90" s="506"/>
      <c r="N90" s="935"/>
      <c r="O90" s="935"/>
      <c r="P90" s="1921"/>
      <c r="Q90" s="508"/>
    </row>
    <row r="91" spans="1:17" s="422" customFormat="1" ht="14.4" thickBot="1">
      <c r="A91" s="502"/>
      <c r="B91" s="492"/>
      <c r="C91" s="509"/>
      <c r="D91" s="509"/>
      <c r="E91" s="509"/>
      <c r="F91" s="509"/>
      <c r="G91" s="509"/>
      <c r="H91" s="511"/>
      <c r="I91" s="511"/>
      <c r="J91" s="511"/>
      <c r="K91" s="511"/>
      <c r="L91" s="511"/>
      <c r="M91" s="512"/>
      <c r="N91" s="935"/>
      <c r="O91" s="935"/>
      <c r="P91" s="1921"/>
      <c r="Q91" s="508"/>
    </row>
    <row r="92" spans="1:17" ht="14.4" thickTop="1">
      <c r="A92" s="483"/>
      <c r="B92" s="487">
        <f>B28</f>
        <v>111</v>
      </c>
      <c r="C92" s="503"/>
      <c r="D92" s="503"/>
      <c r="E92" s="503"/>
      <c r="F92" s="503"/>
      <c r="G92" s="532"/>
      <c r="H92" s="532"/>
      <c r="I92" s="532"/>
      <c r="J92" s="532"/>
      <c r="K92" s="533"/>
      <c r="L92" s="534"/>
      <c r="M92" s="535"/>
      <c r="N92" s="933"/>
      <c r="O92" s="933"/>
      <c r="P92" s="1920"/>
      <c r="Q92" s="453"/>
    </row>
    <row r="93" spans="1:17" ht="14.4" thickBot="1">
      <c r="A93" s="483"/>
      <c r="B93" s="492"/>
      <c r="C93" s="509"/>
      <c r="D93" s="485"/>
      <c r="E93" s="485"/>
      <c r="F93" s="485"/>
      <c r="G93" s="485"/>
      <c r="H93" s="485"/>
      <c r="I93" s="485"/>
      <c r="J93" s="485"/>
      <c r="K93" s="485"/>
      <c r="L93" s="485"/>
      <c r="M93" s="486"/>
      <c r="N93" s="934"/>
      <c r="O93" s="934"/>
      <c r="P93" s="1920"/>
      <c r="Q93" s="453"/>
    </row>
    <row r="94" spans="1:17" ht="14.4" thickTop="1">
      <c r="A94" s="483"/>
      <c r="B94" s="487">
        <f>B29</f>
        <v>111</v>
      </c>
      <c r="C94" s="503"/>
      <c r="D94" s="503"/>
      <c r="E94" s="503"/>
      <c r="F94" s="503"/>
      <c r="G94" s="532"/>
      <c r="H94" s="532"/>
      <c r="I94" s="532"/>
      <c r="J94" s="532"/>
      <c r="K94" s="533"/>
      <c r="L94" s="534"/>
      <c r="M94" s="535"/>
      <c r="N94" s="933"/>
      <c r="O94" s="933"/>
      <c r="P94" s="1920"/>
      <c r="Q94" s="453"/>
    </row>
    <row r="95" spans="1:17" ht="14.4" thickBot="1">
      <c r="A95" s="483"/>
      <c r="B95" s="492"/>
      <c r="C95" s="509"/>
      <c r="D95" s="509"/>
      <c r="E95" s="509"/>
      <c r="F95" s="509"/>
      <c r="G95" s="485"/>
      <c r="H95" s="485"/>
      <c r="I95" s="485"/>
      <c r="J95" s="485"/>
      <c r="K95" s="485"/>
      <c r="L95" s="485"/>
      <c r="M95" s="486"/>
      <c r="N95" s="934"/>
      <c r="O95" s="934"/>
      <c r="P95" s="1920"/>
      <c r="Q95" s="453"/>
    </row>
    <row r="96" spans="1:17" ht="14.4" thickTop="1">
      <c r="A96" s="483"/>
      <c r="B96" s="487">
        <f>B30</f>
        <v>111</v>
      </c>
      <c r="C96" s="503"/>
      <c r="D96" s="503"/>
      <c r="E96" s="503"/>
      <c r="F96" s="503"/>
      <c r="G96" s="532"/>
      <c r="H96" s="532"/>
      <c r="I96" s="532"/>
      <c r="J96" s="532"/>
      <c r="K96" s="533"/>
      <c r="L96" s="534"/>
      <c r="M96" s="535"/>
      <c r="N96" s="933"/>
      <c r="O96" s="933"/>
      <c r="P96" s="1920"/>
      <c r="Q96" s="453"/>
    </row>
    <row r="97" spans="1:17" ht="14.4" thickBot="1">
      <c r="A97" s="483"/>
      <c r="B97" s="492"/>
      <c r="C97" s="519"/>
      <c r="D97" s="519"/>
      <c r="E97" s="519"/>
      <c r="F97" s="519"/>
      <c r="G97" s="485"/>
      <c r="H97" s="485"/>
      <c r="I97" s="485"/>
      <c r="J97" s="485"/>
      <c r="K97" s="485"/>
      <c r="L97" s="485"/>
      <c r="M97" s="486"/>
      <c r="N97" s="934"/>
      <c r="O97" s="934"/>
      <c r="P97" s="1920"/>
      <c r="Q97" s="453"/>
    </row>
    <row r="98" spans="1:17" ht="14.4" thickTop="1">
      <c r="A98" s="483"/>
      <c r="B98" s="495">
        <f>B31</f>
        <v>111</v>
      </c>
      <c r="C98" s="536"/>
      <c r="D98" s="536"/>
      <c r="E98" s="536"/>
      <c r="F98" s="536"/>
      <c r="G98" s="536"/>
      <c r="H98" s="536"/>
      <c r="I98" s="536"/>
      <c r="J98" s="536"/>
      <c r="K98" s="537"/>
      <c r="L98" s="538"/>
      <c r="M98" s="539"/>
      <c r="N98" s="933"/>
      <c r="O98" s="933"/>
      <c r="P98" s="1920"/>
      <c r="Q98" s="453"/>
    </row>
    <row r="99" spans="1:17" ht="14.4" thickBot="1">
      <c r="A99" s="1926"/>
      <c r="B99" s="518"/>
      <c r="C99" s="540"/>
      <c r="D99" s="540"/>
      <c r="E99" s="540"/>
      <c r="F99" s="540"/>
      <c r="G99" s="540"/>
      <c r="H99" s="540"/>
      <c r="I99" s="540"/>
      <c r="J99" s="540"/>
      <c r="K99" s="540"/>
      <c r="L99" s="540"/>
      <c r="M99" s="541"/>
      <c r="N99" s="934"/>
      <c r="O99" s="934"/>
      <c r="P99" s="1920"/>
      <c r="Q99" s="453"/>
    </row>
    <row r="100" spans="1:17" ht="14.4">
      <c r="A100" s="476" t="s">
        <v>1694</v>
      </c>
      <c r="B100" s="477" t="s">
        <v>1736</v>
      </c>
      <c r="C100" s="479"/>
      <c r="D100" s="479"/>
      <c r="E100" s="479"/>
      <c r="F100" s="479"/>
      <c r="G100" s="479"/>
      <c r="H100" s="479"/>
      <c r="I100" s="479"/>
      <c r="J100" s="479"/>
      <c r="K100" s="480"/>
      <c r="L100" s="481"/>
      <c r="M100" s="482"/>
      <c r="N100" s="933"/>
      <c r="O100" s="933"/>
      <c r="P100" s="1920"/>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4.4"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4.4"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4.4" thickBot="1">
      <c r="A127" s="502"/>
      <c r="B127" s="492"/>
      <c r="C127" s="509"/>
      <c r="D127" s="485"/>
      <c r="E127" s="485"/>
      <c r="F127" s="485"/>
      <c r="G127" s="509"/>
      <c r="H127" s="511"/>
      <c r="I127" s="511"/>
      <c r="J127" s="511"/>
      <c r="K127" s="511"/>
      <c r="L127" s="511"/>
      <c r="M127" s="512"/>
      <c r="N127" s="935"/>
      <c r="O127" s="935"/>
      <c r="P127" s="1921"/>
      <c r="Q127" s="508"/>
    </row>
    <row r="128" spans="1:17" ht="14.4" thickTop="1">
      <c r="A128" s="548"/>
      <c r="B128" s="487">
        <f>B45</f>
        <v>111</v>
      </c>
      <c r="C128" s="503"/>
      <c r="D128" s="503"/>
      <c r="E128" s="503"/>
      <c r="F128" s="503"/>
      <c r="G128" s="532"/>
      <c r="H128" s="532"/>
      <c r="I128" s="532"/>
      <c r="J128" s="532"/>
      <c r="K128" s="533"/>
      <c r="L128" s="534"/>
      <c r="M128" s="535"/>
      <c r="N128" s="933"/>
      <c r="O128" s="933"/>
      <c r="P128" s="1920"/>
      <c r="Q128" s="453"/>
    </row>
    <row r="129" spans="1:17" ht="14.4" thickBot="1">
      <c r="A129" s="483"/>
      <c r="B129" s="492"/>
      <c r="C129" s="509"/>
      <c r="D129" s="509"/>
      <c r="E129" s="509"/>
      <c r="F129" s="509"/>
      <c r="G129" s="485"/>
      <c r="H129" s="485"/>
      <c r="I129" s="485"/>
      <c r="J129" s="485"/>
      <c r="K129" s="485"/>
      <c r="L129" s="485"/>
      <c r="M129" s="486"/>
      <c r="N129" s="934"/>
      <c r="O129" s="934"/>
      <c r="P129" s="1920"/>
      <c r="Q129" s="453"/>
    </row>
    <row r="130" spans="1:17" ht="14.4" thickTop="1">
      <c r="A130" s="548"/>
      <c r="B130" s="495">
        <f>B46</f>
        <v>111</v>
      </c>
      <c r="C130" s="503"/>
      <c r="D130" s="503"/>
      <c r="E130" s="503"/>
      <c r="F130" s="503"/>
      <c r="G130" s="536"/>
      <c r="H130" s="536"/>
      <c r="I130" s="536"/>
      <c r="J130" s="536"/>
      <c r="K130" s="472"/>
      <c r="L130" s="473"/>
      <c r="M130" s="539"/>
      <c r="N130" s="933"/>
      <c r="O130" s="933"/>
      <c r="P130" s="1920"/>
      <c r="Q130" s="453"/>
    </row>
    <row r="131" spans="1:17" ht="14.4"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6.2"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5" customWidth="1"/>
    <col min="2" max="16384" width="9" style="1475"/>
  </cols>
  <sheetData>
    <row r="1" spans="1:1" ht="22.8">
      <c r="A1" s="1474" t="s">
        <v>898</v>
      </c>
    </row>
    <row r="2" spans="1:1">
      <c r="A2" s="1476"/>
    </row>
    <row r="3" spans="1:1" ht="17.399999999999999">
      <c r="A3" s="1477" t="str">
        <f>项目基本情况!B5&amp;"："</f>
        <v>：</v>
      </c>
    </row>
    <row r="4" spans="1:1" ht="17.399999999999999">
      <c r="A4" s="1478" t="str">
        <f>"受贵公司委托，我公司对"&amp;项目基本情况!S1&amp;"进行了预评估。"</f>
        <v>受贵公司委托，我公司对北京市房地产抵押价值进行了预评估。</v>
      </c>
    </row>
    <row r="5" spans="1:1" ht="17.399999999999999">
      <c r="A5" s="1479" t="s">
        <v>899</v>
      </c>
    </row>
    <row r="6" spans="1:1" ht="17.399999999999999">
      <c r="A6" s="1480" t="s">
        <v>900</v>
      </c>
    </row>
    <row r="7" spans="1:1" ht="52.2">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估价对象为北京市房地产，为所有。根据《国有土地使用证》[]，估价对象（分摊）出让国有建设用地使用权面积为0平方米，建筑面积为87.01平方米。</v>
      </c>
    </row>
    <row r="8" spans="1:1" ht="54.6">
      <c r="A8" s="1481" t="s">
        <v>901</v>
      </c>
    </row>
    <row r="9" spans="1:1" ht="17.399999999999999">
      <c r="A9" s="1480" t="s">
        <v>902</v>
      </c>
    </row>
    <row r="10" spans="1:1" ht="52.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估价对象为北京市房地产,属开发建设的商业项目，该项目尚在开发建设中。根据《国有土地使用证》[]，估价对象（分摊）出让国有建设用地使用权面积为0平方米，规划建筑面积为87.01平方米。</v>
      </c>
    </row>
    <row r="11" spans="1:1" ht="72">
      <c r="A11" s="1481" t="s">
        <v>903</v>
      </c>
    </row>
    <row r="12" spans="1:1" ht="17.399999999999999">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3" t="s">
        <v>905</v>
      </c>
    </row>
    <row r="15" spans="1:1" ht="17.399999999999999">
      <c r="A15" s="1484" t="str">
        <f>TEXT(项目基本情况!D3,"yyyy年m月d日;;")&amp;IF(项目基本情况!D3=项目基本情况!B3,"（评估专业人员实地查勘之日）","")</f>
        <v>2024年1月31日（评估专业人员实地查勘之日）</v>
      </c>
    </row>
    <row r="16" spans="1:1" ht="17.399999999999999">
      <c r="A16" s="1483" t="s">
        <v>906</v>
      </c>
    </row>
    <row r="17" spans="1:1" ht="69.599999999999994">
      <c r="A17" s="1478" t="s">
        <v>907</v>
      </c>
    </row>
    <row r="18" spans="1:1" ht="69.59999999999999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3" t="s">
        <v>896</v>
      </c>
    </row>
    <row r="24" spans="1:1" ht="17.399999999999999">
      <c r="A24" s="1485" t="str">
        <f>"本次评估采用的主估价方法为"&amp;结果表!K4&amp;"和"&amp;结果表!L4&amp;"。"</f>
        <v>本次评估采用的主估价方法为比较法和收益法。</v>
      </c>
    </row>
    <row r="25" spans="1:1" ht="17.399999999999999">
      <c r="A25" s="1485"/>
    </row>
    <row r="26" spans="1:1" ht="17.399999999999999">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5" t="s">
        <v>1810</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87.01</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680" t="s">
        <v>1770</v>
      </c>
      <c r="D4" s="3681"/>
      <c r="E4" s="3682" t="s">
        <v>1771</v>
      </c>
      <c r="F4" s="3683"/>
      <c r="G4" s="3680" t="s">
        <v>1772</v>
      </c>
      <c r="H4" s="3681"/>
      <c r="I4" s="3680" t="s">
        <v>1773</v>
      </c>
      <c r="J4" s="3681"/>
      <c r="K4" s="559" t="s">
        <v>1774</v>
      </c>
      <c r="L4" s="2713"/>
      <c r="M4" s="2714"/>
      <c r="N4" s="2714"/>
      <c r="O4" s="2714"/>
      <c r="P4" s="3736" t="s">
        <v>1775</v>
      </c>
      <c r="Q4" s="3737"/>
      <c r="R4" s="3740" t="s">
        <v>1771</v>
      </c>
      <c r="S4" s="3741"/>
      <c r="T4" s="3740" t="s">
        <v>1772</v>
      </c>
      <c r="U4" s="3741"/>
      <c r="V4" s="3742" t="s">
        <v>1773</v>
      </c>
      <c r="W4" s="3742"/>
      <c r="X4" s="1956"/>
      <c r="Y4" s="3740" t="s">
        <v>1775</v>
      </c>
      <c r="Z4" s="3741"/>
      <c r="AA4" s="3744" t="s">
        <v>1771</v>
      </c>
      <c r="AB4" s="3744" t="s">
        <v>1772</v>
      </c>
      <c r="AC4" s="3733" t="s">
        <v>1773</v>
      </c>
    </row>
    <row r="5" spans="1:29">
      <c r="A5" s="358"/>
      <c r="B5" s="359"/>
      <c r="C5" s="3698" t="s">
        <v>1673</v>
      </c>
      <c r="D5" s="3699"/>
      <c r="E5" s="3729" t="s">
        <v>1674</v>
      </c>
      <c r="F5" s="3707"/>
      <c r="G5" s="3698" t="s">
        <v>1675</v>
      </c>
      <c r="H5" s="3699"/>
      <c r="I5" s="3698" t="s">
        <v>1676</v>
      </c>
      <c r="J5" s="3699"/>
      <c r="K5" s="559"/>
      <c r="L5" s="2713"/>
      <c r="M5" s="2714"/>
      <c r="N5" s="2714"/>
      <c r="O5" s="2714"/>
      <c r="P5" s="3738"/>
      <c r="Q5" s="3687"/>
      <c r="R5" s="3692"/>
      <c r="S5" s="3693"/>
      <c r="T5" s="3692"/>
      <c r="U5" s="3693"/>
      <c r="V5" s="3675"/>
      <c r="W5" s="3675"/>
      <c r="X5" s="1353"/>
      <c r="Y5" s="3692"/>
      <c r="Z5" s="3693"/>
      <c r="AA5" s="3678"/>
      <c r="AB5" s="3678"/>
      <c r="AC5" s="3734"/>
    </row>
    <row r="6" spans="1:29" ht="15" thickBot="1">
      <c r="A6" s="360"/>
      <c r="B6" s="361"/>
      <c r="C6" s="3696" t="s">
        <v>1677</v>
      </c>
      <c r="D6" s="3697"/>
      <c r="E6" s="3704" t="s">
        <v>1677</v>
      </c>
      <c r="F6" s="3705"/>
      <c r="G6" s="3696" t="s">
        <v>1677</v>
      </c>
      <c r="H6" s="3697"/>
      <c r="I6" s="3696" t="s">
        <v>1677</v>
      </c>
      <c r="J6" s="3697"/>
      <c r="K6" s="559" t="s">
        <v>1678</v>
      </c>
      <c r="L6" s="2713"/>
      <c r="M6" s="2714"/>
      <c r="N6" s="2714"/>
      <c r="O6" s="2714"/>
      <c r="P6" s="3739"/>
      <c r="Q6" s="3689"/>
      <c r="R6" s="3692"/>
      <c r="S6" s="3693"/>
      <c r="T6" s="3694"/>
      <c r="U6" s="3695"/>
      <c r="V6" s="3675"/>
      <c r="W6" s="3675"/>
      <c r="X6" s="1353"/>
      <c r="Y6" s="3694"/>
      <c r="Z6" s="3695"/>
      <c r="AA6" s="3679"/>
      <c r="AB6" s="3679"/>
      <c r="AC6" s="3735"/>
    </row>
    <row r="7" spans="1:29" s="108" customFormat="1" ht="15" thickBot="1">
      <c r="A7" s="362" t="s">
        <v>1679</v>
      </c>
      <c r="B7" s="363"/>
      <c r="C7" s="364">
        <f>'数据-取费表'!B2</f>
        <v>45322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3"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7"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3"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7">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6" t="s">
        <v>1686</v>
      </c>
      <c r="Q9" s="1341"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1957">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6"/>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6"/>
      <c r="Q11" s="1341"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6"/>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6"/>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1957">
        <f t="shared" si="5"/>
        <v>1</v>
      </c>
    </row>
    <row r="14" spans="1:29" ht="15.6"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6"/>
      <c r="Q14" s="1341">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1957">
        <f t="shared" si="5"/>
        <v>1</v>
      </c>
    </row>
    <row r="15" spans="1:29" ht="69">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66" t="s">
        <v>1691</v>
      </c>
      <c r="Q15" s="1350" t="str">
        <f t="shared" si="6"/>
        <v>办公集聚程度</v>
      </c>
      <c r="R15" s="705" t="s">
        <v>14</v>
      </c>
      <c r="S15" s="706">
        <f t="shared" si="0"/>
        <v>100</v>
      </c>
      <c r="T15" s="705" t="s">
        <v>14</v>
      </c>
      <c r="U15" s="706">
        <f t="shared" si="1"/>
        <v>100</v>
      </c>
      <c r="V15" s="705" t="s">
        <v>14</v>
      </c>
      <c r="W15" s="706">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67"/>
      <c r="Q16" s="1350"/>
      <c r="R16" s="705"/>
      <c r="S16" s="706"/>
      <c r="T16" s="705"/>
      <c r="U16" s="706"/>
      <c r="V16" s="705"/>
      <c r="W16" s="706"/>
      <c r="X16" s="1353"/>
      <c r="Y16" s="3669"/>
      <c r="Z16" s="1354"/>
      <c r="AA16" s="1351">
        <v>1</v>
      </c>
      <c r="AB16" s="1351">
        <v>1</v>
      </c>
      <c r="AC16" s="1960">
        <v>1</v>
      </c>
    </row>
    <row r="17" spans="1:29" ht="82.8">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67"/>
      <c r="Q17" s="1350" t="str">
        <f>B17</f>
        <v>交通便捷度</v>
      </c>
      <c r="R17" s="705" t="s">
        <v>14</v>
      </c>
      <c r="S17" s="706">
        <f>F17</f>
        <v>100</v>
      </c>
      <c r="T17" s="705" t="s">
        <v>14</v>
      </c>
      <c r="U17" s="706">
        <f>H17</f>
        <v>100</v>
      </c>
      <c r="V17" s="705" t="s">
        <v>14</v>
      </c>
      <c r="W17" s="706">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67"/>
      <c r="Q18" s="1350"/>
      <c r="R18" s="705"/>
      <c r="S18" s="706"/>
      <c r="T18" s="705"/>
      <c r="U18" s="706"/>
      <c r="V18" s="705"/>
      <c r="W18" s="706"/>
      <c r="X18" s="1353"/>
      <c r="Y18" s="3669"/>
      <c r="Z18" s="1354"/>
      <c r="AA18" s="1351">
        <v>1</v>
      </c>
      <c r="AB18" s="1351">
        <v>1</v>
      </c>
      <c r="AC18" s="1960">
        <v>1</v>
      </c>
    </row>
    <row r="19" spans="1:29" ht="41.4">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67"/>
      <c r="Q19" s="1350" t="str">
        <f>B19</f>
        <v>公共配套设施</v>
      </c>
      <c r="R19" s="705" t="s">
        <v>14</v>
      </c>
      <c r="S19" s="706">
        <f>F19</f>
        <v>100</v>
      </c>
      <c r="T19" s="705" t="s">
        <v>14</v>
      </c>
      <c r="U19" s="706">
        <f>H19</f>
        <v>100</v>
      </c>
      <c r="V19" s="705" t="s">
        <v>14</v>
      </c>
      <c r="W19" s="706">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67"/>
      <c r="Q20" s="1350"/>
      <c r="R20" s="705"/>
      <c r="S20" s="706"/>
      <c r="T20" s="705"/>
      <c r="U20" s="706"/>
      <c r="V20" s="705"/>
      <c r="W20" s="706"/>
      <c r="X20" s="1353"/>
      <c r="Y20" s="3669"/>
      <c r="Z20" s="1354"/>
      <c r="AA20" s="1351">
        <v>1</v>
      </c>
      <c r="AB20" s="1351">
        <v>1</v>
      </c>
      <c r="AC20" s="1960">
        <v>1</v>
      </c>
    </row>
    <row r="21" spans="1:29" ht="27.6">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67"/>
      <c r="Q21" s="1350" t="str">
        <f>B21</f>
        <v>基础设施水平</v>
      </c>
      <c r="R21" s="705" t="s">
        <v>14</v>
      </c>
      <c r="S21" s="706">
        <f>F21</f>
        <v>100</v>
      </c>
      <c r="T21" s="705" t="s">
        <v>14</v>
      </c>
      <c r="U21" s="706">
        <f>H21</f>
        <v>100</v>
      </c>
      <c r="V21" s="705" t="s">
        <v>14</v>
      </c>
      <c r="W21" s="706">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9"/>
      <c r="L22" s="2720"/>
      <c r="M22" s="2714"/>
      <c r="N22" s="2714"/>
      <c r="O22" s="2714"/>
      <c r="P22" s="3667"/>
      <c r="Q22" s="1350"/>
      <c r="R22" s="705"/>
      <c r="S22" s="706"/>
      <c r="T22" s="705"/>
      <c r="U22" s="706"/>
      <c r="V22" s="705"/>
      <c r="W22" s="706"/>
      <c r="X22" s="1353"/>
      <c r="Y22" s="3669"/>
      <c r="Z22" s="1354"/>
      <c r="AA22" s="1351">
        <v>1</v>
      </c>
      <c r="AB22" s="1351">
        <v>1</v>
      </c>
      <c r="AC22" s="1960">
        <v>1</v>
      </c>
    </row>
    <row r="23" spans="1:29" ht="55.2">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67"/>
      <c r="Q23" s="1350" t="str">
        <f>B23</f>
        <v>环境质量</v>
      </c>
      <c r="R23" s="705" t="s">
        <v>14</v>
      </c>
      <c r="S23" s="706">
        <f>F23</f>
        <v>100</v>
      </c>
      <c r="T23" s="705" t="s">
        <v>14</v>
      </c>
      <c r="U23" s="706">
        <f>H23</f>
        <v>100</v>
      </c>
      <c r="V23" s="705" t="s">
        <v>14</v>
      </c>
      <c r="W23" s="706">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67"/>
      <c r="Q24" s="1350"/>
      <c r="R24" s="705"/>
      <c r="S24" s="706"/>
      <c r="T24" s="705"/>
      <c r="U24" s="706"/>
      <c r="V24" s="705"/>
      <c r="W24" s="706"/>
      <c r="X24" s="1353"/>
      <c r="Y24" s="3669"/>
      <c r="Z24" s="1354"/>
      <c r="AA24" s="1351">
        <v>1</v>
      </c>
      <c r="AB24" s="1351">
        <v>1</v>
      </c>
      <c r="AC24" s="1960">
        <v>1</v>
      </c>
    </row>
    <row r="25" spans="1:29" ht="28.8">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67"/>
      <c r="Q25" s="1350" t="str">
        <f>B25</f>
        <v>毗邻道路的类型与等级</v>
      </c>
      <c r="R25" s="705" t="s">
        <v>14</v>
      </c>
      <c r="S25" s="706">
        <f>F25</f>
        <v>100</v>
      </c>
      <c r="T25" s="705" t="s">
        <v>14</v>
      </c>
      <c r="U25" s="706">
        <f>H25</f>
        <v>100</v>
      </c>
      <c r="V25" s="705" t="s">
        <v>14</v>
      </c>
      <c r="W25" s="706">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67"/>
      <c r="Q26" s="1350"/>
      <c r="R26" s="705"/>
      <c r="S26" s="706"/>
      <c r="T26" s="705"/>
      <c r="U26" s="706"/>
      <c r="V26" s="705"/>
      <c r="W26" s="706"/>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67"/>
      <c r="Q27" s="1350" t="str">
        <f t="shared" ref="Q27:Q47" si="11">B27</f>
        <v>楼层</v>
      </c>
      <c r="R27" s="705" t="s">
        <v>14</v>
      </c>
      <c r="S27" s="706">
        <f>F27</f>
        <v>100</v>
      </c>
      <c r="T27" s="705" t="s">
        <v>14</v>
      </c>
      <c r="U27" s="706">
        <f>H27</f>
        <v>100</v>
      </c>
      <c r="V27" s="705" t="s">
        <v>14</v>
      </c>
      <c r="W27" s="706">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67"/>
      <c r="Q28" s="1341" t="str">
        <f t="shared" si="11"/>
        <v>朝向</v>
      </c>
      <c r="R28" s="701" t="s">
        <v>14</v>
      </c>
      <c r="S28" s="702">
        <f>F28</f>
        <v>100</v>
      </c>
      <c r="T28" s="701" t="s">
        <v>14</v>
      </c>
      <c r="U28" s="702">
        <f>H28</f>
        <v>100</v>
      </c>
      <c r="V28" s="701" t="s">
        <v>14</v>
      </c>
      <c r="W28" s="702">
        <f>J28</f>
        <v>100</v>
      </c>
      <c r="X28" s="703"/>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67"/>
      <c r="Q29" s="1350">
        <f t="shared" si="11"/>
        <v>111</v>
      </c>
      <c r="R29" s="705" t="s">
        <v>14</v>
      </c>
      <c r="S29" s="706">
        <f t="shared" ref="S29:S47" si="12">F29</f>
        <v>100</v>
      </c>
      <c r="T29" s="705" t="s">
        <v>14</v>
      </c>
      <c r="U29" s="706">
        <f t="shared" ref="U29:U47" si="13">H29</f>
        <v>100</v>
      </c>
      <c r="V29" s="705" t="s">
        <v>14</v>
      </c>
      <c r="W29" s="706">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67"/>
      <c r="Q30" s="1350">
        <f t="shared" si="11"/>
        <v>111</v>
      </c>
      <c r="R30" s="705" t="s">
        <v>14</v>
      </c>
      <c r="S30" s="706">
        <f t="shared" si="12"/>
        <v>100</v>
      </c>
      <c r="T30" s="705" t="s">
        <v>14</v>
      </c>
      <c r="U30" s="706">
        <f t="shared" si="13"/>
        <v>100</v>
      </c>
      <c r="V30" s="705" t="s">
        <v>14</v>
      </c>
      <c r="W30" s="706">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67"/>
      <c r="Q31" s="1350">
        <f t="shared" si="11"/>
        <v>111</v>
      </c>
      <c r="R31" s="705" t="s">
        <v>14</v>
      </c>
      <c r="S31" s="706">
        <f t="shared" si="12"/>
        <v>100</v>
      </c>
      <c r="T31" s="705" t="s">
        <v>14</v>
      </c>
      <c r="U31" s="706">
        <f t="shared" si="13"/>
        <v>100</v>
      </c>
      <c r="V31" s="705" t="s">
        <v>14</v>
      </c>
      <c r="W31" s="706">
        <f t="shared" si="14"/>
        <v>100</v>
      </c>
      <c r="X31" s="1353"/>
      <c r="Y31" s="3669"/>
      <c r="Z31" s="1354">
        <f t="shared" si="15"/>
        <v>111</v>
      </c>
      <c r="AA31" s="1351">
        <f t="shared" si="3"/>
        <v>1</v>
      </c>
      <c r="AB31" s="1351">
        <f t="shared" si="4"/>
        <v>1</v>
      </c>
      <c r="AC31" s="1960">
        <f t="shared" si="5"/>
        <v>1</v>
      </c>
    </row>
    <row r="32" spans="1:29" ht="15.6"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67"/>
      <c r="Q32" s="1350">
        <f t="shared" si="11"/>
        <v>111</v>
      </c>
      <c r="R32" s="705" t="s">
        <v>14</v>
      </c>
      <c r="S32" s="706">
        <f t="shared" si="12"/>
        <v>100</v>
      </c>
      <c r="T32" s="705" t="s">
        <v>14</v>
      </c>
      <c r="U32" s="706">
        <f t="shared" si="13"/>
        <v>100</v>
      </c>
      <c r="V32" s="705" t="s">
        <v>14</v>
      </c>
      <c r="W32" s="706">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5" t="s">
        <v>14</v>
      </c>
      <c r="S33" s="706">
        <f t="shared" si="12"/>
        <v>100</v>
      </c>
      <c r="T33" s="705" t="s">
        <v>14</v>
      </c>
      <c r="U33" s="706">
        <f t="shared" si="13"/>
        <v>100</v>
      </c>
      <c r="V33" s="705" t="s">
        <v>14</v>
      </c>
      <c r="W33" s="706">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5" t="s">
        <v>14</v>
      </c>
      <c r="S35" s="706">
        <f t="shared" si="12"/>
        <v>100</v>
      </c>
      <c r="T35" s="705" t="s">
        <v>14</v>
      </c>
      <c r="U35" s="706">
        <f t="shared" si="13"/>
        <v>100</v>
      </c>
      <c r="V35" s="705" t="s">
        <v>14</v>
      </c>
      <c r="W35" s="706">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5" t="s">
        <v>14</v>
      </c>
      <c r="S36" s="706">
        <f t="shared" si="12"/>
        <v>100</v>
      </c>
      <c r="T36" s="705" t="s">
        <v>14</v>
      </c>
      <c r="U36" s="706">
        <f t="shared" si="13"/>
        <v>100</v>
      </c>
      <c r="V36" s="705" t="s">
        <v>14</v>
      </c>
      <c r="W36" s="706">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5" t="s">
        <v>14</v>
      </c>
      <c r="S37" s="706" t="e">
        <f t="shared" si="12"/>
        <v>#N/A</v>
      </c>
      <c r="T37" s="705" t="s">
        <v>14</v>
      </c>
      <c r="U37" s="706" t="e">
        <f t="shared" si="13"/>
        <v>#N/A</v>
      </c>
      <c r="V37" s="705" t="s">
        <v>14</v>
      </c>
      <c r="W37" s="706"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5" t="s">
        <v>14</v>
      </c>
      <c r="S39" s="706">
        <f t="shared" si="12"/>
        <v>100</v>
      </c>
      <c r="T39" s="705" t="s">
        <v>14</v>
      </c>
      <c r="U39" s="706">
        <f t="shared" si="13"/>
        <v>100</v>
      </c>
      <c r="V39" s="705" t="s">
        <v>14</v>
      </c>
      <c r="W39" s="706">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5" t="s">
        <v>14</v>
      </c>
      <c r="S40" s="706">
        <f t="shared" si="12"/>
        <v>100</v>
      </c>
      <c r="T40" s="705" t="s">
        <v>14</v>
      </c>
      <c r="U40" s="706">
        <f t="shared" si="13"/>
        <v>100</v>
      </c>
      <c r="V40" s="705" t="s">
        <v>14</v>
      </c>
      <c r="W40" s="706">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5" t="s">
        <v>14</v>
      </c>
      <c r="S41" s="706">
        <f t="shared" si="12"/>
        <v>100</v>
      </c>
      <c r="T41" s="705" t="s">
        <v>14</v>
      </c>
      <c r="U41" s="706">
        <f t="shared" si="13"/>
        <v>100</v>
      </c>
      <c r="V41" s="705" t="s">
        <v>14</v>
      </c>
      <c r="W41" s="706">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5" t="s">
        <v>14</v>
      </c>
      <c r="S43" s="706">
        <f t="shared" si="12"/>
        <v>100</v>
      </c>
      <c r="T43" s="705" t="s">
        <v>14</v>
      </c>
      <c r="U43" s="706">
        <f t="shared" si="13"/>
        <v>100</v>
      </c>
      <c r="V43" s="705" t="s">
        <v>14</v>
      </c>
      <c r="W43" s="706">
        <f t="shared" si="14"/>
        <v>100</v>
      </c>
      <c r="X43" s="1353"/>
      <c r="Y43" s="3673"/>
      <c r="Z43" s="1354" t="str">
        <f t="shared" si="15"/>
        <v>内部装修</v>
      </c>
      <c r="AA43" s="1351">
        <f t="shared" si="3"/>
        <v>1</v>
      </c>
      <c r="AB43" s="1351">
        <f t="shared" si="4"/>
        <v>1</v>
      </c>
      <c r="AC43" s="1960">
        <f t="shared" si="5"/>
        <v>1</v>
      </c>
    </row>
    <row r="44" spans="1:29" ht="28.8">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5" t="s">
        <v>14</v>
      </c>
      <c r="S44" s="706">
        <f t="shared" si="12"/>
        <v>100</v>
      </c>
      <c r="T44" s="705" t="s">
        <v>14</v>
      </c>
      <c r="U44" s="706">
        <f t="shared" si="13"/>
        <v>100</v>
      </c>
      <c r="V44" s="705" t="s">
        <v>14</v>
      </c>
      <c r="W44" s="706">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5" t="s">
        <v>14</v>
      </c>
      <c r="S46" s="706">
        <f t="shared" si="12"/>
        <v>100</v>
      </c>
      <c r="T46" s="705" t="s">
        <v>14</v>
      </c>
      <c r="U46" s="706">
        <f t="shared" si="13"/>
        <v>100</v>
      </c>
      <c r="V46" s="705" t="s">
        <v>14</v>
      </c>
      <c r="W46" s="706">
        <f t="shared" si="14"/>
        <v>100</v>
      </c>
      <c r="X46" s="1353"/>
      <c r="Y46" s="3673"/>
      <c r="Z46" s="1354">
        <f t="shared" si="15"/>
        <v>111</v>
      </c>
      <c r="AA46" s="1351">
        <f t="shared" si="3"/>
        <v>1</v>
      </c>
      <c r="AB46" s="1351">
        <f t="shared" si="4"/>
        <v>1</v>
      </c>
      <c r="AC46" s="1960">
        <f t="shared" si="5"/>
        <v>1</v>
      </c>
    </row>
    <row r="47" spans="1:29" ht="15.6"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5" t="s">
        <v>14</v>
      </c>
      <c r="S47" s="706">
        <f t="shared" si="12"/>
        <v>100</v>
      </c>
      <c r="T47" s="705" t="s">
        <v>14</v>
      </c>
      <c r="U47" s="706">
        <f t="shared" si="13"/>
        <v>100</v>
      </c>
      <c r="V47" s="705" t="s">
        <v>14</v>
      </c>
      <c r="W47" s="706">
        <f t="shared" si="14"/>
        <v>100</v>
      </c>
      <c r="X47" s="1353"/>
      <c r="Y47" s="3674"/>
      <c r="Z47" s="1354">
        <f t="shared" si="15"/>
        <v>111</v>
      </c>
      <c r="AA47" s="1351">
        <f t="shared" si="3"/>
        <v>1</v>
      </c>
      <c r="AB47" s="1351">
        <f t="shared" si="4"/>
        <v>1</v>
      </c>
      <c r="AC47" s="1960">
        <f t="shared" si="5"/>
        <v>1</v>
      </c>
    </row>
    <row r="48" spans="1:29" ht="14.4">
      <c r="A48" s="430" t="s">
        <v>1708</v>
      </c>
      <c r="B48" s="431"/>
      <c r="C48" s="1153" t="s">
        <v>0</v>
      </c>
      <c r="D48" s="1154"/>
      <c r="E48" s="1155"/>
      <c r="F48" s="1156"/>
      <c r="G48" s="1157"/>
      <c r="H48" s="1158"/>
      <c r="I48" s="1155"/>
      <c r="J48" s="436"/>
      <c r="K48" s="714"/>
      <c r="L48" s="2722"/>
      <c r="M48" s="2714"/>
      <c r="N48" s="2714"/>
      <c r="O48" s="2714"/>
      <c r="P48" s="3676" t="str">
        <f>A48</f>
        <v>成交单价（元/平方米）</v>
      </c>
      <c r="Q48" s="3661"/>
      <c r="R48" s="3662">
        <f>E48</f>
        <v>0</v>
      </c>
      <c r="S48" s="3662"/>
      <c r="T48" s="3662">
        <f>G48</f>
        <v>0</v>
      </c>
      <c r="U48" s="3662"/>
      <c r="V48" s="3662">
        <f>I48</f>
        <v>0</v>
      </c>
      <c r="W48" s="3662"/>
      <c r="X48" s="397"/>
      <c r="Y48" s="712"/>
      <c r="Z48" s="397"/>
      <c r="AA48" s="397"/>
      <c r="AB48" s="397"/>
      <c r="AC48" s="578"/>
    </row>
    <row r="49" spans="1:29" ht="15" thickBot="1">
      <c r="A49" s="437" t="s">
        <v>1793</v>
      </c>
      <c r="B49" s="438"/>
      <c r="C49" s="1159" t="e">
        <f>R50</f>
        <v>#DIV/0!</v>
      </c>
      <c r="D49" s="2315" t="s">
        <v>2133</v>
      </c>
      <c r="E49" s="1160" t="e">
        <f>R49</f>
        <v>#DIV/0!</v>
      </c>
      <c r="F49" s="2316"/>
      <c r="G49" s="1159" t="e">
        <f>T49</f>
        <v>#DIV/0!</v>
      </c>
      <c r="H49" s="2316"/>
      <c r="I49" s="1160" t="e">
        <f>V49</f>
        <v>#DIV/0!</v>
      </c>
      <c r="J49" s="2316"/>
      <c r="K49" s="2318">
        <f>F49+H49+J49</f>
        <v>0</v>
      </c>
      <c r="L49" s="2722"/>
      <c r="M49" s="2714"/>
      <c r="N49" s="2714"/>
      <c r="O49" s="2714"/>
      <c r="P49" s="3676" t="str">
        <f>A49</f>
        <v>比较价值（元/平方米）</v>
      </c>
      <c r="Q49" s="3661"/>
      <c r="R49" s="3662" t="e">
        <f>IF(F1="售价",ROUND(PRODUCT(R48,AA7:AA47),0),ROUND(PRODUCT(R48,AA7:AA47),1))</f>
        <v>#DIV/0!</v>
      </c>
      <c r="S49" s="3662"/>
      <c r="T49" s="3662" t="e">
        <f>IF(F1="售价",ROUND(PRODUCT(T48,AB7:AB47),0),ROUND(PRODUCT(T48,AB7:AB47),1))</f>
        <v>#DIV/0!</v>
      </c>
      <c r="U49" s="3662"/>
      <c r="V49" s="3662" t="e">
        <f>IF(F1="售价",ROUND(PRODUCT(V48,AC7:AC47),0),ROUND(PRODUCT(V48,AC7:AC47),1))</f>
        <v>#DIV/0!</v>
      </c>
      <c r="W49" s="3662"/>
      <c r="X49" s="397"/>
      <c r="Y49" s="397"/>
      <c r="Z49" s="397"/>
      <c r="AA49" s="397"/>
      <c r="AB49" s="397"/>
      <c r="AC49" s="578"/>
    </row>
    <row r="50" spans="1:29" ht="15" thickBot="1">
      <c r="A50" s="441" t="s">
        <v>1794</v>
      </c>
      <c r="B50" s="442"/>
      <c r="C50" s="1162" t="e">
        <f>R50</f>
        <v>#DIV/0!</v>
      </c>
      <c r="D50" s="1162"/>
      <c r="E50" s="1162"/>
      <c r="F50" s="1162"/>
      <c r="G50" s="1162"/>
      <c r="H50" s="1162"/>
      <c r="I50" s="1162"/>
      <c r="J50" s="443"/>
      <c r="K50" s="715"/>
      <c r="L50" s="2722"/>
      <c r="M50" s="2714"/>
      <c r="N50" s="2714"/>
      <c r="O50" s="2714"/>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3" t="str">
        <f>YEAR(C7)&amp;"-"&amp;MONTH(C7)</f>
        <v>2024-1</v>
      </c>
      <c r="D59" s="1184">
        <f>EDATE(C59,-1)</f>
        <v>45261</v>
      </c>
      <c r="E59" s="1184">
        <f>EDATE(D59,-1)</f>
        <v>45231</v>
      </c>
      <c r="F59" s="1184">
        <f t="shared" ref="F59:O59" si="16">EDATE(E59,-1)</f>
        <v>45200</v>
      </c>
      <c r="G59" s="1184">
        <f t="shared" si="16"/>
        <v>45170</v>
      </c>
      <c r="H59" s="1184">
        <f t="shared" si="16"/>
        <v>45139</v>
      </c>
      <c r="I59" s="1184">
        <f t="shared" si="16"/>
        <v>45108</v>
      </c>
      <c r="J59" s="1184">
        <f t="shared" si="16"/>
        <v>45078</v>
      </c>
      <c r="K59" s="1184">
        <f t="shared" si="16"/>
        <v>45047</v>
      </c>
      <c r="L59" s="1184">
        <f t="shared" si="16"/>
        <v>45017</v>
      </c>
      <c r="M59" s="1184">
        <f t="shared" si="16"/>
        <v>44986</v>
      </c>
      <c r="N59" s="1184">
        <f t="shared" si="16"/>
        <v>44958</v>
      </c>
      <c r="O59" s="1184">
        <f t="shared" si="16"/>
        <v>44927</v>
      </c>
      <c r="P59" s="2757"/>
      <c r="Q59" s="2739"/>
      <c r="R59" s="2739"/>
      <c r="S59" s="2739"/>
      <c r="T59" s="2739"/>
      <c r="U59" s="2739"/>
      <c r="V59" s="2739"/>
      <c r="W59" s="2739"/>
      <c r="X59" s="2739"/>
      <c r="Y59" s="2739"/>
      <c r="Z59" s="2739"/>
      <c r="AA59" s="2739"/>
      <c r="AB59" s="2739"/>
      <c r="AC59" s="2739"/>
    </row>
    <row r="60" spans="1:29" s="108" customFormat="1">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5" t="s">
        <v>1826</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87.01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75" t="s">
        <v>1773</v>
      </c>
      <c r="W4" s="3675"/>
      <c r="X4" s="1353"/>
      <c r="Y4" s="3690" t="s">
        <v>1775</v>
      </c>
      <c r="Z4" s="3691"/>
      <c r="AA4" s="3677" t="s">
        <v>1771</v>
      </c>
      <c r="AB4" s="3678" t="s">
        <v>1772</v>
      </c>
      <c r="AC4" s="3677" t="s">
        <v>1773</v>
      </c>
    </row>
    <row r="5" spans="1:29">
      <c r="A5" s="358"/>
      <c r="B5" s="359"/>
      <c r="C5" s="3698" t="s">
        <v>1673</v>
      </c>
      <c r="D5" s="3699"/>
      <c r="E5" s="3729" t="s">
        <v>1674</v>
      </c>
      <c r="F5" s="3707"/>
      <c r="G5" s="3698" t="s">
        <v>1675</v>
      </c>
      <c r="H5" s="3699"/>
      <c r="I5" s="3698" t="s">
        <v>1676</v>
      </c>
      <c r="J5" s="3699"/>
      <c r="K5" s="559"/>
      <c r="L5" s="913"/>
      <c r="M5" s="914"/>
      <c r="N5" s="914"/>
      <c r="O5" s="914"/>
      <c r="P5" s="3686"/>
      <c r="Q5" s="3687"/>
      <c r="R5" s="3692"/>
      <c r="S5" s="3693"/>
      <c r="T5" s="3692"/>
      <c r="U5" s="3693"/>
      <c r="V5" s="3675"/>
      <c r="W5" s="3675"/>
      <c r="X5" s="1353"/>
      <c r="Y5" s="3692"/>
      <c r="Z5" s="3693"/>
      <c r="AA5" s="3678"/>
      <c r="AB5" s="3678"/>
      <c r="AC5" s="3678"/>
    </row>
    <row r="6" spans="1:29" ht="15" thickBot="1">
      <c r="A6" s="360"/>
      <c r="B6" s="361"/>
      <c r="C6" s="3696" t="s">
        <v>1677</v>
      </c>
      <c r="D6" s="3697"/>
      <c r="E6" s="3704" t="s">
        <v>1677</v>
      </c>
      <c r="F6" s="3705"/>
      <c r="G6" s="3696" t="s">
        <v>1677</v>
      </c>
      <c r="H6" s="3697"/>
      <c r="I6" s="3696" t="s">
        <v>1677</v>
      </c>
      <c r="J6" s="3697"/>
      <c r="K6" s="559" t="s">
        <v>1678</v>
      </c>
      <c r="L6" s="913"/>
      <c r="M6" s="914"/>
      <c r="N6" s="914"/>
      <c r="O6" s="914"/>
      <c r="P6" s="3688"/>
      <c r="Q6" s="3689"/>
      <c r="R6" s="3692"/>
      <c r="S6" s="3693"/>
      <c r="T6" s="3694"/>
      <c r="U6" s="3695"/>
      <c r="V6" s="3675"/>
      <c r="W6" s="3675"/>
      <c r="X6" s="1353"/>
      <c r="Y6" s="3694"/>
      <c r="Z6" s="3695"/>
      <c r="AA6" s="3679"/>
      <c r="AB6" s="3679"/>
      <c r="AC6" s="3679"/>
    </row>
    <row r="7" spans="1:29" s="108" customFormat="1" ht="15" thickBot="1">
      <c r="A7" s="362" t="s">
        <v>1679</v>
      </c>
      <c r="B7" s="363"/>
      <c r="C7" s="364">
        <f>'数据-取费表'!B2</f>
        <v>45322</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1" t="s">
        <v>1686</v>
      </c>
      <c r="Q9" s="1341"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1"/>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1"/>
      <c r="Q11" s="1341"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61"/>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61"/>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6"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61"/>
      <c r="Q14" s="1341">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69">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0" t="str">
        <f t="shared" si="6"/>
        <v>产业集聚程度</v>
      </c>
      <c r="R15" s="705" t="s">
        <v>14</v>
      </c>
      <c r="S15" s="706">
        <f t="shared" si="0"/>
        <v>100</v>
      </c>
      <c r="T15" s="705" t="s">
        <v>14</v>
      </c>
      <c r="U15" s="706">
        <f t="shared" si="1"/>
        <v>100</v>
      </c>
      <c r="V15" s="705" t="s">
        <v>14</v>
      </c>
      <c r="W15" s="706">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3"/>
      <c r="M16" s="914"/>
      <c r="N16" s="914"/>
      <c r="O16" s="922"/>
      <c r="P16" s="3669"/>
      <c r="Q16" s="1350"/>
      <c r="R16" s="705"/>
      <c r="S16" s="706"/>
      <c r="T16" s="705"/>
      <c r="U16" s="706"/>
      <c r="V16" s="705"/>
      <c r="W16" s="706"/>
      <c r="X16" s="1353"/>
      <c r="Y16" s="3669"/>
      <c r="Z16" s="1354"/>
      <c r="AA16" s="1351">
        <v>1</v>
      </c>
      <c r="AB16" s="1351">
        <v>1</v>
      </c>
      <c r="AC16" s="1351">
        <v>1</v>
      </c>
    </row>
    <row r="17" spans="1:29" ht="96.6">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0" t="str">
        <f>B17</f>
        <v>交通便捷度</v>
      </c>
      <c r="R17" s="705" t="s">
        <v>14</v>
      </c>
      <c r="S17" s="706">
        <f>F17</f>
        <v>100</v>
      </c>
      <c r="T17" s="705" t="s">
        <v>14</v>
      </c>
      <c r="U17" s="706">
        <f>H17</f>
        <v>100</v>
      </c>
      <c r="V17" s="705" t="s">
        <v>14</v>
      </c>
      <c r="W17" s="706">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3"/>
      <c r="M18" s="914"/>
      <c r="N18" s="914"/>
      <c r="O18" s="922"/>
      <c r="P18" s="3669"/>
      <c r="Q18" s="1350"/>
      <c r="R18" s="705"/>
      <c r="S18" s="706"/>
      <c r="T18" s="705"/>
      <c r="U18" s="706"/>
      <c r="V18" s="705"/>
      <c r="W18" s="706"/>
      <c r="X18" s="1353"/>
      <c r="Y18" s="3669"/>
      <c r="Z18" s="1354"/>
      <c r="AA18" s="1351">
        <v>1</v>
      </c>
      <c r="AB18" s="1351">
        <v>1</v>
      </c>
      <c r="AC18" s="1351">
        <v>1</v>
      </c>
    </row>
    <row r="19" spans="1:29" ht="41.4">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0" t="str">
        <f>B19</f>
        <v>公共配套设施</v>
      </c>
      <c r="R19" s="705" t="s">
        <v>14</v>
      </c>
      <c r="S19" s="706">
        <f>F19</f>
        <v>100</v>
      </c>
      <c r="T19" s="705" t="s">
        <v>14</v>
      </c>
      <c r="U19" s="706">
        <f>H19</f>
        <v>100</v>
      </c>
      <c r="V19" s="705" t="s">
        <v>14</v>
      </c>
      <c r="W19" s="706">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3"/>
      <c r="M20" s="914"/>
      <c r="N20" s="914"/>
      <c r="O20" s="922"/>
      <c r="P20" s="3669"/>
      <c r="Q20" s="1350"/>
      <c r="R20" s="705"/>
      <c r="S20" s="706"/>
      <c r="T20" s="705"/>
      <c r="U20" s="706"/>
      <c r="V20" s="705"/>
      <c r="W20" s="706"/>
      <c r="X20" s="1353"/>
      <c r="Y20" s="3669"/>
      <c r="Z20" s="1354"/>
      <c r="AA20" s="1351">
        <v>1</v>
      </c>
      <c r="AB20" s="1351">
        <v>1</v>
      </c>
      <c r="AC20" s="1351">
        <v>1</v>
      </c>
    </row>
    <row r="21" spans="1:29" ht="41.4">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0" t="str">
        <f>B21</f>
        <v>基础设施水平</v>
      </c>
      <c r="R21" s="705" t="s">
        <v>14</v>
      </c>
      <c r="S21" s="706">
        <f>F21</f>
        <v>100</v>
      </c>
      <c r="T21" s="705" t="s">
        <v>14</v>
      </c>
      <c r="U21" s="706">
        <f>H21</f>
        <v>100</v>
      </c>
      <c r="V21" s="705" t="s">
        <v>14</v>
      </c>
      <c r="W21" s="706">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3"/>
      <c r="M22" s="914"/>
      <c r="N22" s="914"/>
      <c r="O22" s="922"/>
      <c r="P22" s="3669"/>
      <c r="Q22" s="1350"/>
      <c r="R22" s="705"/>
      <c r="S22" s="706"/>
      <c r="T22" s="705"/>
      <c r="U22" s="706"/>
      <c r="V22" s="705"/>
      <c r="W22" s="706"/>
      <c r="X22" s="1353"/>
      <c r="Y22" s="3669"/>
      <c r="Z22" s="1354"/>
      <c r="AA22" s="1351">
        <v>1</v>
      </c>
      <c r="AB22" s="1351">
        <v>1</v>
      </c>
      <c r="AC22" s="1351">
        <v>1</v>
      </c>
    </row>
    <row r="23" spans="1:29" ht="82.8">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0" t="str">
        <f>B23</f>
        <v>环境质量</v>
      </c>
      <c r="R23" s="705" t="s">
        <v>14</v>
      </c>
      <c r="S23" s="706">
        <f>F23</f>
        <v>100</v>
      </c>
      <c r="T23" s="705" t="s">
        <v>14</v>
      </c>
      <c r="U23" s="706">
        <f>H23</f>
        <v>100</v>
      </c>
      <c r="V23" s="705" t="s">
        <v>14</v>
      </c>
      <c r="W23" s="706">
        <f>J23</f>
        <v>100</v>
      </c>
      <c r="X23" s="1353"/>
      <c r="Y23" s="3669"/>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3"/>
      <c r="M24" s="914"/>
      <c r="N24" s="914"/>
      <c r="O24" s="922"/>
      <c r="P24" s="3669"/>
      <c r="Q24" s="1350"/>
      <c r="R24" s="705"/>
      <c r="S24" s="706"/>
      <c r="T24" s="705"/>
      <c r="U24" s="706"/>
      <c r="V24" s="705"/>
      <c r="W24" s="706"/>
      <c r="X24" s="1353"/>
      <c r="Y24" s="3669"/>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0">
        <f>B25</f>
        <v>111</v>
      </c>
      <c r="R25" s="705" t="s">
        <v>14</v>
      </c>
      <c r="S25" s="706">
        <f>F25</f>
        <v>100</v>
      </c>
      <c r="T25" s="705" t="s">
        <v>14</v>
      </c>
      <c r="U25" s="706">
        <f>H25</f>
        <v>100</v>
      </c>
      <c r="V25" s="705" t="s">
        <v>14</v>
      </c>
      <c r="W25" s="706">
        <f>J25</f>
        <v>100</v>
      </c>
      <c r="X25" s="1353"/>
      <c r="Y25" s="3669"/>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0">
        <f t="shared" ref="Q26:Q40" si="11">B26</f>
        <v>111</v>
      </c>
      <c r="R26" s="705" t="s">
        <v>14</v>
      </c>
      <c r="S26" s="706">
        <f>F26</f>
        <v>100</v>
      </c>
      <c r="T26" s="705" t="s">
        <v>14</v>
      </c>
      <c r="U26" s="706">
        <f>H26</f>
        <v>100</v>
      </c>
      <c r="V26" s="705" t="s">
        <v>14</v>
      </c>
      <c r="W26" s="706">
        <f>J26</f>
        <v>100</v>
      </c>
      <c r="X26" s="1353"/>
      <c r="Y26" s="3669"/>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1">
        <f t="shared" si="11"/>
        <v>111</v>
      </c>
      <c r="R27" s="701" t="s">
        <v>14</v>
      </c>
      <c r="S27" s="702">
        <f>F27</f>
        <v>100</v>
      </c>
      <c r="T27" s="701" t="s">
        <v>14</v>
      </c>
      <c r="U27" s="702">
        <f>H27</f>
        <v>100</v>
      </c>
      <c r="V27" s="701" t="s">
        <v>14</v>
      </c>
      <c r="W27" s="702">
        <f>J27</f>
        <v>100</v>
      </c>
      <c r="X27" s="703"/>
      <c r="Y27" s="3669"/>
      <c r="Z27" s="52">
        <f>Q27</f>
        <v>111</v>
      </c>
      <c r="AA27" s="1351">
        <f>D27/F27</f>
        <v>1</v>
      </c>
      <c r="AB27" s="1351">
        <f>D27/H27</f>
        <v>1</v>
      </c>
      <c r="AC27" s="1351">
        <f>D27/J27</f>
        <v>1</v>
      </c>
    </row>
    <row r="28" spans="1:29" ht="15.6"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0">
        <f t="shared" si="11"/>
        <v>111</v>
      </c>
      <c r="R28" s="705" t="s">
        <v>14</v>
      </c>
      <c r="S28" s="706">
        <f t="shared" ref="S28:S40" si="12">F28</f>
        <v>100</v>
      </c>
      <c r="T28" s="705" t="s">
        <v>14</v>
      </c>
      <c r="U28" s="706">
        <f t="shared" ref="U28:U40" si="13">H28</f>
        <v>100</v>
      </c>
      <c r="V28" s="705" t="s">
        <v>14</v>
      </c>
      <c r="W28" s="706">
        <f t="shared" ref="W28:W40" si="14">J28</f>
        <v>100</v>
      </c>
      <c r="X28" s="1353"/>
      <c r="Y28" s="3669"/>
      <c r="Z28" s="1354">
        <f t="shared" ref="Z28:Z40" si="15">Q28</f>
        <v>111</v>
      </c>
      <c r="AA28" s="1351">
        <f t="shared" si="3"/>
        <v>1</v>
      </c>
      <c r="AB28" s="1351">
        <f t="shared" si="4"/>
        <v>1</v>
      </c>
      <c r="AC28" s="1351">
        <f t="shared" si="5"/>
        <v>1</v>
      </c>
    </row>
    <row r="29" spans="1:29" ht="30">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5" t="s">
        <v>1696</v>
      </c>
      <c r="Q29" s="1350" t="str">
        <f t="shared" si="11"/>
        <v>建筑类型</v>
      </c>
      <c r="R29" s="705" t="s">
        <v>14</v>
      </c>
      <c r="S29" s="706">
        <f t="shared" si="12"/>
        <v>100</v>
      </c>
      <c r="T29" s="705" t="s">
        <v>14</v>
      </c>
      <c r="U29" s="706">
        <f t="shared" si="13"/>
        <v>100</v>
      </c>
      <c r="V29" s="705" t="s">
        <v>14</v>
      </c>
      <c r="W29" s="706">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0" t="str">
        <f t="shared" si="11"/>
        <v>建筑结构</v>
      </c>
      <c r="R31" s="705" t="s">
        <v>14</v>
      </c>
      <c r="S31" s="706">
        <f t="shared" si="12"/>
        <v>100</v>
      </c>
      <c r="T31" s="705" t="s">
        <v>14</v>
      </c>
      <c r="U31" s="706">
        <f t="shared" si="13"/>
        <v>100</v>
      </c>
      <c r="V31" s="705" t="s">
        <v>14</v>
      </c>
      <c r="W31" s="706">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0" t="str">
        <f t="shared" si="11"/>
        <v>公共部分装修</v>
      </c>
      <c r="R32" s="705" t="s">
        <v>14</v>
      </c>
      <c r="S32" s="706">
        <f t="shared" si="12"/>
        <v>100</v>
      </c>
      <c r="T32" s="705" t="s">
        <v>14</v>
      </c>
      <c r="U32" s="706">
        <f t="shared" si="13"/>
        <v>100</v>
      </c>
      <c r="V32" s="705" t="s">
        <v>14</v>
      </c>
      <c r="W32" s="706">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0" t="str">
        <f t="shared" si="11"/>
        <v>成新度</v>
      </c>
      <c r="R33" s="705" t="s">
        <v>14</v>
      </c>
      <c r="S33" s="706" t="e">
        <f t="shared" si="12"/>
        <v>#N/A</v>
      </c>
      <c r="T33" s="705" t="s">
        <v>14</v>
      </c>
      <c r="U33" s="706" t="e">
        <f t="shared" si="13"/>
        <v>#N/A</v>
      </c>
      <c r="V33" s="705" t="s">
        <v>14</v>
      </c>
      <c r="W33" s="706"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1"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0" t="str">
        <f t="shared" si="11"/>
        <v>市政基础设施</v>
      </c>
      <c r="R35" s="705" t="s">
        <v>14</v>
      </c>
      <c r="S35" s="706">
        <f t="shared" si="12"/>
        <v>100</v>
      </c>
      <c r="T35" s="705" t="s">
        <v>14</v>
      </c>
      <c r="U35" s="706">
        <f t="shared" si="13"/>
        <v>100</v>
      </c>
      <c r="V35" s="705" t="s">
        <v>14</v>
      </c>
      <c r="W35" s="706">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0" t="str">
        <f t="shared" si="11"/>
        <v>内部装修</v>
      </c>
      <c r="R36" s="705" t="s">
        <v>14</v>
      </c>
      <c r="S36" s="706">
        <f t="shared" si="12"/>
        <v>100</v>
      </c>
      <c r="T36" s="705" t="s">
        <v>14</v>
      </c>
      <c r="U36" s="706">
        <f t="shared" si="13"/>
        <v>100</v>
      </c>
      <c r="V36" s="705" t="s">
        <v>14</v>
      </c>
      <c r="W36" s="706">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0" t="str">
        <f t="shared" si="11"/>
        <v>内部装修状况</v>
      </c>
      <c r="R37" s="705" t="s">
        <v>14</v>
      </c>
      <c r="S37" s="706">
        <f t="shared" si="12"/>
        <v>100</v>
      </c>
      <c r="T37" s="705" t="s">
        <v>14</v>
      </c>
      <c r="U37" s="706">
        <f t="shared" si="13"/>
        <v>100</v>
      </c>
      <c r="V37" s="705" t="s">
        <v>14</v>
      </c>
      <c r="W37" s="706">
        <f t="shared" si="14"/>
        <v>100</v>
      </c>
      <c r="X37" s="1353"/>
      <c r="Y37" s="3673"/>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0">
        <f t="shared" si="11"/>
        <v>111</v>
      </c>
      <c r="R39" s="705" t="s">
        <v>14</v>
      </c>
      <c r="S39" s="706">
        <f t="shared" si="12"/>
        <v>100</v>
      </c>
      <c r="T39" s="705" t="s">
        <v>14</v>
      </c>
      <c r="U39" s="706">
        <f t="shared" si="13"/>
        <v>100</v>
      </c>
      <c r="V39" s="705" t="s">
        <v>14</v>
      </c>
      <c r="W39" s="706">
        <f t="shared" si="14"/>
        <v>100</v>
      </c>
      <c r="X39" s="1353"/>
      <c r="Y39" s="3673"/>
      <c r="Z39" s="1354">
        <f t="shared" si="15"/>
        <v>111</v>
      </c>
      <c r="AA39" s="1351">
        <f t="shared" si="3"/>
        <v>1</v>
      </c>
      <c r="AB39" s="1351">
        <f t="shared" si="4"/>
        <v>1</v>
      </c>
      <c r="AC39" s="1351">
        <f t="shared" si="5"/>
        <v>1</v>
      </c>
    </row>
    <row r="40" spans="1:29" ht="15.6"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0">
        <f t="shared" si="11"/>
        <v>111</v>
      </c>
      <c r="R40" s="705" t="s">
        <v>14</v>
      </c>
      <c r="S40" s="706">
        <f t="shared" si="12"/>
        <v>100</v>
      </c>
      <c r="T40" s="705" t="s">
        <v>14</v>
      </c>
      <c r="U40" s="706">
        <f t="shared" si="13"/>
        <v>100</v>
      </c>
      <c r="V40" s="705" t="s">
        <v>14</v>
      </c>
      <c r="W40" s="706">
        <f t="shared" si="14"/>
        <v>100</v>
      </c>
      <c r="X40" s="1353"/>
      <c r="Y40" s="3674"/>
      <c r="Z40" s="1354">
        <f t="shared" si="15"/>
        <v>111</v>
      </c>
      <c r="AA40" s="1351">
        <f t="shared" si="3"/>
        <v>1</v>
      </c>
      <c r="AB40" s="1351">
        <f t="shared" si="4"/>
        <v>1</v>
      </c>
      <c r="AC40" s="1351">
        <f t="shared" si="5"/>
        <v>1</v>
      </c>
    </row>
    <row r="41" spans="1:29" ht="14.4">
      <c r="A41" s="430" t="s">
        <v>1708</v>
      </c>
      <c r="B41" s="431"/>
      <c r="C41" s="1153" t="s">
        <v>0</v>
      </c>
      <c r="D41" s="1154"/>
      <c r="E41" s="1155"/>
      <c r="F41" s="1156"/>
      <c r="G41" s="1157"/>
      <c r="H41" s="1158"/>
      <c r="I41" s="1155"/>
      <c r="J41" s="1158"/>
      <c r="K41" s="714"/>
      <c r="L41" s="926"/>
      <c r="M41" s="927"/>
      <c r="N41" s="914"/>
      <c r="O41" s="927"/>
      <c r="P41" s="3661" t="str">
        <f>A41</f>
        <v>成交单价（元/平方米）</v>
      </c>
      <c r="Q41" s="3661"/>
      <c r="R41" s="3662">
        <f>E41</f>
        <v>0</v>
      </c>
      <c r="S41" s="3662"/>
      <c r="T41" s="3662">
        <f>G41</f>
        <v>0</v>
      </c>
      <c r="U41" s="3662"/>
      <c r="V41" s="3662">
        <f>I41</f>
        <v>0</v>
      </c>
      <c r="W41" s="3662"/>
      <c r="X41" s="690"/>
      <c r="Y41" s="712"/>
      <c r="Z41" s="690"/>
      <c r="AA41" s="690"/>
      <c r="AB41" s="690"/>
      <c r="AC41" s="690"/>
    </row>
    <row r="42" spans="1:29" ht="15" thickBot="1">
      <c r="A42" s="437" t="s">
        <v>1793</v>
      </c>
      <c r="B42" s="438"/>
      <c r="C42" s="1159" t="e">
        <f>R43</f>
        <v>#DIV/0!</v>
      </c>
      <c r="D42" s="2315" t="s">
        <v>2133</v>
      </c>
      <c r="E42" s="1160" t="e">
        <f>R42</f>
        <v>#DIV/0!</v>
      </c>
      <c r="F42" s="2316"/>
      <c r="G42" s="1159" t="e">
        <f>T42</f>
        <v>#DIV/0!</v>
      </c>
      <c r="H42" s="2316"/>
      <c r="I42" s="1160" t="e">
        <f>V42</f>
        <v>#DIV/0!</v>
      </c>
      <c r="J42" s="2316"/>
      <c r="K42" s="2318">
        <f>F42+H42+J42</f>
        <v>0</v>
      </c>
      <c r="L42" s="926"/>
      <c r="M42" s="927"/>
      <c r="N42" s="914"/>
      <c r="O42" s="927"/>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90"/>
      <c r="Y42" s="690"/>
      <c r="Z42" s="690"/>
      <c r="AA42" s="690"/>
      <c r="AB42" s="690"/>
      <c r="AC42" s="690"/>
    </row>
    <row r="43" spans="1:29" ht="15" thickBot="1">
      <c r="A43" s="441" t="s">
        <v>1794</v>
      </c>
      <c r="B43" s="442"/>
      <c r="C43" s="1162" t="e">
        <f>R43</f>
        <v>#DIV/0!</v>
      </c>
      <c r="D43" s="1162"/>
      <c r="E43" s="1162"/>
      <c r="F43" s="1162"/>
      <c r="G43" s="1162"/>
      <c r="H43" s="1162"/>
      <c r="I43" s="1162"/>
      <c r="J43" s="1162"/>
      <c r="K43" s="715"/>
      <c r="L43" s="926"/>
      <c r="M43" s="927"/>
      <c r="N43" s="927"/>
      <c r="O43" s="927"/>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3" t="str">
        <f>YEAR(C7)&amp;"-"&amp;MONTH(C7)</f>
        <v>2024-1</v>
      </c>
      <c r="D52" s="1184">
        <f>EDATE(C52,-1)</f>
        <v>45261</v>
      </c>
      <c r="E52" s="1184">
        <f t="shared" ref="E52:O52" si="16">EDATE(D52,-1)</f>
        <v>45231</v>
      </c>
      <c r="F52" s="1184">
        <f t="shared" si="16"/>
        <v>45200</v>
      </c>
      <c r="G52" s="1184">
        <f t="shared" si="16"/>
        <v>45170</v>
      </c>
      <c r="H52" s="1184">
        <f t="shared" si="16"/>
        <v>45139</v>
      </c>
      <c r="I52" s="1184">
        <f t="shared" si="16"/>
        <v>45108</v>
      </c>
      <c r="J52" s="1184">
        <f t="shared" si="16"/>
        <v>45078</v>
      </c>
      <c r="K52" s="1184">
        <f t="shared" si="16"/>
        <v>45047</v>
      </c>
      <c r="L52" s="1184">
        <f t="shared" si="16"/>
        <v>45017</v>
      </c>
      <c r="M52" s="1184">
        <f t="shared" si="16"/>
        <v>44986</v>
      </c>
      <c r="N52" s="1184">
        <f t="shared" si="16"/>
        <v>44958</v>
      </c>
      <c r="O52" s="1184">
        <f t="shared" si="16"/>
        <v>44927</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6"/>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3332</v>
      </c>
      <c r="C1" s="1223" t="s">
        <v>1662</v>
      </c>
      <c r="D1" s="1224"/>
      <c r="E1" s="3431"/>
      <c r="F1" s="1877"/>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75" t="s">
        <v>1773</v>
      </c>
      <c r="W4" s="3675"/>
      <c r="X4" s="1353"/>
      <c r="Y4" s="3690" t="s">
        <v>1775</v>
      </c>
      <c r="Z4" s="3691"/>
      <c r="AA4" s="3677" t="s">
        <v>1771</v>
      </c>
      <c r="AB4" s="3678" t="s">
        <v>1772</v>
      </c>
      <c r="AC4" s="3677" t="s">
        <v>1773</v>
      </c>
    </row>
    <row r="5" spans="1:29">
      <c r="A5" s="358"/>
      <c r="B5" s="359"/>
      <c r="C5" s="3698" t="s">
        <v>1673</v>
      </c>
      <c r="D5" s="3699"/>
      <c r="E5" s="3729" t="s">
        <v>1674</v>
      </c>
      <c r="F5" s="3707"/>
      <c r="G5" s="3698" t="s">
        <v>1675</v>
      </c>
      <c r="H5" s="3699"/>
      <c r="I5" s="3698" t="s">
        <v>1676</v>
      </c>
      <c r="J5" s="3699"/>
      <c r="K5" s="559"/>
      <c r="L5" s="2713"/>
      <c r="M5" s="2714"/>
      <c r="N5" s="2714"/>
      <c r="O5" s="2714"/>
      <c r="P5" s="3686"/>
      <c r="Q5" s="3687"/>
      <c r="R5" s="3692"/>
      <c r="S5" s="3693"/>
      <c r="T5" s="3692"/>
      <c r="U5" s="3693"/>
      <c r="V5" s="3675"/>
      <c r="W5" s="3675"/>
      <c r="X5" s="1353"/>
      <c r="Y5" s="3692"/>
      <c r="Z5" s="3693"/>
      <c r="AA5" s="3678"/>
      <c r="AB5" s="3678"/>
      <c r="AC5" s="3678"/>
    </row>
    <row r="6" spans="1:29" ht="15" thickBot="1">
      <c r="A6" s="360"/>
      <c r="B6" s="361"/>
      <c r="C6" s="3696" t="s">
        <v>1677</v>
      </c>
      <c r="D6" s="3697"/>
      <c r="E6" s="3704" t="s">
        <v>1677</v>
      </c>
      <c r="F6" s="3705"/>
      <c r="G6" s="3696" t="s">
        <v>1677</v>
      </c>
      <c r="H6" s="3697"/>
      <c r="I6" s="3696" t="s">
        <v>1677</v>
      </c>
      <c r="J6" s="3697"/>
      <c r="K6" s="559" t="s">
        <v>1678</v>
      </c>
      <c r="L6" s="2713"/>
      <c r="M6" s="2714"/>
      <c r="N6" s="2714"/>
      <c r="O6" s="2714"/>
      <c r="P6" s="3688"/>
      <c r="Q6" s="3689"/>
      <c r="R6" s="3692"/>
      <c r="S6" s="3693"/>
      <c r="T6" s="3694"/>
      <c r="U6" s="3695"/>
      <c r="V6" s="3675"/>
      <c r="W6" s="3675"/>
      <c r="X6" s="1353"/>
      <c r="Y6" s="3694"/>
      <c r="Z6" s="3695"/>
      <c r="AA6" s="3679"/>
      <c r="AB6" s="3679"/>
      <c r="AC6" s="3679"/>
    </row>
    <row r="7" spans="1:29" s="108" customFormat="1" ht="15" thickBot="1">
      <c r="A7" s="362" t="s">
        <v>1679</v>
      </c>
      <c r="B7" s="363"/>
      <c r="C7" s="364">
        <f>'数据-取费表'!B2</f>
        <v>45322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1" t="s">
        <v>1686</v>
      </c>
      <c r="Q9" s="1341" t="str">
        <f t="shared" ref="Q9:Q14" si="6">B9</f>
        <v>用途</v>
      </c>
      <c r="R9" s="701" t="s">
        <v>14</v>
      </c>
      <c r="S9" s="702">
        <f t="shared" si="0"/>
        <v>100</v>
      </c>
      <c r="T9" s="701" t="s">
        <v>14</v>
      </c>
      <c r="U9" s="702">
        <f t="shared" si="1"/>
        <v>100</v>
      </c>
      <c r="V9" s="701" t="s">
        <v>14</v>
      </c>
      <c r="W9" s="702">
        <f t="shared" si="2"/>
        <v>100</v>
      </c>
      <c r="X9" s="703"/>
      <c r="Y9" s="3554"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1"/>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1"/>
      <c r="Q11" s="1341">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1"/>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1"/>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96.6">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5" t="s">
        <v>14</v>
      </c>
      <c r="S14" s="706">
        <f t="shared" si="0"/>
        <v>100</v>
      </c>
      <c r="T14" s="705" t="s">
        <v>14</v>
      </c>
      <c r="U14" s="706">
        <f t="shared" si="1"/>
        <v>100</v>
      </c>
      <c r="V14" s="705" t="s">
        <v>14</v>
      </c>
      <c r="W14" s="706">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5"/>
      <c r="S15" s="706"/>
      <c r="T15" s="705"/>
      <c r="U15" s="706"/>
      <c r="V15" s="705"/>
      <c r="W15" s="706"/>
      <c r="X15" s="1353"/>
      <c r="Y15" s="3669"/>
      <c r="Z15" s="1354"/>
      <c r="AA15" s="1351">
        <v>1</v>
      </c>
      <c r="AB15" s="1351">
        <v>1</v>
      </c>
      <c r="AC15" s="1351">
        <v>1</v>
      </c>
    </row>
    <row r="16" spans="1:29" ht="41.4">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5" t="s">
        <v>14</v>
      </c>
      <c r="S16" s="706">
        <f>F16</f>
        <v>100</v>
      </c>
      <c r="T16" s="705" t="s">
        <v>14</v>
      </c>
      <c r="U16" s="706">
        <f>H16</f>
        <v>100</v>
      </c>
      <c r="V16" s="705" t="s">
        <v>14</v>
      </c>
      <c r="W16" s="706">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5"/>
      <c r="S17" s="706"/>
      <c r="T17" s="705"/>
      <c r="U17" s="706"/>
      <c r="V17" s="705"/>
      <c r="W17" s="706"/>
      <c r="X17" s="1353"/>
      <c r="Y17" s="3669"/>
      <c r="Z17" s="1354"/>
      <c r="AA17" s="1351">
        <v>1</v>
      </c>
      <c r="AB17" s="1351">
        <v>1</v>
      </c>
      <c r="AC17" s="1351">
        <v>1</v>
      </c>
    </row>
    <row r="18" spans="1:29" ht="41.4">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5" t="s">
        <v>14</v>
      </c>
      <c r="S18" s="706">
        <f>F18</f>
        <v>100</v>
      </c>
      <c r="T18" s="705" t="s">
        <v>14</v>
      </c>
      <c r="U18" s="706">
        <f>H18</f>
        <v>100</v>
      </c>
      <c r="V18" s="705" t="s">
        <v>14</v>
      </c>
      <c r="W18" s="706">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20"/>
      <c r="M19" s="2714"/>
      <c r="N19" s="2714"/>
      <c r="O19" s="2714"/>
      <c r="P19" s="3669"/>
      <c r="Q19" s="1350"/>
      <c r="R19" s="705"/>
      <c r="S19" s="706"/>
      <c r="T19" s="705"/>
      <c r="U19" s="706"/>
      <c r="V19" s="705"/>
      <c r="W19" s="706"/>
      <c r="X19" s="1353"/>
      <c r="Y19" s="3669"/>
      <c r="Z19" s="1354"/>
      <c r="AA19" s="1351">
        <v>1</v>
      </c>
      <c r="AB19" s="1351">
        <v>1</v>
      </c>
      <c r="AC19" s="1351">
        <v>1</v>
      </c>
    </row>
    <row r="20" spans="1:29" ht="55.2">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5" t="s">
        <v>14</v>
      </c>
      <c r="S20" s="706">
        <f>F20</f>
        <v>100</v>
      </c>
      <c r="T20" s="705" t="s">
        <v>14</v>
      </c>
      <c r="U20" s="706">
        <f>H20</f>
        <v>100</v>
      </c>
      <c r="V20" s="705" t="s">
        <v>14</v>
      </c>
      <c r="W20" s="706">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5"/>
      <c r="S21" s="706"/>
      <c r="T21" s="705"/>
      <c r="U21" s="706"/>
      <c r="V21" s="705"/>
      <c r="W21" s="706"/>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5" t="s">
        <v>14</v>
      </c>
      <c r="S22" s="706">
        <f>F22</f>
        <v>100</v>
      </c>
      <c r="T22" s="705" t="s">
        <v>14</v>
      </c>
      <c r="U22" s="706">
        <f>H22</f>
        <v>100</v>
      </c>
      <c r="V22" s="705" t="s">
        <v>14</v>
      </c>
      <c r="W22" s="706">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5" t="s">
        <v>14</v>
      </c>
      <c r="S23" s="706">
        <f>F23</f>
        <v>100</v>
      </c>
      <c r="T23" s="705" t="s">
        <v>14</v>
      </c>
      <c r="U23" s="706">
        <f>H23</f>
        <v>100</v>
      </c>
      <c r="V23" s="705" t="s">
        <v>14</v>
      </c>
      <c r="W23" s="706">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5" t="s">
        <v>14</v>
      </c>
      <c r="S24" s="706">
        <f>F24</f>
        <v>100</v>
      </c>
      <c r="T24" s="705" t="s">
        <v>14</v>
      </c>
      <c r="U24" s="706">
        <f>H24</f>
        <v>100</v>
      </c>
      <c r="V24" s="705" t="s">
        <v>14</v>
      </c>
      <c r="W24" s="706">
        <f>J24</f>
        <v>100</v>
      </c>
      <c r="X24" s="1353"/>
      <c r="Y24" s="3669"/>
      <c r="Z24" s="1354">
        <f>Q24</f>
        <v>111</v>
      </c>
      <c r="AA24" s="1351">
        <f t="shared" si="3"/>
        <v>1</v>
      </c>
      <c r="AB24" s="1351">
        <f t="shared" si="4"/>
        <v>1</v>
      </c>
      <c r="AC24" s="1351">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701" t="s">
        <v>14</v>
      </c>
      <c r="S25" s="702">
        <f>F25</f>
        <v>100</v>
      </c>
      <c r="T25" s="701" t="s">
        <v>14</v>
      </c>
      <c r="U25" s="702">
        <f>H25</f>
        <v>100</v>
      </c>
      <c r="V25" s="701" t="s">
        <v>14</v>
      </c>
      <c r="W25" s="702">
        <f>J25</f>
        <v>100</v>
      </c>
      <c r="X25" s="703"/>
      <c r="Y25" s="3669"/>
      <c r="Z25" s="52">
        <f>Q25</f>
        <v>111</v>
      </c>
      <c r="AA25" s="1351">
        <f>D25/F25</f>
        <v>1</v>
      </c>
      <c r="AB25" s="1351">
        <f>D25/H25</f>
        <v>1</v>
      </c>
      <c r="AC25" s="1351">
        <f>D25/J25</f>
        <v>1</v>
      </c>
    </row>
    <row r="26" spans="1:29" ht="30">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5"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5" t="s">
        <v>14</v>
      </c>
      <c r="S28" s="706">
        <f t="shared" si="12"/>
        <v>100</v>
      </c>
      <c r="T28" s="705" t="s">
        <v>14</v>
      </c>
      <c r="U28" s="706">
        <f t="shared" si="13"/>
        <v>100</v>
      </c>
      <c r="V28" s="705" t="s">
        <v>14</v>
      </c>
      <c r="W28" s="706">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5" t="s">
        <v>14</v>
      </c>
      <c r="S29" s="706" t="e">
        <f t="shared" si="12"/>
        <v>#N/A</v>
      </c>
      <c r="T29" s="705" t="s">
        <v>14</v>
      </c>
      <c r="U29" s="706" t="e">
        <f t="shared" si="13"/>
        <v>#N/A</v>
      </c>
      <c r="V29" s="705" t="s">
        <v>14</v>
      </c>
      <c r="W29" s="706"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5" t="s">
        <v>14</v>
      </c>
      <c r="S30" s="706">
        <f t="shared" si="12"/>
        <v>100</v>
      </c>
      <c r="T30" s="705" t="s">
        <v>14</v>
      </c>
      <c r="U30" s="706">
        <f t="shared" si="13"/>
        <v>100</v>
      </c>
      <c r="V30" s="705" t="s">
        <v>14</v>
      </c>
      <c r="W30" s="706">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5" t="s">
        <v>14</v>
      </c>
      <c r="S32" s="706">
        <f t="shared" si="12"/>
        <v>100</v>
      </c>
      <c r="T32" s="705" t="s">
        <v>14</v>
      </c>
      <c r="U32" s="706">
        <f t="shared" si="13"/>
        <v>100</v>
      </c>
      <c r="V32" s="705" t="s">
        <v>14</v>
      </c>
      <c r="W32" s="706">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5" t="s">
        <v>14</v>
      </c>
      <c r="S33" s="706">
        <f t="shared" si="12"/>
        <v>100</v>
      </c>
      <c r="T33" s="705" t="s">
        <v>14</v>
      </c>
      <c r="U33" s="706">
        <f t="shared" si="13"/>
        <v>100</v>
      </c>
      <c r="V33" s="705" t="s">
        <v>14</v>
      </c>
      <c r="W33" s="706">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5" t="s">
        <v>14</v>
      </c>
      <c r="S34" s="706">
        <f t="shared" si="12"/>
        <v>100</v>
      </c>
      <c r="T34" s="705" t="s">
        <v>14</v>
      </c>
      <c r="U34" s="706">
        <f t="shared" si="13"/>
        <v>100</v>
      </c>
      <c r="V34" s="705" t="s">
        <v>14</v>
      </c>
      <c r="W34" s="706">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1">
        <f t="shared" si="3"/>
        <v>1</v>
      </c>
      <c r="AB35" s="1351">
        <f t="shared" si="4"/>
        <v>1</v>
      </c>
      <c r="AC35" s="1351">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5" t="s">
        <v>14</v>
      </c>
      <c r="S36" s="706">
        <f t="shared" si="12"/>
        <v>100</v>
      </c>
      <c r="T36" s="705" t="s">
        <v>14</v>
      </c>
      <c r="U36" s="706">
        <f t="shared" si="13"/>
        <v>100</v>
      </c>
      <c r="V36" s="705" t="s">
        <v>14</v>
      </c>
      <c r="W36" s="706">
        <f t="shared" si="14"/>
        <v>100</v>
      </c>
      <c r="X36" s="1353"/>
      <c r="Y36" s="3673"/>
      <c r="Z36" s="1354">
        <f t="shared" si="15"/>
        <v>111</v>
      </c>
      <c r="AA36" s="1351">
        <f t="shared" si="3"/>
        <v>1</v>
      </c>
      <c r="AB36" s="1351">
        <f t="shared" si="4"/>
        <v>1</v>
      </c>
      <c r="AC36" s="1351">
        <f t="shared" si="5"/>
        <v>1</v>
      </c>
    </row>
    <row r="37" spans="1:29" ht="14.4">
      <c r="A37" s="430" t="s">
        <v>1844</v>
      </c>
      <c r="B37" s="1971" t="s">
        <v>3353</v>
      </c>
      <c r="C37" s="1153" t="s">
        <v>0</v>
      </c>
      <c r="D37" s="1154"/>
      <c r="E37" s="1155"/>
      <c r="F37" s="1156"/>
      <c r="G37" s="1157"/>
      <c r="H37" s="1158"/>
      <c r="I37" s="1155"/>
      <c r="J37" s="1158"/>
      <c r="K37" s="568"/>
      <c r="L37" s="2722"/>
      <c r="M37" s="2723"/>
      <c r="N37" s="2714"/>
      <c r="O37" s="2723"/>
      <c r="P37" s="3661" t="str">
        <f>A37</f>
        <v>成交单价</v>
      </c>
      <c r="Q37" s="3661"/>
      <c r="R37" s="3662">
        <f>E37</f>
        <v>0</v>
      </c>
      <c r="S37" s="3662"/>
      <c r="T37" s="3662">
        <f>G37</f>
        <v>0</v>
      </c>
      <c r="U37" s="3662"/>
      <c r="V37" s="3662">
        <f>I37</f>
        <v>0</v>
      </c>
      <c r="W37" s="3662"/>
      <c r="X37" s="690"/>
      <c r="Y37" s="712"/>
      <c r="Z37" s="690"/>
      <c r="AA37" s="690"/>
      <c r="AB37" s="690"/>
      <c r="AC37" s="690"/>
    </row>
    <row r="38" spans="1:29" ht="15" thickBot="1">
      <c r="A38" s="437" t="s">
        <v>1845</v>
      </c>
      <c r="B38" s="438" t="str">
        <f>B37</f>
        <v>元/平方米</v>
      </c>
      <c r="C38" s="1159" t="e">
        <f>R39</f>
        <v>#DIV/0!</v>
      </c>
      <c r="D38" s="2315" t="s">
        <v>2133</v>
      </c>
      <c r="E38" s="1160" t="e">
        <f>R38</f>
        <v>#DIV/0!</v>
      </c>
      <c r="F38" s="2316"/>
      <c r="G38" s="1159" t="e">
        <f>T38</f>
        <v>#DIV/0!</v>
      </c>
      <c r="H38" s="2316"/>
      <c r="I38" s="1160" t="e">
        <f>V38</f>
        <v>#DIV/0!</v>
      </c>
      <c r="J38" s="2316"/>
      <c r="K38" s="2318">
        <f>F38+H38+J38</f>
        <v>0</v>
      </c>
      <c r="L38" s="2722"/>
      <c r="M38" s="2723"/>
      <c r="N38" s="2723"/>
      <c r="O38" s="2723"/>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90"/>
      <c r="Y38" s="690"/>
      <c r="Z38" s="690"/>
      <c r="AA38" s="690"/>
      <c r="AB38" s="690"/>
      <c r="AC38" s="690"/>
    </row>
    <row r="39" spans="1:29" ht="15" thickBot="1">
      <c r="A39" s="441" t="s">
        <v>1846</v>
      </c>
      <c r="B39" s="442"/>
      <c r="C39" s="1162" t="e">
        <f>R39</f>
        <v>#DIV/0!</v>
      </c>
      <c r="D39" s="1162"/>
      <c r="E39" s="1162"/>
      <c r="F39" s="1162"/>
      <c r="G39" s="1162"/>
      <c r="H39" s="1162"/>
      <c r="I39" s="1162"/>
      <c r="J39" s="1162"/>
      <c r="K39" s="569"/>
      <c r="L39" s="2722"/>
      <c r="M39" s="2723"/>
      <c r="N39" s="2723"/>
      <c r="O39" s="2723"/>
      <c r="P39" s="3663" t="str">
        <f>A39</f>
        <v>估价对象XX用房的比较价值（楼面单价，元/平方米）</v>
      </c>
      <c r="Q39" s="3664"/>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3" t="str">
        <f>YEAR(C7)&amp;"-"&amp;MONTH(C7)</f>
        <v>2024-1</v>
      </c>
      <c r="D48" s="1184">
        <f>EDATE(C48,-1)</f>
        <v>45261</v>
      </c>
      <c r="E48" s="1184">
        <f t="shared" ref="E48:O48" si="16">EDATE(D48,-1)</f>
        <v>45231</v>
      </c>
      <c r="F48" s="1184">
        <f t="shared" si="16"/>
        <v>45200</v>
      </c>
      <c r="G48" s="1184">
        <f t="shared" si="16"/>
        <v>45170</v>
      </c>
      <c r="H48" s="1184">
        <f t="shared" si="16"/>
        <v>45139</v>
      </c>
      <c r="I48" s="1184">
        <f t="shared" si="16"/>
        <v>45108</v>
      </c>
      <c r="J48" s="1184">
        <f t="shared" si="16"/>
        <v>45078</v>
      </c>
      <c r="K48" s="1184">
        <f t="shared" si="16"/>
        <v>45047</v>
      </c>
      <c r="L48" s="1184">
        <f t="shared" si="16"/>
        <v>45017</v>
      </c>
      <c r="M48" s="1184">
        <f t="shared" si="16"/>
        <v>44986</v>
      </c>
      <c r="N48" s="1184">
        <f t="shared" si="16"/>
        <v>44958</v>
      </c>
      <c r="O48" s="1184">
        <f t="shared" si="16"/>
        <v>44927</v>
      </c>
      <c r="P48" s="2757"/>
      <c r="Q48" s="2739"/>
      <c r="R48" s="2739"/>
      <c r="S48" s="2739"/>
      <c r="T48" s="2739"/>
      <c r="U48" s="2739"/>
      <c r="V48" s="2739"/>
      <c r="W48" s="2739"/>
      <c r="X48" s="2739"/>
      <c r="Y48" s="2739"/>
      <c r="Z48" s="2739"/>
      <c r="AA48" s="2739"/>
      <c r="AB48" s="2739"/>
      <c r="AC48" s="2739"/>
    </row>
    <row r="49" spans="1:29" s="108" customFormat="1">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3333</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75" t="s">
        <v>1773</v>
      </c>
      <c r="W4" s="3675"/>
      <c r="X4" s="1353"/>
      <c r="Y4" s="3690" t="s">
        <v>1775</v>
      </c>
      <c r="Z4" s="3691"/>
      <c r="AA4" s="3677" t="s">
        <v>1771</v>
      </c>
      <c r="AB4" s="3678" t="s">
        <v>1772</v>
      </c>
      <c r="AC4" s="3677" t="s">
        <v>1773</v>
      </c>
    </row>
    <row r="5" spans="1:29">
      <c r="A5" s="358"/>
      <c r="B5" s="359"/>
      <c r="C5" s="3698" t="s">
        <v>1673</v>
      </c>
      <c r="D5" s="3699"/>
      <c r="E5" s="3729" t="s">
        <v>1674</v>
      </c>
      <c r="F5" s="3707"/>
      <c r="G5" s="3698" t="s">
        <v>1675</v>
      </c>
      <c r="H5" s="3699"/>
      <c r="I5" s="3698" t="s">
        <v>1676</v>
      </c>
      <c r="J5" s="3699"/>
      <c r="K5" s="559"/>
      <c r="L5" s="2713"/>
      <c r="M5" s="2714"/>
      <c r="N5" s="2714"/>
      <c r="O5" s="2714"/>
      <c r="P5" s="3686"/>
      <c r="Q5" s="3687"/>
      <c r="R5" s="3692"/>
      <c r="S5" s="3693"/>
      <c r="T5" s="3692"/>
      <c r="U5" s="3693"/>
      <c r="V5" s="3675"/>
      <c r="W5" s="3675"/>
      <c r="X5" s="1353"/>
      <c r="Y5" s="3692"/>
      <c r="Z5" s="3693"/>
      <c r="AA5" s="3678"/>
      <c r="AB5" s="3678"/>
      <c r="AC5" s="3678"/>
    </row>
    <row r="6" spans="1:29" ht="15" thickBot="1">
      <c r="A6" s="360"/>
      <c r="B6" s="361"/>
      <c r="C6" s="3696" t="s">
        <v>1677</v>
      </c>
      <c r="D6" s="3697"/>
      <c r="E6" s="3704" t="s">
        <v>1677</v>
      </c>
      <c r="F6" s="3705"/>
      <c r="G6" s="3696" t="s">
        <v>1677</v>
      </c>
      <c r="H6" s="3697"/>
      <c r="I6" s="3696" t="s">
        <v>1677</v>
      </c>
      <c r="J6" s="3697"/>
      <c r="K6" s="559" t="s">
        <v>1678</v>
      </c>
      <c r="L6" s="2713"/>
      <c r="M6" s="2714"/>
      <c r="N6" s="2714"/>
      <c r="O6" s="2714"/>
      <c r="P6" s="3688"/>
      <c r="Q6" s="3689"/>
      <c r="R6" s="3692"/>
      <c r="S6" s="3693"/>
      <c r="T6" s="3694"/>
      <c r="U6" s="3695"/>
      <c r="V6" s="3675"/>
      <c r="W6" s="3675"/>
      <c r="X6" s="1353"/>
      <c r="Y6" s="3694"/>
      <c r="Z6" s="3695"/>
      <c r="AA6" s="3679"/>
      <c r="AB6" s="3679"/>
      <c r="AC6" s="3679"/>
    </row>
    <row r="7" spans="1:29" s="108" customFormat="1" ht="15" thickBot="1">
      <c r="A7" s="362" t="s">
        <v>1679</v>
      </c>
      <c r="B7" s="363"/>
      <c r="C7" s="364">
        <f>'数据-取费表'!B2</f>
        <v>45322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1" t="s">
        <v>1686</v>
      </c>
      <c r="Q9" s="1341" t="str">
        <f t="shared" ref="Q9:Q14" si="6">B9</f>
        <v>用途</v>
      </c>
      <c r="R9" s="701" t="s">
        <v>14</v>
      </c>
      <c r="S9" s="702">
        <f t="shared" si="0"/>
        <v>100</v>
      </c>
      <c r="T9" s="701" t="s">
        <v>14</v>
      </c>
      <c r="U9" s="702">
        <f t="shared" si="1"/>
        <v>100</v>
      </c>
      <c r="V9" s="701" t="s">
        <v>14</v>
      </c>
      <c r="W9" s="702">
        <f t="shared" si="2"/>
        <v>100</v>
      </c>
      <c r="X9" s="703"/>
      <c r="Y9" s="3554"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1"/>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1"/>
      <c r="Q11" s="1341">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1"/>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6"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1"/>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96.6">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5" t="s">
        <v>14</v>
      </c>
      <c r="S14" s="706">
        <f t="shared" si="0"/>
        <v>100</v>
      </c>
      <c r="T14" s="705" t="s">
        <v>14</v>
      </c>
      <c r="U14" s="706">
        <f t="shared" si="1"/>
        <v>100</v>
      </c>
      <c r="V14" s="705" t="s">
        <v>14</v>
      </c>
      <c r="W14" s="706">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5"/>
      <c r="S15" s="706"/>
      <c r="T15" s="705"/>
      <c r="U15" s="706"/>
      <c r="V15" s="705"/>
      <c r="W15" s="706"/>
      <c r="X15" s="1353"/>
      <c r="Y15" s="3669"/>
      <c r="Z15" s="1354"/>
      <c r="AA15" s="1351">
        <v>1</v>
      </c>
      <c r="AB15" s="1351">
        <v>1</v>
      </c>
      <c r="AC15" s="1351">
        <v>1</v>
      </c>
    </row>
    <row r="16" spans="1:29" ht="41.4">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5" t="s">
        <v>14</v>
      </c>
      <c r="S16" s="706">
        <f>F16</f>
        <v>100</v>
      </c>
      <c r="T16" s="705" t="s">
        <v>14</v>
      </c>
      <c r="U16" s="706">
        <f>H16</f>
        <v>100</v>
      </c>
      <c r="V16" s="705" t="s">
        <v>14</v>
      </c>
      <c r="W16" s="706">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5"/>
      <c r="S17" s="706"/>
      <c r="T17" s="705"/>
      <c r="U17" s="706"/>
      <c r="V17" s="705"/>
      <c r="W17" s="706"/>
      <c r="X17" s="1353"/>
      <c r="Y17" s="3669"/>
      <c r="Z17" s="1354"/>
      <c r="AA17" s="1351">
        <v>1</v>
      </c>
      <c r="AB17" s="1351">
        <v>1</v>
      </c>
      <c r="AC17" s="1351">
        <v>1</v>
      </c>
    </row>
    <row r="18" spans="1:29" ht="41.4">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5" t="s">
        <v>14</v>
      </c>
      <c r="S18" s="706">
        <f>F18</f>
        <v>100</v>
      </c>
      <c r="T18" s="705" t="s">
        <v>14</v>
      </c>
      <c r="U18" s="706">
        <f>H18</f>
        <v>100</v>
      </c>
      <c r="V18" s="705" t="s">
        <v>14</v>
      </c>
      <c r="W18" s="706">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20"/>
      <c r="M19" s="2714"/>
      <c r="N19" s="2714"/>
      <c r="O19" s="2772"/>
      <c r="P19" s="3669"/>
      <c r="Q19" s="1350"/>
      <c r="R19" s="705"/>
      <c r="S19" s="706"/>
      <c r="T19" s="705"/>
      <c r="U19" s="706"/>
      <c r="V19" s="705"/>
      <c r="W19" s="706"/>
      <c r="X19" s="1353"/>
      <c r="Y19" s="3669"/>
      <c r="Z19" s="1354"/>
      <c r="AA19" s="1351">
        <v>1</v>
      </c>
      <c r="AB19" s="1351">
        <v>1</v>
      </c>
      <c r="AC19" s="1351">
        <v>1</v>
      </c>
    </row>
    <row r="20" spans="1:29" ht="55.2">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5" t="s">
        <v>14</v>
      </c>
      <c r="S20" s="706">
        <f>F20</f>
        <v>100</v>
      </c>
      <c r="T20" s="705" t="s">
        <v>14</v>
      </c>
      <c r="U20" s="706">
        <f>H20</f>
        <v>100</v>
      </c>
      <c r="V20" s="705" t="s">
        <v>14</v>
      </c>
      <c r="W20" s="706">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5"/>
      <c r="S21" s="706"/>
      <c r="T21" s="705"/>
      <c r="U21" s="706"/>
      <c r="V21" s="705"/>
      <c r="W21" s="706"/>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5" t="s">
        <v>14</v>
      </c>
      <c r="S22" s="706">
        <f>F22</f>
        <v>100</v>
      </c>
      <c r="T22" s="705" t="s">
        <v>14</v>
      </c>
      <c r="U22" s="706">
        <f>H22</f>
        <v>100</v>
      </c>
      <c r="V22" s="705" t="s">
        <v>14</v>
      </c>
      <c r="W22" s="706">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5" t="s">
        <v>14</v>
      </c>
      <c r="S23" s="706">
        <f>F23</f>
        <v>100</v>
      </c>
      <c r="T23" s="705" t="s">
        <v>14</v>
      </c>
      <c r="U23" s="706">
        <f>H23</f>
        <v>100</v>
      </c>
      <c r="V23" s="705" t="s">
        <v>14</v>
      </c>
      <c r="W23" s="706">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5" t="s">
        <v>14</v>
      </c>
      <c r="S24" s="706">
        <f>F24</f>
        <v>100</v>
      </c>
      <c r="T24" s="705" t="s">
        <v>14</v>
      </c>
      <c r="U24" s="706">
        <f>H24</f>
        <v>100</v>
      </c>
      <c r="V24" s="705" t="s">
        <v>14</v>
      </c>
      <c r="W24" s="706">
        <f>J24</f>
        <v>100</v>
      </c>
      <c r="X24" s="1353"/>
      <c r="Y24" s="3669"/>
      <c r="Z24" s="1354">
        <f>Q24</f>
        <v>111</v>
      </c>
      <c r="AA24" s="1351">
        <f t="shared" si="3"/>
        <v>1</v>
      </c>
      <c r="AB24" s="1351">
        <f t="shared" si="4"/>
        <v>1</v>
      </c>
      <c r="AC24" s="1351">
        <f t="shared" si="5"/>
        <v>1</v>
      </c>
    </row>
    <row r="25" spans="1:29" s="108" customFormat="1" ht="15.6"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701" t="s">
        <v>14</v>
      </c>
      <c r="S25" s="702">
        <f>F25</f>
        <v>100</v>
      </c>
      <c r="T25" s="701" t="s">
        <v>14</v>
      </c>
      <c r="U25" s="702">
        <f>H25</f>
        <v>100</v>
      </c>
      <c r="V25" s="701" t="s">
        <v>14</v>
      </c>
      <c r="W25" s="702">
        <f>J25</f>
        <v>100</v>
      </c>
      <c r="X25" s="703"/>
      <c r="Y25" s="3669"/>
      <c r="Z25" s="52">
        <f>Q25</f>
        <v>111</v>
      </c>
      <c r="AA25" s="1351">
        <f>D25/F25</f>
        <v>1</v>
      </c>
      <c r="AB25" s="1351">
        <f>D25/H25</f>
        <v>1</v>
      </c>
      <c r="AC25" s="1351">
        <f>D25/J25</f>
        <v>1</v>
      </c>
    </row>
    <row r="26" spans="1:29" ht="30">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5"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5" t="s">
        <v>14</v>
      </c>
      <c r="S28" s="706">
        <f t="shared" si="12"/>
        <v>100</v>
      </c>
      <c r="T28" s="705" t="s">
        <v>14</v>
      </c>
      <c r="U28" s="706">
        <f t="shared" si="13"/>
        <v>100</v>
      </c>
      <c r="V28" s="705" t="s">
        <v>14</v>
      </c>
      <c r="W28" s="706">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5" t="s">
        <v>14</v>
      </c>
      <c r="S29" s="706">
        <f t="shared" si="12"/>
        <v>100</v>
      </c>
      <c r="T29" s="705" t="s">
        <v>14</v>
      </c>
      <c r="U29" s="706">
        <f t="shared" si="13"/>
        <v>100</v>
      </c>
      <c r="V29" s="705" t="s">
        <v>14</v>
      </c>
      <c r="W29" s="706">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5" t="s">
        <v>14</v>
      </c>
      <c r="S30" s="706" t="e">
        <f t="shared" si="12"/>
        <v>#N/A</v>
      </c>
      <c r="T30" s="705" t="s">
        <v>14</v>
      </c>
      <c r="U30" s="706" t="e">
        <f t="shared" si="13"/>
        <v>#N/A</v>
      </c>
      <c r="V30" s="705" t="s">
        <v>14</v>
      </c>
      <c r="W30" s="706"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5" t="s">
        <v>14</v>
      </c>
      <c r="S32" s="706">
        <f t="shared" si="12"/>
        <v>100</v>
      </c>
      <c r="T32" s="705" t="s">
        <v>14</v>
      </c>
      <c r="U32" s="706">
        <f t="shared" si="13"/>
        <v>100</v>
      </c>
      <c r="V32" s="705" t="s">
        <v>14</v>
      </c>
      <c r="W32" s="706">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5" t="s">
        <v>14</v>
      </c>
      <c r="S33" s="706">
        <f t="shared" si="12"/>
        <v>100</v>
      </c>
      <c r="T33" s="705" t="s">
        <v>14</v>
      </c>
      <c r="U33" s="706">
        <f t="shared" si="13"/>
        <v>100</v>
      </c>
      <c r="V33" s="705" t="s">
        <v>14</v>
      </c>
      <c r="W33" s="706">
        <f t="shared" si="14"/>
        <v>100</v>
      </c>
      <c r="X33" s="1353"/>
      <c r="Y33" s="3673"/>
      <c r="Z33" s="1354">
        <f t="shared" si="15"/>
        <v>111</v>
      </c>
      <c r="AA33" s="1351">
        <f t="shared" si="3"/>
        <v>1</v>
      </c>
      <c r="AB33" s="1351">
        <f t="shared" si="4"/>
        <v>1</v>
      </c>
      <c r="AC33" s="1351">
        <f t="shared" si="5"/>
        <v>1</v>
      </c>
    </row>
    <row r="34" spans="1:30" ht="15.6"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5" t="s">
        <v>14</v>
      </c>
      <c r="S34" s="706">
        <f t="shared" si="12"/>
        <v>100</v>
      </c>
      <c r="T34" s="705" t="s">
        <v>14</v>
      </c>
      <c r="U34" s="706">
        <f t="shared" si="13"/>
        <v>100</v>
      </c>
      <c r="V34" s="705" t="s">
        <v>14</v>
      </c>
      <c r="W34" s="706">
        <f t="shared" si="14"/>
        <v>100</v>
      </c>
      <c r="X34" s="1353"/>
      <c r="Y34" s="3673"/>
      <c r="Z34" s="1354">
        <f t="shared" si="15"/>
        <v>111</v>
      </c>
      <c r="AA34" s="1351">
        <f t="shared" si="3"/>
        <v>1</v>
      </c>
      <c r="AB34" s="1351">
        <f t="shared" si="4"/>
        <v>1</v>
      </c>
      <c r="AC34" s="1351">
        <f t="shared" si="5"/>
        <v>1</v>
      </c>
    </row>
    <row r="35" spans="1:30" ht="14.4">
      <c r="A35" s="430" t="s">
        <v>1708</v>
      </c>
      <c r="B35" s="431"/>
      <c r="C35" s="1153" t="s">
        <v>0</v>
      </c>
      <c r="D35" s="1154"/>
      <c r="E35" s="1155"/>
      <c r="F35" s="1156"/>
      <c r="G35" s="1157"/>
      <c r="H35" s="1158"/>
      <c r="I35" s="1155"/>
      <c r="J35" s="1158"/>
      <c r="K35" s="714"/>
      <c r="L35" s="2722"/>
      <c r="M35" s="2723"/>
      <c r="N35" s="2714"/>
      <c r="O35" s="2723"/>
      <c r="P35" s="3661" t="str">
        <f>A35</f>
        <v>成交单价（元/平方米）</v>
      </c>
      <c r="Q35" s="3661"/>
      <c r="R35" s="3662">
        <f>E35</f>
        <v>0</v>
      </c>
      <c r="S35" s="3662"/>
      <c r="T35" s="3662">
        <f>G35</f>
        <v>0</v>
      </c>
      <c r="U35" s="3662"/>
      <c r="V35" s="3662">
        <f>I35</f>
        <v>0</v>
      </c>
      <c r="W35" s="3662"/>
      <c r="X35" s="690"/>
      <c r="Y35" s="712"/>
      <c r="Z35" s="690"/>
      <c r="AA35" s="690"/>
      <c r="AB35" s="690"/>
      <c r="AC35" s="690"/>
    </row>
    <row r="36" spans="1:30" ht="15" thickBot="1">
      <c r="A36" s="437" t="s">
        <v>1793</v>
      </c>
      <c r="B36" s="438"/>
      <c r="C36" s="1159" t="e">
        <f>R37</f>
        <v>#DIV/0!</v>
      </c>
      <c r="D36" s="2315" t="s">
        <v>2133</v>
      </c>
      <c r="E36" s="1160" t="e">
        <f>R36</f>
        <v>#DIV/0!</v>
      </c>
      <c r="F36" s="2316"/>
      <c r="G36" s="1159" t="e">
        <f>T36</f>
        <v>#DIV/0!</v>
      </c>
      <c r="H36" s="2316"/>
      <c r="I36" s="1160" t="e">
        <f>V36</f>
        <v>#DIV/0!</v>
      </c>
      <c r="J36" s="2316"/>
      <c r="K36" s="2318">
        <f>F36+H36+J36</f>
        <v>0</v>
      </c>
      <c r="L36" s="2722"/>
      <c r="M36" s="2723"/>
      <c r="N36" s="2714"/>
      <c r="O36" s="2723"/>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90"/>
      <c r="Y36" s="690"/>
      <c r="Z36" s="690"/>
      <c r="AA36" s="690"/>
      <c r="AB36" s="690"/>
      <c r="AC36" s="690"/>
    </row>
    <row r="37" spans="1:30" ht="15" thickBot="1">
      <c r="A37" s="441" t="s">
        <v>1794</v>
      </c>
      <c r="B37" s="442"/>
      <c r="C37" s="1162" t="e">
        <f>R37</f>
        <v>#DIV/0!</v>
      </c>
      <c r="D37" s="1162"/>
      <c r="E37" s="1162"/>
      <c r="F37" s="1162"/>
      <c r="G37" s="1162"/>
      <c r="H37" s="1162"/>
      <c r="I37" s="1162"/>
      <c r="J37" s="1162"/>
      <c r="K37" s="715"/>
      <c r="L37" s="2722"/>
      <c r="M37" s="2723"/>
      <c r="N37" s="2723"/>
      <c r="O37" s="2723"/>
      <c r="P37" s="3663" t="str">
        <f>A37</f>
        <v>估价对象XX用房的比较价值（楼面单价，元/平方米）</v>
      </c>
      <c r="Q37" s="3664"/>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3" t="str">
        <f>YEAR(C7)&amp;"-"&amp;MONTH(C7)</f>
        <v>2024-1</v>
      </c>
      <c r="D46" s="1184">
        <f>EDATE(C46,-1)</f>
        <v>45261</v>
      </c>
      <c r="E46" s="1184">
        <f t="shared" ref="E46:O46" si="16">EDATE(D46,-1)</f>
        <v>45231</v>
      </c>
      <c r="F46" s="1184">
        <f t="shared" si="16"/>
        <v>45200</v>
      </c>
      <c r="G46" s="1184">
        <f t="shared" si="16"/>
        <v>45170</v>
      </c>
      <c r="H46" s="1184">
        <f t="shared" si="16"/>
        <v>45139</v>
      </c>
      <c r="I46" s="1184">
        <f t="shared" si="16"/>
        <v>45108</v>
      </c>
      <c r="J46" s="1184">
        <f t="shared" si="16"/>
        <v>45078</v>
      </c>
      <c r="K46" s="1184">
        <f t="shared" si="16"/>
        <v>45047</v>
      </c>
      <c r="L46" s="1184">
        <f t="shared" si="16"/>
        <v>45017</v>
      </c>
      <c r="M46" s="1184">
        <f t="shared" si="16"/>
        <v>44986</v>
      </c>
      <c r="N46" s="1184">
        <f t="shared" si="16"/>
        <v>44958</v>
      </c>
      <c r="O46" s="1184">
        <f t="shared" si="16"/>
        <v>44927</v>
      </c>
      <c r="P46" s="2774"/>
      <c r="Q46" s="2739"/>
      <c r="R46" s="2739"/>
      <c r="S46" s="2739"/>
      <c r="T46" s="2739"/>
      <c r="U46" s="2739"/>
      <c r="V46" s="2739"/>
      <c r="W46" s="2739"/>
      <c r="X46" s="2739"/>
      <c r="Y46" s="2739"/>
      <c r="Z46" s="2739"/>
      <c r="AA46" s="2739"/>
      <c r="AB46" s="2739"/>
      <c r="AC46" s="2739"/>
      <c r="AD46" s="2739"/>
    </row>
    <row r="47" spans="1:30" s="108" customFormat="1">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75" t="s">
        <v>1773</v>
      </c>
      <c r="W4" s="3675"/>
      <c r="X4" s="1353"/>
      <c r="Y4" s="3690" t="s">
        <v>1775</v>
      </c>
      <c r="Z4" s="3691"/>
      <c r="AA4" s="3677" t="s">
        <v>1771</v>
      </c>
      <c r="AB4" s="3678" t="s">
        <v>1772</v>
      </c>
      <c r="AC4" s="3677" t="s">
        <v>1773</v>
      </c>
    </row>
    <row r="5" spans="1:30">
      <c r="A5" s="358"/>
      <c r="B5" s="359"/>
      <c r="C5" s="3698" t="s">
        <v>1673</v>
      </c>
      <c r="D5" s="3699"/>
      <c r="E5" s="3729" t="s">
        <v>1674</v>
      </c>
      <c r="F5" s="3707"/>
      <c r="G5" s="3698" t="s">
        <v>1675</v>
      </c>
      <c r="H5" s="3699"/>
      <c r="I5" s="3698" t="s">
        <v>1676</v>
      </c>
      <c r="J5" s="3699"/>
      <c r="K5" s="559"/>
      <c r="L5" s="2713"/>
      <c r="M5" s="2714"/>
      <c r="N5" s="2714"/>
      <c r="O5" s="2714"/>
      <c r="P5" s="3686"/>
      <c r="Q5" s="3687"/>
      <c r="R5" s="3692"/>
      <c r="S5" s="3693"/>
      <c r="T5" s="3692"/>
      <c r="U5" s="3693"/>
      <c r="V5" s="3675"/>
      <c r="W5" s="3675"/>
      <c r="X5" s="1353"/>
      <c r="Y5" s="3692"/>
      <c r="Z5" s="3693"/>
      <c r="AA5" s="3678"/>
      <c r="AB5" s="3678"/>
      <c r="AC5" s="3678"/>
    </row>
    <row r="6" spans="1:30" ht="15" thickBot="1">
      <c r="A6" s="360"/>
      <c r="B6" s="361"/>
      <c r="C6" s="3696" t="s">
        <v>1677</v>
      </c>
      <c r="D6" s="3697"/>
      <c r="E6" s="3704" t="s">
        <v>1677</v>
      </c>
      <c r="F6" s="3705"/>
      <c r="G6" s="3696" t="s">
        <v>1677</v>
      </c>
      <c r="H6" s="3697"/>
      <c r="I6" s="3696" t="s">
        <v>1677</v>
      </c>
      <c r="J6" s="3697"/>
      <c r="K6" s="559" t="s">
        <v>1678</v>
      </c>
      <c r="L6" s="2713"/>
      <c r="M6" s="2714"/>
      <c r="N6" s="2714"/>
      <c r="O6" s="2714"/>
      <c r="P6" s="3688"/>
      <c r="Q6" s="3689"/>
      <c r="R6" s="3692"/>
      <c r="S6" s="3693"/>
      <c r="T6" s="3694"/>
      <c r="U6" s="3695"/>
      <c r="V6" s="3675"/>
      <c r="W6" s="3675"/>
      <c r="X6" s="1353"/>
      <c r="Y6" s="3694"/>
      <c r="Z6" s="3695"/>
      <c r="AA6" s="3679"/>
      <c r="AB6" s="3679"/>
      <c r="AC6" s="3679"/>
    </row>
    <row r="7" spans="1:30" s="108" customFormat="1" ht="15" thickBot="1">
      <c r="A7" s="362" t="s">
        <v>1679</v>
      </c>
      <c r="B7" s="363"/>
      <c r="C7" s="364">
        <f>'数据-取费表'!B2</f>
        <v>45322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ht="14.4">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1" t="s">
        <v>1686</v>
      </c>
      <c r="Q9" s="1341"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110</v>
      </c>
      <c r="G10" s="414"/>
      <c r="H10" s="127">
        <f>ROUND(100/'数据-取费表'!G16,0)</f>
        <v>110</v>
      </c>
      <c r="I10" s="414"/>
      <c r="J10" s="127">
        <f>ROUND(100/'数据-取费表'!G16,0)</f>
        <v>110</v>
      </c>
      <c r="K10" s="620"/>
      <c r="L10" s="2717"/>
      <c r="M10" s="2718"/>
      <c r="N10" s="2718"/>
      <c r="O10" s="2771"/>
      <c r="P10" s="3661"/>
      <c r="Q10" s="1341" t="str">
        <f t="shared" si="6"/>
        <v>土地使用年限（年）</v>
      </c>
      <c r="R10" s="701" t="s">
        <v>14</v>
      </c>
      <c r="S10" s="702">
        <f t="shared" si="0"/>
        <v>110</v>
      </c>
      <c r="T10" s="701" t="s">
        <v>14</v>
      </c>
      <c r="U10" s="702">
        <f t="shared" si="1"/>
        <v>110</v>
      </c>
      <c r="V10" s="701" t="s">
        <v>14</v>
      </c>
      <c r="W10" s="702">
        <f t="shared" si="2"/>
        <v>110</v>
      </c>
      <c r="X10" s="703"/>
      <c r="Y10" s="3554"/>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1"/>
      <c r="Q11" s="1341"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1"/>
      <c r="Q12" s="1341" t="str">
        <f t="shared" si="6"/>
        <v>配建</v>
      </c>
      <c r="R12" s="701" t="s">
        <v>14</v>
      </c>
      <c r="S12" s="702">
        <f t="shared" si="0"/>
        <v>100</v>
      </c>
      <c r="T12" s="701" t="s">
        <v>14</v>
      </c>
      <c r="U12" s="702">
        <f t="shared" si="1"/>
        <v>100</v>
      </c>
      <c r="V12" s="701" t="s">
        <v>14</v>
      </c>
      <c r="W12" s="702">
        <f t="shared" si="2"/>
        <v>100</v>
      </c>
      <c r="X12" s="703"/>
      <c r="Y12" s="3554"/>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1"/>
      <c r="Q13" s="1341">
        <f t="shared" si="6"/>
        <v>111</v>
      </c>
      <c r="R13" s="701" t="s">
        <v>14</v>
      </c>
      <c r="S13" s="702">
        <f t="shared" si="0"/>
        <v>100</v>
      </c>
      <c r="T13" s="701" t="s">
        <v>14</v>
      </c>
      <c r="U13" s="702">
        <f t="shared" si="1"/>
        <v>100</v>
      </c>
      <c r="V13" s="701" t="s">
        <v>14</v>
      </c>
      <c r="W13" s="702">
        <f t="shared" si="2"/>
        <v>100</v>
      </c>
      <c r="X13" s="703"/>
      <c r="Y13" s="3554"/>
      <c r="Z13" s="52">
        <f t="shared" si="7"/>
        <v>111</v>
      </c>
      <c r="AA13" s="704">
        <f>D13/F13</f>
        <v>1</v>
      </c>
      <c r="AB13" s="704">
        <f>D13/H13</f>
        <v>1</v>
      </c>
      <c r="AC13" s="704">
        <f>D13/J13</f>
        <v>1</v>
      </c>
    </row>
    <row r="14" spans="1:30" ht="15.6"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1"/>
      <c r="Q14" s="1341">
        <f t="shared" si="6"/>
        <v>111</v>
      </c>
      <c r="R14" s="701" t="s">
        <v>14</v>
      </c>
      <c r="S14" s="702">
        <f t="shared" si="0"/>
        <v>100</v>
      </c>
      <c r="T14" s="701" t="s">
        <v>14</v>
      </c>
      <c r="U14" s="702">
        <f t="shared" si="1"/>
        <v>100</v>
      </c>
      <c r="V14" s="701" t="s">
        <v>14</v>
      </c>
      <c r="W14" s="702">
        <f t="shared" si="2"/>
        <v>100</v>
      </c>
      <c r="X14" s="703"/>
      <c r="Y14" s="3554"/>
      <c r="Z14" s="52">
        <f t="shared" si="7"/>
        <v>111</v>
      </c>
      <c r="AA14" s="704">
        <f>D14/F14</f>
        <v>1</v>
      </c>
      <c r="AB14" s="704">
        <f>D14/H14</f>
        <v>1</v>
      </c>
      <c r="AC14" s="704">
        <f>D14/J14</f>
        <v>1</v>
      </c>
    </row>
    <row r="15" spans="1:30" ht="96.6">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5" t="s">
        <v>14</v>
      </c>
      <c r="S15" s="706">
        <f t="shared" si="0"/>
        <v>100</v>
      </c>
      <c r="T15" s="705" t="s">
        <v>14</v>
      </c>
      <c r="U15" s="706">
        <f t="shared" si="1"/>
        <v>100</v>
      </c>
      <c r="V15" s="705" t="s">
        <v>14</v>
      </c>
      <c r="W15" s="706">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5"/>
      <c r="S16" s="706"/>
      <c r="T16" s="705"/>
      <c r="U16" s="706"/>
      <c r="V16" s="705"/>
      <c r="W16" s="706"/>
      <c r="X16" s="1353"/>
      <c r="Y16" s="3669"/>
      <c r="Z16" s="1354"/>
      <c r="AA16" s="1351">
        <v>1</v>
      </c>
      <c r="AB16" s="1351">
        <v>1</v>
      </c>
      <c r="AC16" s="1351">
        <v>1</v>
      </c>
    </row>
    <row r="17" spans="1:29" ht="82.8">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5" t="s">
        <v>14</v>
      </c>
      <c r="S17" s="706">
        <f>F17</f>
        <v>100</v>
      </c>
      <c r="T17" s="705" t="s">
        <v>14</v>
      </c>
      <c r="U17" s="706">
        <f>H17</f>
        <v>100</v>
      </c>
      <c r="V17" s="705" t="s">
        <v>14</v>
      </c>
      <c r="W17" s="706">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5"/>
      <c r="S18" s="706"/>
      <c r="T18" s="705"/>
      <c r="U18" s="706"/>
      <c r="V18" s="705"/>
      <c r="W18" s="706"/>
      <c r="X18" s="1353"/>
      <c r="Y18" s="3669"/>
      <c r="Z18" s="1354"/>
      <c r="AA18" s="1351">
        <v>1</v>
      </c>
      <c r="AB18" s="1351">
        <v>1</v>
      </c>
      <c r="AC18" s="1351">
        <v>1</v>
      </c>
    </row>
    <row r="19" spans="1:29" ht="82.8">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5" t="s">
        <v>14</v>
      </c>
      <c r="S19" s="706">
        <f>F19</f>
        <v>100</v>
      </c>
      <c r="T19" s="705" t="s">
        <v>14</v>
      </c>
      <c r="U19" s="706">
        <f>H19</f>
        <v>100</v>
      </c>
      <c r="V19" s="705" t="s">
        <v>14</v>
      </c>
      <c r="W19" s="706">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5"/>
      <c r="S20" s="706"/>
      <c r="T20" s="705"/>
      <c r="U20" s="706"/>
      <c r="V20" s="705"/>
      <c r="W20" s="706"/>
      <c r="X20" s="1353"/>
      <c r="Y20" s="3669"/>
      <c r="Z20" s="1354"/>
      <c r="AA20" s="1351">
        <v>1</v>
      </c>
      <c r="AB20" s="1351">
        <v>1</v>
      </c>
      <c r="AC20" s="1351">
        <v>1</v>
      </c>
    </row>
    <row r="21" spans="1:29" ht="96.6">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5" t="s">
        <v>14</v>
      </c>
      <c r="S21" s="706">
        <f>F21</f>
        <v>100</v>
      </c>
      <c r="T21" s="705" t="s">
        <v>14</v>
      </c>
      <c r="U21" s="706">
        <f>H21</f>
        <v>100</v>
      </c>
      <c r="V21" s="705" t="s">
        <v>14</v>
      </c>
      <c r="W21" s="706">
        <f>J21</f>
        <v>100</v>
      </c>
      <c r="X21" s="1353"/>
      <c r="Y21" s="3669"/>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20"/>
      <c r="L22" s="2720"/>
      <c r="M22" s="2714"/>
      <c r="N22" s="2714"/>
      <c r="O22" s="2772"/>
      <c r="P22" s="3669"/>
      <c r="Q22" s="1350"/>
      <c r="R22" s="705"/>
      <c r="S22" s="706"/>
      <c r="T22" s="705"/>
      <c r="U22" s="706"/>
      <c r="V22" s="705"/>
      <c r="W22" s="706"/>
      <c r="X22" s="1353"/>
      <c r="Y22" s="3669"/>
      <c r="Z22" s="1354"/>
      <c r="AA22" s="1351">
        <v>1</v>
      </c>
      <c r="AB22" s="1351">
        <v>1</v>
      </c>
      <c r="AC22" s="1351">
        <v>1</v>
      </c>
    </row>
    <row r="23" spans="1:29" ht="28.8">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5" t="s">
        <v>14</v>
      </c>
      <c r="S23" s="706">
        <f>F23</f>
        <v>100</v>
      </c>
      <c r="T23" s="705" t="s">
        <v>14</v>
      </c>
      <c r="U23" s="706">
        <f>H23</f>
        <v>100</v>
      </c>
      <c r="V23" s="705" t="s">
        <v>14</v>
      </c>
      <c r="W23" s="706">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40"/>
      <c r="L24" s="2720"/>
      <c r="M24" s="2714"/>
      <c r="N24" s="2714"/>
      <c r="O24" s="2772"/>
      <c r="P24" s="3669"/>
      <c r="Q24" s="1350"/>
      <c r="R24" s="705"/>
      <c r="S24" s="706"/>
      <c r="T24" s="705"/>
      <c r="U24" s="706"/>
      <c r="V24" s="705"/>
      <c r="W24" s="706"/>
      <c r="X24" s="1353"/>
      <c r="Y24" s="3669"/>
      <c r="Z24" s="1354"/>
      <c r="AA24" s="1351"/>
      <c r="AB24" s="1351"/>
      <c r="AC24" s="1351"/>
    </row>
    <row r="25" spans="1:29" ht="55.2">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5" t="s">
        <v>14</v>
      </c>
      <c r="S25" s="706">
        <f>F25</f>
        <v>100</v>
      </c>
      <c r="T25" s="705" t="s">
        <v>14</v>
      </c>
      <c r="U25" s="706">
        <f>H25</f>
        <v>100</v>
      </c>
      <c r="V25" s="705" t="s">
        <v>14</v>
      </c>
      <c r="W25" s="706">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5"/>
      <c r="S26" s="706"/>
      <c r="T26" s="705"/>
      <c r="U26" s="706"/>
      <c r="V26" s="705"/>
      <c r="W26" s="706"/>
      <c r="X26" s="1353"/>
      <c r="Y26" s="3669"/>
      <c r="Z26" s="1354"/>
      <c r="AA26" s="1351">
        <v>1</v>
      </c>
      <c r="AB26" s="1351">
        <v>1</v>
      </c>
      <c r="AC26" s="1351">
        <v>1</v>
      </c>
    </row>
    <row r="27" spans="1:29" s="108" customFormat="1" ht="41.4">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701" t="s">
        <v>14</v>
      </c>
      <c r="S27" s="702">
        <f>F27</f>
        <v>100</v>
      </c>
      <c r="T27" s="701" t="s">
        <v>14</v>
      </c>
      <c r="U27" s="702">
        <f>H27</f>
        <v>100</v>
      </c>
      <c r="V27" s="701" t="s">
        <v>14</v>
      </c>
      <c r="W27" s="702">
        <f>J27</f>
        <v>100</v>
      </c>
      <c r="X27" s="703"/>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701"/>
      <c r="S28" s="702"/>
      <c r="T28" s="701"/>
      <c r="U28" s="702"/>
      <c r="V28" s="701"/>
      <c r="W28" s="702"/>
      <c r="X28" s="703"/>
      <c r="Y28" s="3669"/>
      <c r="Z28" s="52"/>
      <c r="AA28" s="1351">
        <v>1</v>
      </c>
      <c r="AB28" s="1351">
        <v>1</v>
      </c>
      <c r="AC28" s="1351">
        <v>1</v>
      </c>
    </row>
    <row r="29" spans="1:29" s="108" customFormat="1" ht="41.4">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701"/>
      <c r="S30" s="702"/>
      <c r="T30" s="701"/>
      <c r="U30" s="702"/>
      <c r="V30" s="701"/>
      <c r="W30" s="702"/>
      <c r="X30" s="703"/>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669"/>
      <c r="Z31" s="1354" t="str">
        <f t="shared" ref="Z31:Z45" si="13">Q31</f>
        <v>临街状况</v>
      </c>
      <c r="AA31" s="1351">
        <f t="shared" si="3"/>
        <v>1</v>
      </c>
      <c r="AB31" s="1351">
        <f t="shared" si="4"/>
        <v>1</v>
      </c>
      <c r="AC31" s="1351">
        <f t="shared" si="5"/>
        <v>1</v>
      </c>
    </row>
    <row r="32" spans="1:29" ht="28.8">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5" t="s">
        <v>14</v>
      </c>
      <c r="S32" s="706">
        <f t="shared" si="10"/>
        <v>100</v>
      </c>
      <c r="T32" s="705" t="s">
        <v>14</v>
      </c>
      <c r="U32" s="706">
        <f t="shared" si="11"/>
        <v>100</v>
      </c>
      <c r="V32" s="705" t="s">
        <v>14</v>
      </c>
      <c r="W32" s="706">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5"/>
      <c r="S33" s="706"/>
      <c r="T33" s="705"/>
      <c r="U33" s="706"/>
      <c r="V33" s="705"/>
      <c r="W33" s="706"/>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5" t="s">
        <v>14</v>
      </c>
      <c r="S34" s="706">
        <f t="shared" si="10"/>
        <v>100</v>
      </c>
      <c r="T34" s="705" t="s">
        <v>14</v>
      </c>
      <c r="U34" s="706">
        <f t="shared" si="11"/>
        <v>100</v>
      </c>
      <c r="V34" s="705" t="s">
        <v>14</v>
      </c>
      <c r="W34" s="706">
        <f t="shared" si="12"/>
        <v>100</v>
      </c>
      <c r="X34" s="1353"/>
      <c r="Y34" s="3669"/>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5" t="s">
        <v>14</v>
      </c>
      <c r="S35" s="706">
        <f t="shared" si="10"/>
        <v>100</v>
      </c>
      <c r="T35" s="705" t="s">
        <v>14</v>
      </c>
      <c r="U35" s="706">
        <f t="shared" si="11"/>
        <v>100</v>
      </c>
      <c r="V35" s="705" t="s">
        <v>14</v>
      </c>
      <c r="W35" s="706">
        <f t="shared" si="12"/>
        <v>100</v>
      </c>
      <c r="X35" s="1353"/>
      <c r="Y35" s="3669"/>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5" t="s">
        <v>1696</v>
      </c>
      <c r="Q36" s="1350">
        <f t="shared" si="8"/>
        <v>111</v>
      </c>
      <c r="R36" s="705" t="s">
        <v>14</v>
      </c>
      <c r="S36" s="706">
        <f t="shared" si="10"/>
        <v>100</v>
      </c>
      <c r="T36" s="705" t="s">
        <v>14</v>
      </c>
      <c r="U36" s="706">
        <f t="shared" si="11"/>
        <v>100</v>
      </c>
      <c r="V36" s="705" t="s">
        <v>14</v>
      </c>
      <c r="W36" s="706">
        <f t="shared" si="12"/>
        <v>100</v>
      </c>
      <c r="X36" s="1353"/>
      <c r="Y36" s="3673" t="s">
        <v>1696</v>
      </c>
      <c r="Z36" s="1354">
        <f t="shared" si="13"/>
        <v>111</v>
      </c>
      <c r="AA36" s="1351">
        <f t="shared" si="3"/>
        <v>1</v>
      </c>
      <c r="AB36" s="1351">
        <f t="shared" si="4"/>
        <v>1</v>
      </c>
      <c r="AC36" s="1351">
        <f t="shared" si="5"/>
        <v>1</v>
      </c>
    </row>
    <row r="37" spans="1:29" s="422" customFormat="1" ht="15.6"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8" t="s">
        <v>14</v>
      </c>
      <c r="S37" s="709">
        <f t="shared" si="10"/>
        <v>100</v>
      </c>
      <c r="T37" s="708" t="s">
        <v>14</v>
      </c>
      <c r="U37" s="709">
        <f t="shared" si="11"/>
        <v>100</v>
      </c>
      <c r="V37" s="708" t="s">
        <v>14</v>
      </c>
      <c r="W37" s="709">
        <f t="shared" si="12"/>
        <v>100</v>
      </c>
      <c r="X37" s="710"/>
      <c r="Y37" s="3673"/>
      <c r="Z37" s="711">
        <f t="shared" si="13"/>
        <v>111</v>
      </c>
      <c r="AA37" s="1351">
        <f t="shared" si="3"/>
        <v>1</v>
      </c>
      <c r="AB37" s="1351">
        <f t="shared" si="4"/>
        <v>1</v>
      </c>
      <c r="AC37" s="1351">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5" t="s">
        <v>14</v>
      </c>
      <c r="S38" s="706" t="e">
        <f t="shared" si="10"/>
        <v>#N/A</v>
      </c>
      <c r="T38" s="705" t="s">
        <v>14</v>
      </c>
      <c r="U38" s="706" t="e">
        <f t="shared" si="11"/>
        <v>#N/A</v>
      </c>
      <c r="V38" s="705" t="s">
        <v>14</v>
      </c>
      <c r="W38" s="706"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5" t="s">
        <v>14</v>
      </c>
      <c r="S39" s="706">
        <f t="shared" si="10"/>
        <v>100</v>
      </c>
      <c r="T39" s="705" t="s">
        <v>14</v>
      </c>
      <c r="U39" s="706">
        <f t="shared" si="11"/>
        <v>100</v>
      </c>
      <c r="V39" s="705" t="s">
        <v>14</v>
      </c>
      <c r="W39" s="706">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5" t="s">
        <v>14</v>
      </c>
      <c r="S40" s="706">
        <f t="shared" si="10"/>
        <v>100</v>
      </c>
      <c r="T40" s="705" t="s">
        <v>14</v>
      </c>
      <c r="U40" s="706">
        <f t="shared" si="11"/>
        <v>100</v>
      </c>
      <c r="V40" s="705" t="s">
        <v>14</v>
      </c>
      <c r="W40" s="706">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5" t="s">
        <v>14</v>
      </c>
      <c r="S42" s="706">
        <f t="shared" si="10"/>
        <v>100</v>
      </c>
      <c r="T42" s="705" t="s">
        <v>14</v>
      </c>
      <c r="U42" s="706">
        <f t="shared" si="11"/>
        <v>100</v>
      </c>
      <c r="V42" s="705" t="s">
        <v>14</v>
      </c>
      <c r="W42" s="706">
        <f t="shared" si="12"/>
        <v>100</v>
      </c>
      <c r="X42" s="1353"/>
      <c r="Y42" s="3673"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5" t="s">
        <v>14</v>
      </c>
      <c r="S43" s="706">
        <f t="shared" si="10"/>
        <v>100</v>
      </c>
      <c r="T43" s="705" t="s">
        <v>14</v>
      </c>
      <c r="U43" s="706">
        <f t="shared" si="11"/>
        <v>100</v>
      </c>
      <c r="V43" s="705" t="s">
        <v>14</v>
      </c>
      <c r="W43" s="706">
        <f t="shared" si="12"/>
        <v>100</v>
      </c>
      <c r="X43" s="1353"/>
      <c r="Y43" s="3673"/>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5" t="s">
        <v>14</v>
      </c>
      <c r="S44" s="706">
        <f t="shared" si="10"/>
        <v>100</v>
      </c>
      <c r="T44" s="705" t="s">
        <v>14</v>
      </c>
      <c r="U44" s="706">
        <f t="shared" si="11"/>
        <v>100</v>
      </c>
      <c r="V44" s="705" t="s">
        <v>14</v>
      </c>
      <c r="W44" s="706">
        <f t="shared" si="12"/>
        <v>100</v>
      </c>
      <c r="X44" s="1353"/>
      <c r="Y44" s="3673"/>
      <c r="Z44" s="1354">
        <f t="shared" si="13"/>
        <v>111</v>
      </c>
      <c r="AA44" s="1351">
        <f t="shared" si="3"/>
        <v>1</v>
      </c>
      <c r="AB44" s="1351">
        <f t="shared" si="4"/>
        <v>1</v>
      </c>
      <c r="AC44" s="1351">
        <f t="shared" si="5"/>
        <v>1</v>
      </c>
    </row>
    <row r="45" spans="1:29" s="422" customFormat="1" ht="15.6"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8" t="s">
        <v>14</v>
      </c>
      <c r="S45" s="709">
        <f t="shared" si="10"/>
        <v>100</v>
      </c>
      <c r="T45" s="708" t="s">
        <v>14</v>
      </c>
      <c r="U45" s="709">
        <f t="shared" si="11"/>
        <v>100</v>
      </c>
      <c r="V45" s="708" t="s">
        <v>14</v>
      </c>
      <c r="W45" s="709">
        <f t="shared" si="12"/>
        <v>100</v>
      </c>
      <c r="X45" s="710"/>
      <c r="Y45" s="3673"/>
      <c r="Z45" s="711">
        <f t="shared" si="13"/>
        <v>111</v>
      </c>
      <c r="AA45" s="1351">
        <f t="shared" si="3"/>
        <v>1</v>
      </c>
      <c r="AB45" s="1351">
        <f t="shared" si="4"/>
        <v>1</v>
      </c>
      <c r="AC45" s="1351">
        <f t="shared" si="5"/>
        <v>1</v>
      </c>
    </row>
    <row r="46" spans="1:29" ht="14.4">
      <c r="A46" s="430" t="s">
        <v>1844</v>
      </c>
      <c r="B46" s="1980" t="s">
        <v>1879</v>
      </c>
      <c r="C46" s="630" t="s">
        <v>0</v>
      </c>
      <c r="D46" s="432"/>
      <c r="E46" s="433"/>
      <c r="F46" s="434"/>
      <c r="G46" s="435"/>
      <c r="H46" s="436"/>
      <c r="I46" s="433"/>
      <c r="J46" s="436"/>
      <c r="K46" s="714"/>
      <c r="L46" s="2722"/>
      <c r="M46" s="2723"/>
      <c r="N46" s="2714"/>
      <c r="O46" s="2723"/>
      <c r="P46" s="3661" t="str">
        <f>A46</f>
        <v>成交单价</v>
      </c>
      <c r="Q46" s="3661"/>
      <c r="R46" s="3675">
        <f>E46</f>
        <v>0</v>
      </c>
      <c r="S46" s="3675"/>
      <c r="T46" s="3675">
        <f>G46</f>
        <v>0</v>
      </c>
      <c r="U46" s="3675"/>
      <c r="V46" s="3675">
        <f>I46</f>
        <v>0</v>
      </c>
      <c r="W46" s="3675"/>
      <c r="X46" s="690"/>
      <c r="Y46" s="712"/>
      <c r="Z46" s="690"/>
      <c r="AA46" s="690"/>
      <c r="AB46" s="690"/>
      <c r="AC46" s="690"/>
    </row>
    <row r="47" spans="1:29" ht="15" thickBot="1">
      <c r="A47" s="437" t="s">
        <v>1793</v>
      </c>
      <c r="B47" s="631"/>
      <c r="C47" s="440" t="e">
        <f>R48</f>
        <v>#DIV/0!</v>
      </c>
      <c r="D47" s="2315" t="s">
        <v>2133</v>
      </c>
      <c r="E47" s="440" t="e">
        <f>R47</f>
        <v>#DIV/0!</v>
      </c>
      <c r="F47" s="2316"/>
      <c r="G47" s="439" t="e">
        <f>T47</f>
        <v>#DIV/0!</v>
      </c>
      <c r="H47" s="2316"/>
      <c r="I47" s="440" t="e">
        <f>V47</f>
        <v>#DIV/0!</v>
      </c>
      <c r="J47" s="2316"/>
      <c r="K47" s="2318">
        <f>F47+H47+J47</f>
        <v>0</v>
      </c>
      <c r="L47" s="2722"/>
      <c r="M47" s="2723"/>
      <c r="N47" s="2723"/>
      <c r="O47" s="2723"/>
      <c r="P47" s="3661" t="str">
        <f>A47</f>
        <v>比较价值（元/平方米）</v>
      </c>
      <c r="Q47" s="3661"/>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663" t="str">
        <f>A48</f>
        <v>估价对象XX用房的比较价值（楼面单价，元/平方米）</v>
      </c>
      <c r="Q48" s="3664"/>
      <c r="R48" s="3748" t="e">
        <f>ROUND(IF(D47="简单平均",AVERAGE(R47:W47),R47*F47+T47*H47+V47*J47),0)</f>
        <v>#DIV/0!</v>
      </c>
      <c r="S48" s="3748"/>
      <c r="T48" s="3748"/>
      <c r="U48" s="3748"/>
      <c r="V48" s="3748"/>
      <c r="W48" s="3748"/>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680" t="s">
        <v>1887</v>
      </c>
      <c r="H55" s="3749"/>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87.01</v>
      </c>
      <c r="F56" s="886" t="e">
        <f t="shared" ref="F56:F64" si="15">ROUND(B56*E56/10000,0)</f>
        <v>#DIV/0!</v>
      </c>
      <c r="G56" s="3676"/>
      <c r="H56" s="3661"/>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87.01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7"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75" t="s">
        <v>1773</v>
      </c>
      <c r="W4" s="3675"/>
      <c r="X4" s="1353"/>
      <c r="Y4" s="3690" t="s">
        <v>1775</v>
      </c>
      <c r="Z4" s="3691"/>
      <c r="AA4" s="3677" t="s">
        <v>1771</v>
      </c>
      <c r="AB4" s="3678" t="s">
        <v>1772</v>
      </c>
      <c r="AC4" s="3677" t="s">
        <v>1773</v>
      </c>
    </row>
    <row r="5" spans="1:29">
      <c r="A5" s="358"/>
      <c r="B5" s="359"/>
      <c r="C5" s="3698" t="s">
        <v>1673</v>
      </c>
      <c r="D5" s="3699"/>
      <c r="E5" s="3729" t="s">
        <v>1674</v>
      </c>
      <c r="F5" s="3707"/>
      <c r="G5" s="3698" t="s">
        <v>1675</v>
      </c>
      <c r="H5" s="3699"/>
      <c r="I5" s="3698" t="s">
        <v>1676</v>
      </c>
      <c r="J5" s="3699"/>
      <c r="K5" s="559"/>
      <c r="L5" s="2713"/>
      <c r="M5" s="2714"/>
      <c r="N5" s="2714"/>
      <c r="O5" s="2714"/>
      <c r="P5" s="3686"/>
      <c r="Q5" s="3687"/>
      <c r="R5" s="3692"/>
      <c r="S5" s="3693"/>
      <c r="T5" s="3692"/>
      <c r="U5" s="3693"/>
      <c r="V5" s="3675"/>
      <c r="W5" s="3675"/>
      <c r="X5" s="1353"/>
      <c r="Y5" s="3692"/>
      <c r="Z5" s="3693"/>
      <c r="AA5" s="3678"/>
      <c r="AB5" s="3678"/>
      <c r="AC5" s="3678"/>
    </row>
    <row r="6" spans="1:29" ht="15" thickBot="1">
      <c r="A6" s="360"/>
      <c r="B6" s="361"/>
      <c r="C6" s="3750" t="s">
        <v>1919</v>
      </c>
      <c r="D6" s="3751"/>
      <c r="E6" s="3752" t="s">
        <v>1919</v>
      </c>
      <c r="F6" s="3753"/>
      <c r="G6" s="3750" t="s">
        <v>1919</v>
      </c>
      <c r="H6" s="3751"/>
      <c r="I6" s="3750" t="s">
        <v>1919</v>
      </c>
      <c r="J6" s="3751"/>
      <c r="K6" s="559" t="s">
        <v>1678</v>
      </c>
      <c r="L6" s="2713"/>
      <c r="M6" s="2714"/>
      <c r="N6" s="2714"/>
      <c r="O6" s="2714"/>
      <c r="P6" s="3688"/>
      <c r="Q6" s="3689"/>
      <c r="R6" s="3692"/>
      <c r="S6" s="3693"/>
      <c r="T6" s="3694"/>
      <c r="U6" s="3695"/>
      <c r="V6" s="3675"/>
      <c r="W6" s="3675"/>
      <c r="X6" s="1353"/>
      <c r="Y6" s="3694"/>
      <c r="Z6" s="3695"/>
      <c r="AA6" s="3679"/>
      <c r="AB6" s="3679"/>
      <c r="AC6" s="3679"/>
    </row>
    <row r="7" spans="1:29" s="108" customFormat="1" ht="15" thickBot="1">
      <c r="A7" s="362" t="s">
        <v>1679</v>
      </c>
      <c r="B7" s="363"/>
      <c r="C7" s="364">
        <f>'数据-取费表'!B2</f>
        <v>45322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ht="14.4">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1" t="s">
        <v>1686</v>
      </c>
      <c r="Q9" s="1341"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661"/>
      <c r="Q10" s="1341" t="str">
        <f t="shared" si="6"/>
        <v>土地使用年限（年）</v>
      </c>
      <c r="R10" s="701" t="s">
        <v>14</v>
      </c>
      <c r="S10" s="702">
        <f t="shared" si="0"/>
        <v>110</v>
      </c>
      <c r="T10" s="701" t="s">
        <v>14</v>
      </c>
      <c r="U10" s="702">
        <f t="shared" si="1"/>
        <v>110</v>
      </c>
      <c r="V10" s="701" t="s">
        <v>14</v>
      </c>
      <c r="W10" s="702">
        <f t="shared" si="2"/>
        <v>110</v>
      </c>
      <c r="X10" s="703"/>
      <c r="Y10" s="3554"/>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1"/>
      <c r="Q11" s="1341"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1"/>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1"/>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6"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1"/>
      <c r="Q14" s="1341">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69">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5" t="s">
        <v>14</v>
      </c>
      <c r="S15" s="706">
        <f t="shared" si="0"/>
        <v>100</v>
      </c>
      <c r="T15" s="705" t="s">
        <v>14</v>
      </c>
      <c r="U15" s="706">
        <f t="shared" si="1"/>
        <v>100</v>
      </c>
      <c r="V15" s="705" t="s">
        <v>14</v>
      </c>
      <c r="W15" s="706">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5"/>
      <c r="S16" s="706"/>
      <c r="T16" s="705"/>
      <c r="U16" s="706"/>
      <c r="V16" s="705"/>
      <c r="W16" s="706"/>
      <c r="X16" s="1353"/>
      <c r="Y16" s="3669"/>
      <c r="Z16" s="1354"/>
      <c r="AA16" s="1351">
        <v>1</v>
      </c>
      <c r="AB16" s="1351">
        <v>1</v>
      </c>
      <c r="AC16" s="1351">
        <v>1</v>
      </c>
    </row>
    <row r="17" spans="1:29" ht="96.6">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5" t="s">
        <v>14</v>
      </c>
      <c r="S17" s="706">
        <f>F17</f>
        <v>100</v>
      </c>
      <c r="T17" s="705" t="s">
        <v>14</v>
      </c>
      <c r="U17" s="706">
        <f>H17</f>
        <v>100</v>
      </c>
      <c r="V17" s="705" t="s">
        <v>14</v>
      </c>
      <c r="W17" s="706">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5"/>
      <c r="S18" s="706"/>
      <c r="T18" s="705"/>
      <c r="U18" s="706"/>
      <c r="V18" s="705"/>
      <c r="W18" s="706"/>
      <c r="X18" s="1353"/>
      <c r="Y18" s="3669"/>
      <c r="Z18" s="1354"/>
      <c r="AA18" s="1351">
        <v>1</v>
      </c>
      <c r="AB18" s="1351">
        <v>1</v>
      </c>
      <c r="AC18" s="1351">
        <v>1</v>
      </c>
    </row>
    <row r="19" spans="1:29" ht="28.8">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5" t="s">
        <v>14</v>
      </c>
      <c r="S19" s="706">
        <f>F19</f>
        <v>100</v>
      </c>
      <c r="T19" s="705" t="s">
        <v>14</v>
      </c>
      <c r="U19" s="706">
        <f>H19</f>
        <v>100</v>
      </c>
      <c r="V19" s="705" t="s">
        <v>14</v>
      </c>
      <c r="W19" s="706">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40"/>
      <c r="L20" s="2720"/>
      <c r="M20" s="2714"/>
      <c r="N20" s="2714"/>
      <c r="O20" s="2772"/>
      <c r="P20" s="3669"/>
      <c r="Q20" s="1350"/>
      <c r="R20" s="705"/>
      <c r="S20" s="706"/>
      <c r="T20" s="705"/>
      <c r="U20" s="706"/>
      <c r="V20" s="705"/>
      <c r="W20" s="706"/>
      <c r="X20" s="1353"/>
      <c r="Y20" s="3669"/>
      <c r="Z20" s="1354"/>
      <c r="AA20" s="1351"/>
      <c r="AB20" s="1351"/>
      <c r="AC20" s="1351"/>
    </row>
    <row r="21" spans="1:29" ht="82.8">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5" t="s">
        <v>14</v>
      </c>
      <c r="S21" s="706">
        <f>F21</f>
        <v>100</v>
      </c>
      <c r="T21" s="705" t="s">
        <v>14</v>
      </c>
      <c r="U21" s="706">
        <f>H21</f>
        <v>100</v>
      </c>
      <c r="V21" s="705" t="s">
        <v>14</v>
      </c>
      <c r="W21" s="706">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5"/>
      <c r="S22" s="706"/>
      <c r="T22" s="705"/>
      <c r="U22" s="706"/>
      <c r="V22" s="705"/>
      <c r="W22" s="706"/>
      <c r="X22" s="1353"/>
      <c r="Y22" s="3669"/>
      <c r="Z22" s="1354"/>
      <c r="AA22" s="1351">
        <v>1</v>
      </c>
      <c r="AB22" s="1351">
        <v>1</v>
      </c>
      <c r="AC22" s="1351">
        <v>1</v>
      </c>
    </row>
    <row r="23" spans="1:29" s="108" customFormat="1" ht="41.4">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701" t="s">
        <v>14</v>
      </c>
      <c r="S23" s="702">
        <f>F23</f>
        <v>100</v>
      </c>
      <c r="T23" s="701" t="s">
        <v>14</v>
      </c>
      <c r="U23" s="702">
        <f>H23</f>
        <v>100</v>
      </c>
      <c r="V23" s="701" t="s">
        <v>14</v>
      </c>
      <c r="W23" s="702">
        <f>J23</f>
        <v>100</v>
      </c>
      <c r="X23" s="703"/>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701"/>
      <c r="S24" s="702"/>
      <c r="T24" s="701"/>
      <c r="U24" s="702"/>
      <c r="V24" s="701"/>
      <c r="W24" s="702"/>
      <c r="X24" s="703"/>
      <c r="Y24" s="3669"/>
      <c r="Z24" s="52"/>
      <c r="AA24" s="704">
        <v>1</v>
      </c>
      <c r="AB24" s="704">
        <v>1</v>
      </c>
      <c r="AC24" s="704">
        <v>1</v>
      </c>
    </row>
    <row r="25" spans="1:29" s="108" customFormat="1" ht="41.4">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669"/>
      <c r="Z27" s="1354" t="str">
        <f t="shared" ref="Z27:Z40" si="13">Q27</f>
        <v>临街状况</v>
      </c>
      <c r="AA27" s="1351">
        <f t="shared" si="3"/>
        <v>1</v>
      </c>
      <c r="AB27" s="1351">
        <f t="shared" si="4"/>
        <v>1</v>
      </c>
      <c r="AC27" s="1351">
        <f t="shared" si="5"/>
        <v>1</v>
      </c>
    </row>
    <row r="28" spans="1:29" ht="28.8">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5" t="s">
        <v>14</v>
      </c>
      <c r="S28" s="706">
        <f t="shared" si="10"/>
        <v>100</v>
      </c>
      <c r="T28" s="705" t="s">
        <v>14</v>
      </c>
      <c r="U28" s="706">
        <f t="shared" si="11"/>
        <v>100</v>
      </c>
      <c r="V28" s="705" t="s">
        <v>14</v>
      </c>
      <c r="W28" s="706">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5"/>
      <c r="S29" s="706"/>
      <c r="T29" s="705"/>
      <c r="U29" s="706"/>
      <c r="V29" s="705"/>
      <c r="W29" s="706"/>
      <c r="X29" s="1353"/>
      <c r="Y29" s="3669"/>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5" t="s">
        <v>14</v>
      </c>
      <c r="S30" s="706">
        <f t="shared" si="10"/>
        <v>100</v>
      </c>
      <c r="T30" s="705" t="s">
        <v>14</v>
      </c>
      <c r="U30" s="706">
        <f t="shared" si="11"/>
        <v>100</v>
      </c>
      <c r="V30" s="705" t="s">
        <v>14</v>
      </c>
      <c r="W30" s="706">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5" t="s">
        <v>14</v>
      </c>
      <c r="S31" s="706">
        <f t="shared" si="10"/>
        <v>100</v>
      </c>
      <c r="T31" s="705" t="s">
        <v>14</v>
      </c>
      <c r="U31" s="706">
        <f t="shared" si="11"/>
        <v>100</v>
      </c>
      <c r="V31" s="705" t="s">
        <v>14</v>
      </c>
      <c r="W31" s="706">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5" t="s">
        <v>1696</v>
      </c>
      <c r="Q32" s="1350">
        <f t="shared" si="8"/>
        <v>111</v>
      </c>
      <c r="R32" s="705" t="s">
        <v>14</v>
      </c>
      <c r="S32" s="706">
        <f t="shared" si="10"/>
        <v>100</v>
      </c>
      <c r="T32" s="705" t="s">
        <v>14</v>
      </c>
      <c r="U32" s="706">
        <f t="shared" si="11"/>
        <v>100</v>
      </c>
      <c r="V32" s="705" t="s">
        <v>14</v>
      </c>
      <c r="W32" s="706">
        <f t="shared" si="12"/>
        <v>100</v>
      </c>
      <c r="X32" s="1353"/>
      <c r="Y32" s="3673" t="s">
        <v>1696</v>
      </c>
      <c r="Z32" s="1354">
        <f t="shared" si="13"/>
        <v>111</v>
      </c>
      <c r="AA32" s="1351">
        <f t="shared" si="3"/>
        <v>1</v>
      </c>
      <c r="AB32" s="1351">
        <f t="shared" si="4"/>
        <v>1</v>
      </c>
      <c r="AC32" s="1351">
        <f t="shared" si="5"/>
        <v>1</v>
      </c>
    </row>
    <row r="33" spans="1:31" s="422" customFormat="1" ht="15.6"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8" t="s">
        <v>14</v>
      </c>
      <c r="S33" s="709">
        <f t="shared" si="10"/>
        <v>100</v>
      </c>
      <c r="T33" s="708" t="s">
        <v>14</v>
      </c>
      <c r="U33" s="709">
        <f t="shared" si="11"/>
        <v>100</v>
      </c>
      <c r="V33" s="708" t="s">
        <v>14</v>
      </c>
      <c r="W33" s="709">
        <f t="shared" si="12"/>
        <v>100</v>
      </c>
      <c r="X33" s="710"/>
      <c r="Y33" s="3673"/>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5" t="s">
        <v>14</v>
      </c>
      <c r="S34" s="706" t="e">
        <f t="shared" si="10"/>
        <v>#N/A</v>
      </c>
      <c r="T34" s="705" t="s">
        <v>14</v>
      </c>
      <c r="U34" s="706" t="e">
        <f t="shared" si="11"/>
        <v>#N/A</v>
      </c>
      <c r="V34" s="705" t="s">
        <v>14</v>
      </c>
      <c r="W34" s="706"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5" t="s">
        <v>14</v>
      </c>
      <c r="S35" s="706">
        <f t="shared" si="10"/>
        <v>100</v>
      </c>
      <c r="T35" s="705" t="s">
        <v>14</v>
      </c>
      <c r="U35" s="706">
        <f t="shared" si="11"/>
        <v>100</v>
      </c>
      <c r="V35" s="705" t="s">
        <v>14</v>
      </c>
      <c r="W35" s="706">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5" t="s">
        <v>14</v>
      </c>
      <c r="S37" s="706">
        <f t="shared" si="10"/>
        <v>100</v>
      </c>
      <c r="T37" s="705" t="s">
        <v>14</v>
      </c>
      <c r="U37" s="706">
        <f t="shared" si="11"/>
        <v>100</v>
      </c>
      <c r="V37" s="705" t="s">
        <v>14</v>
      </c>
      <c r="W37" s="706">
        <f t="shared" si="12"/>
        <v>100</v>
      </c>
      <c r="X37" s="1353"/>
      <c r="Y37" s="3673"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5" t="s">
        <v>14</v>
      </c>
      <c r="S38" s="706">
        <f t="shared" si="10"/>
        <v>100</v>
      </c>
      <c r="T38" s="705" t="s">
        <v>14</v>
      </c>
      <c r="U38" s="706">
        <f t="shared" si="11"/>
        <v>100</v>
      </c>
      <c r="V38" s="705" t="s">
        <v>14</v>
      </c>
      <c r="W38" s="706">
        <f t="shared" si="12"/>
        <v>100</v>
      </c>
      <c r="X38" s="1353"/>
      <c r="Y38" s="3673"/>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5" t="s">
        <v>14</v>
      </c>
      <c r="S39" s="706">
        <f t="shared" si="10"/>
        <v>100</v>
      </c>
      <c r="T39" s="705" t="s">
        <v>14</v>
      </c>
      <c r="U39" s="706">
        <f t="shared" si="11"/>
        <v>100</v>
      </c>
      <c r="V39" s="705" t="s">
        <v>14</v>
      </c>
      <c r="W39" s="706">
        <f t="shared" si="12"/>
        <v>100</v>
      </c>
      <c r="X39" s="1353"/>
      <c r="Y39" s="3673"/>
      <c r="Z39" s="1354">
        <f t="shared" si="13"/>
        <v>111</v>
      </c>
      <c r="AA39" s="1351">
        <f t="shared" si="3"/>
        <v>1</v>
      </c>
      <c r="AB39" s="1351">
        <f t="shared" si="4"/>
        <v>1</v>
      </c>
      <c r="AC39" s="1351">
        <f t="shared" si="5"/>
        <v>1</v>
      </c>
    </row>
    <row r="40" spans="1:31" s="422" customFormat="1" ht="15.6"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8" t="s">
        <v>14</v>
      </c>
      <c r="S40" s="709">
        <f t="shared" si="10"/>
        <v>100</v>
      </c>
      <c r="T40" s="708" t="s">
        <v>14</v>
      </c>
      <c r="U40" s="709">
        <f t="shared" si="11"/>
        <v>100</v>
      </c>
      <c r="V40" s="708" t="s">
        <v>14</v>
      </c>
      <c r="W40" s="709">
        <f t="shared" si="12"/>
        <v>100</v>
      </c>
      <c r="X40" s="710"/>
      <c r="Y40" s="3673"/>
      <c r="Z40" s="711">
        <f t="shared" si="13"/>
        <v>111</v>
      </c>
      <c r="AA40" s="1351">
        <f t="shared" si="3"/>
        <v>1</v>
      </c>
      <c r="AB40" s="1351">
        <f t="shared" si="4"/>
        <v>1</v>
      </c>
      <c r="AC40" s="1351">
        <f t="shared" si="5"/>
        <v>1</v>
      </c>
    </row>
    <row r="41" spans="1:31" ht="14.4">
      <c r="A41" s="430" t="s">
        <v>1844</v>
      </c>
      <c r="B41" s="1980" t="s">
        <v>1922</v>
      </c>
      <c r="C41" s="630" t="s">
        <v>0</v>
      </c>
      <c r="D41" s="432"/>
      <c r="E41" s="433"/>
      <c r="F41" s="434"/>
      <c r="G41" s="435"/>
      <c r="H41" s="436"/>
      <c r="I41" s="433"/>
      <c r="J41" s="436"/>
      <c r="K41" s="714"/>
      <c r="L41" s="2722"/>
      <c r="M41" s="2714"/>
      <c r="N41" s="2714"/>
      <c r="O41" s="2723"/>
      <c r="P41" s="3661" t="str">
        <f>A41</f>
        <v>成交单价</v>
      </c>
      <c r="Q41" s="3661"/>
      <c r="R41" s="3675">
        <f>E41</f>
        <v>0</v>
      </c>
      <c r="S41" s="3675"/>
      <c r="T41" s="3675">
        <f>G41</f>
        <v>0</v>
      </c>
      <c r="U41" s="3675"/>
      <c r="V41" s="3675">
        <f>I41</f>
        <v>0</v>
      </c>
      <c r="W41" s="3675"/>
      <c r="X41" s="690"/>
      <c r="Y41" s="712"/>
      <c r="Z41" s="690"/>
      <c r="AA41" s="690"/>
      <c r="AB41" s="690"/>
      <c r="AC41" s="690"/>
    </row>
    <row r="42" spans="1:31" ht="15" thickBot="1">
      <c r="A42" s="437" t="s">
        <v>1793</v>
      </c>
      <c r="B42" s="631"/>
      <c r="C42" s="440" t="e">
        <f>R43</f>
        <v>#DIV/0!</v>
      </c>
      <c r="D42" s="2315" t="s">
        <v>2133</v>
      </c>
      <c r="E42" s="440" t="e">
        <f>R42</f>
        <v>#DIV/0!</v>
      </c>
      <c r="F42" s="2316"/>
      <c r="G42" s="439" t="e">
        <f>T42</f>
        <v>#DIV/0!</v>
      </c>
      <c r="H42" s="2316"/>
      <c r="I42" s="440" t="e">
        <f>V42</f>
        <v>#DIV/0!</v>
      </c>
      <c r="J42" s="2316"/>
      <c r="K42" s="2318">
        <f>F42+H42+J42</f>
        <v>0</v>
      </c>
      <c r="L42" s="2722"/>
      <c r="M42" s="2714"/>
      <c r="N42" s="2714"/>
      <c r="O42" s="2723"/>
      <c r="P42" s="3661" t="str">
        <f>A42</f>
        <v>比较价值（元/平方米）</v>
      </c>
      <c r="Q42" s="3661"/>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663" t="str">
        <f>A43</f>
        <v>估价对象XX用房的比较价值（楼面单价，元/平方米）</v>
      </c>
      <c r="Q43" s="3664"/>
      <c r="R43" s="3748" t="e">
        <f>ROUND(IF(D42="简单平均",AVERAGE(R42:W42),R42*F42+T42*H42+V42*J42),0)</f>
        <v>#DIV/0!</v>
      </c>
      <c r="S43" s="3748"/>
      <c r="T43" s="3748"/>
      <c r="U43" s="3748"/>
      <c r="V43" s="3748"/>
      <c r="W43" s="3748"/>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1" t="s">
        <v>1883</v>
      </c>
      <c r="D50" s="1982" t="s">
        <v>1884</v>
      </c>
      <c r="E50" s="634" t="s">
        <v>1885</v>
      </c>
      <c r="F50" s="635" t="s">
        <v>1886</v>
      </c>
      <c r="G50" s="3680" t="s">
        <v>1887</v>
      </c>
      <c r="H50" s="3749"/>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87.01</v>
      </c>
      <c r="F51" s="639" t="e">
        <f t="shared" ref="F51:F60" si="15">ROUND(B51*E51/10000,0)</f>
        <v>#DIV/0!</v>
      </c>
      <c r="G51" s="3676"/>
      <c r="H51" s="3661"/>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7"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3.8"/>
  <cols>
    <col min="1" max="1" width="23.33203125" style="1475" customWidth="1"/>
    <col min="2" max="2" width="12.44140625" style="1475" customWidth="1"/>
    <col min="3" max="3" width="12.109375" style="1475" customWidth="1"/>
    <col min="4" max="4" width="14.109375" style="1475" customWidth="1"/>
    <col min="5" max="5" width="12.44140625" style="1475" customWidth="1"/>
    <col min="6" max="16384" width="9" style="1475"/>
  </cols>
  <sheetData>
    <row r="1" spans="1:16" ht="21.6">
      <c r="A1" s="1865" t="s">
        <v>2081</v>
      </c>
      <c r="B1" s="2145"/>
      <c r="C1" s="2145"/>
      <c r="D1" s="2145"/>
      <c r="E1" s="2145"/>
      <c r="F1" s="2791"/>
      <c r="G1" s="2791"/>
      <c r="H1" s="2791"/>
      <c r="I1" s="2791"/>
      <c r="J1" s="2791"/>
      <c r="K1" s="2791"/>
      <c r="L1" s="2791"/>
      <c r="M1" s="2791"/>
      <c r="N1" s="2791"/>
      <c r="O1" s="2791"/>
      <c r="P1" s="2791"/>
    </row>
    <row r="2" spans="1:16" ht="15.6">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6">
      <c r="A3" s="2143" t="s">
        <v>2076</v>
      </c>
      <c r="B3" s="2600" t="e">
        <f ca="1">ROUND(B2*10000/E2,0)</f>
        <v>#DIV/0!</v>
      </c>
      <c r="C3" s="2143"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4"/>
      <c r="D5" s="2791"/>
      <c r="E5" s="2609" t="s">
        <v>2079</v>
      </c>
      <c r="F5" s="2791"/>
      <c r="G5" s="2791"/>
      <c r="H5" s="2791"/>
      <c r="I5" s="2791"/>
      <c r="J5" s="2791"/>
      <c r="K5" s="2791"/>
      <c r="L5" s="2791"/>
      <c r="M5" s="2791"/>
      <c r="N5" s="2791"/>
      <c r="O5" s="2791"/>
      <c r="P5" s="2791"/>
    </row>
    <row r="6" spans="1:16" ht="15.6">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6">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G62" activeCellId="1" sqref="F39:F48 G62"/>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20" customWidth="1"/>
    <col min="33" max="36" width="9.33203125" style="2051" customWidth="1"/>
    <col min="37" max="38" width="9.33203125" style="1996" customWidth="1"/>
    <col min="39" max="16384" width="12" style="1996"/>
  </cols>
  <sheetData>
    <row r="1" spans="1:36" ht="31.2">
      <c r="A1" s="196" t="s">
        <v>1926</v>
      </c>
      <c r="B1" s="197"/>
      <c r="C1" s="201" t="s">
        <v>1927</v>
      </c>
      <c r="D1" s="342">
        <f>SUM(D33:D34,D37:D42)</f>
        <v>0</v>
      </c>
      <c r="E1" s="1993"/>
      <c r="F1" s="1993"/>
      <c r="G1" s="1993"/>
      <c r="H1" s="1993"/>
      <c r="I1" s="1993"/>
      <c r="J1" s="1993"/>
      <c r="K1" s="1118"/>
      <c r="L1" s="1994" t="s">
        <v>1928</v>
      </c>
      <c r="M1" s="863">
        <f>SUMPRODUCT((区片价!B5:B9=I2)*(区片价!C3:G3=E2)*(区片价!C5:G9))</f>
        <v>0</v>
      </c>
      <c r="N1" s="866">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6">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8"/>
      <c r="L2" s="2001" t="s">
        <v>1939</v>
      </c>
      <c r="M2" s="864">
        <f>SUMPRODUCT((区片价!B10:B29=I2)*(区片价!C3:G3=E2)*(区片价!C10:G29))</f>
        <v>0</v>
      </c>
      <c r="N2" s="866">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6">
      <c r="A3" s="203" t="s">
        <v>1940</v>
      </c>
      <c r="B3" s="204" t="e">
        <f>ROUND(B2*10000/D1,0)</f>
        <v>#DIV/0!</v>
      </c>
      <c r="C3" s="1997" t="s">
        <v>1941</v>
      </c>
      <c r="D3" s="1998" t="s">
        <v>1942</v>
      </c>
      <c r="E3" s="3418"/>
      <c r="F3" s="2002"/>
      <c r="G3" s="752">
        <f>IF(F3="宗地容积率",'数据-汇总表'!I4,IF(F3="估价对象容积率",'数据-汇总表'!I6,'数据-汇总表'!I7))</f>
        <v>0</v>
      </c>
      <c r="H3" s="170" t="s">
        <v>1943</v>
      </c>
      <c r="I3" s="775"/>
      <c r="J3" s="2000" t="s">
        <v>1944</v>
      </c>
      <c r="K3" s="1118"/>
      <c r="L3" s="2001" t="s">
        <v>1945</v>
      </c>
      <c r="M3" s="864">
        <f>SUMPRODUCT((区片价!B30:B54=I2)*(区片价!C3:G3=E2)*(区片价!C30:G54))</f>
        <v>0</v>
      </c>
      <c r="N3" s="866">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6">
      <c r="A4" s="3761"/>
      <c r="B4" s="3762"/>
      <c r="C4" s="3762"/>
      <c r="D4" s="3763"/>
      <c r="E4" s="3763"/>
      <c r="F4" s="3763"/>
      <c r="G4" s="3763"/>
      <c r="H4" s="3763"/>
      <c r="I4" s="3763"/>
      <c r="J4" s="3764"/>
      <c r="K4" s="1118"/>
      <c r="L4" s="2001" t="s">
        <v>1946</v>
      </c>
      <c r="M4" s="864">
        <f>SUMPRODUCT((区片价!B55:B86=I2)*(区片价!C3:G3=E2)*(区片价!C55:G86))</f>
        <v>0</v>
      </c>
      <c r="N4" s="866">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2" customFormat="1" ht="15.6" thickBot="1">
      <c r="A5" s="2003" t="s">
        <v>362</v>
      </c>
      <c r="B5" s="2004" t="s">
        <v>1947</v>
      </c>
      <c r="C5" s="753" t="e">
        <f>ROUND(IF(E2="商业",C6*C7*C17+C20,(IF(E2="住宅",C6*C13*C17+C20,IF(E2="办公",C6*C12*C17+C20,C6+C20)))),0)</f>
        <v>#DIV/0!</v>
      </c>
      <c r="D5" s="1337" t="e">
        <f>ROUND(C6*C17+C20,0)</f>
        <v>#DIV/0!</v>
      </c>
      <c r="E5" s="1337"/>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09"/>
      <c r="AD5" s="2010"/>
      <c r="AE5" s="2010"/>
      <c r="AF5" s="2010"/>
      <c r="AG5" s="2010"/>
      <c r="AH5" s="2010"/>
      <c r="AI5" s="2010"/>
      <c r="AJ5" s="2011"/>
    </row>
    <row r="6" spans="1:36" ht="15.6" thickBot="1">
      <c r="A6" s="2013" t="s">
        <v>1949</v>
      </c>
      <c r="B6" s="2014" t="s">
        <v>1950</v>
      </c>
      <c r="C6" s="754">
        <f>SUMIF(L1:L12,G2,M1:M12)</f>
        <v>0</v>
      </c>
      <c r="D6" s="2015"/>
      <c r="E6" s="2016"/>
      <c r="F6" s="2016"/>
      <c r="G6" s="2017"/>
      <c r="H6" s="2017"/>
      <c r="I6" s="2017"/>
      <c r="J6" s="2018"/>
      <c r="K6" s="1382"/>
      <c r="L6" s="2001" t="s">
        <v>1951</v>
      </c>
      <c r="M6" s="864">
        <f>SUMPRODUCT((区片价!B127:B189=I2)*(区片价!C3:G3=E2)*(区片价!C127:G189))</f>
        <v>0</v>
      </c>
      <c r="N6" s="866">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09"/>
      <c r="AD6" s="2010"/>
      <c r="AE6" s="2010"/>
      <c r="AF6" s="2010"/>
      <c r="AG6" s="2010"/>
      <c r="AH6" s="2010"/>
      <c r="AI6" s="2010"/>
      <c r="AJ6" s="2011"/>
    </row>
    <row r="7" spans="1:36" ht="24.6" thickBot="1">
      <c r="A7" s="3302" t="s">
        <v>3236</v>
      </c>
      <c r="B7" s="2019" t="s">
        <v>1952</v>
      </c>
      <c r="C7" s="755" t="e">
        <f>IF(C8="不临65条商业街",1,ROUND(1+(1.6*E8+1.2*E9+0.8*E10+0.4*E11)*C9,4))</f>
        <v>#DIV/0!</v>
      </c>
      <c r="D7" s="2020" t="s">
        <v>1953</v>
      </c>
      <c r="E7" s="776"/>
      <c r="F7" s="2021"/>
      <c r="G7" s="2022"/>
      <c r="H7" s="2022"/>
      <c r="I7" s="2022"/>
      <c r="J7" s="2023"/>
      <c r="K7" s="1382"/>
      <c r="L7" s="2001" t="s">
        <v>1954</v>
      </c>
      <c r="M7" s="864">
        <f>SUMPRODUCT((区片价!B190:B233=I2)*(区片价!C3:G3=E2)*(区片价!C190:G233))</f>
        <v>0</v>
      </c>
      <c r="N7" s="866">
        <f>SUMPRODUCT((因素修正幅度!B190:B233=I2)*(因素修正幅度!C3:G3=E2)*(因素修正幅度!C190:G233))</f>
        <v>0</v>
      </c>
      <c r="O7" s="1118"/>
      <c r="P7" s="1118"/>
      <c r="Q7" s="1118"/>
      <c r="R7" s="1211">
        <v>6</v>
      </c>
      <c r="S7" s="3417"/>
      <c r="T7" s="3359" t="e">
        <f t="shared" si="0"/>
        <v>#DIV/0!</v>
      </c>
      <c r="U7" s="1212"/>
      <c r="V7" s="3359" t="e">
        <f t="shared" si="1"/>
        <v>#DIV/0!</v>
      </c>
      <c r="W7" s="1356" t="s">
        <v>1955</v>
      </c>
      <c r="X7" s="1213">
        <f>G2</f>
        <v>0</v>
      </c>
      <c r="Y7" s="1213" t="s">
        <v>1956</v>
      </c>
      <c r="Z7" s="1214">
        <f>G3</f>
        <v>0</v>
      </c>
      <c r="AA7" s="1215"/>
      <c r="AB7" s="1215"/>
      <c r="AC7" s="1216"/>
      <c r="AD7" s="1217"/>
      <c r="AE7" s="1217"/>
      <c r="AF7" s="1217"/>
      <c r="AG7" s="1217"/>
      <c r="AH7" s="1217"/>
      <c r="AI7" s="1217"/>
      <c r="AJ7" s="1218"/>
    </row>
    <row r="8" spans="1:36" ht="15">
      <c r="A8" s="3297"/>
      <c r="B8" s="170" t="s">
        <v>1957</v>
      </c>
      <c r="C8" s="2024"/>
      <c r="D8" s="756" t="s">
        <v>112</v>
      </c>
      <c r="E8" s="757" t="e">
        <f>ROUND(C11/E7,4)</f>
        <v>#DIV/0!</v>
      </c>
      <c r="F8" s="2025" t="s">
        <v>1958</v>
      </c>
      <c r="G8" s="2026"/>
      <c r="H8" s="2026"/>
      <c r="I8" s="2026"/>
      <c r="J8" s="2027"/>
      <c r="K8" s="1118"/>
      <c r="L8" s="2001" t="s">
        <v>1959</v>
      </c>
      <c r="M8" s="864">
        <f>SUMPRODUCT((区片价!B234:B276=I2)*(区片价!C3:G3=E2)*(区片价!C234:G276))</f>
        <v>0</v>
      </c>
      <c r="N8" s="866">
        <f>SUMPRODUCT((因素修正幅度!B234:B276=I2)*(因素修正幅度!C3:G3=E2)*(因素修正幅度!C234:G276))</f>
        <v>0</v>
      </c>
      <c r="O8" s="1118"/>
      <c r="P8" s="1118"/>
      <c r="Q8" s="1118"/>
      <c r="R8" s="1211">
        <v>7</v>
      </c>
      <c r="S8" s="1212"/>
      <c r="T8" s="3359" t="e">
        <f t="shared" si="0"/>
        <v>#DIV/0!</v>
      </c>
      <c r="U8" s="1212"/>
      <c r="V8" s="3359" t="e">
        <f t="shared" si="1"/>
        <v>#DIV/0!</v>
      </c>
      <c r="W8" s="3758" t="s">
        <v>1960</v>
      </c>
      <c r="X8" s="375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8">
        <f>SUMIF(修正!C71:C138,C8,修正!E71:E138)</f>
        <v>0</v>
      </c>
      <c r="D9" s="171" t="s">
        <v>113</v>
      </c>
      <c r="E9" s="171" t="e">
        <f>ROUND(C11/E7,4)</f>
        <v>#DIV/0!</v>
      </c>
      <c r="F9" s="2025" t="s">
        <v>1974</v>
      </c>
      <c r="G9" s="2026"/>
      <c r="H9" s="2026"/>
      <c r="I9" s="2026"/>
      <c r="J9" s="2027"/>
      <c r="K9" s="1118"/>
      <c r="L9" s="2001" t="s">
        <v>1975</v>
      </c>
      <c r="M9" s="864">
        <f>SUMPRODUCT((区片价!B277:B326=I2)*(区片价!C3:G3=E2)*(区片价!C277:G326))</f>
        <v>0</v>
      </c>
      <c r="N9" s="866">
        <f>SUMPRODUCT((因素修正幅度!B277:B326=I2)*(因素修正幅度!C3:G3=E2)*(因素修正幅度!C277:G326))</f>
        <v>0</v>
      </c>
      <c r="O9" s="1118"/>
      <c r="P9" s="1118"/>
      <c r="Q9" s="1118"/>
      <c r="R9" s="1211">
        <v>8</v>
      </c>
      <c r="S9" s="1212"/>
      <c r="T9" s="3359" t="e">
        <f t="shared" si="0"/>
        <v>#DIV/0!</v>
      </c>
      <c r="U9" s="1212"/>
      <c r="V9" s="3359" t="e">
        <f t="shared" si="1"/>
        <v>#DIV/0!</v>
      </c>
      <c r="W9" s="3760"/>
      <c r="X9" s="3360" t="s">
        <v>3267</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8"/>
      <c r="L10" s="2001"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59" t="e">
        <f t="shared" si="0"/>
        <v>#DIV/0!</v>
      </c>
      <c r="U10" s="1212"/>
      <c r="V10" s="3359" t="e">
        <f t="shared" si="1"/>
        <v>#DIV/0!</v>
      </c>
      <c r="W10" s="3760"/>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8" t="s">
        <v>1979</v>
      </c>
      <c r="C11" s="759">
        <f>C10/4</f>
        <v>0</v>
      </c>
      <c r="D11" s="759" t="s">
        <v>115</v>
      </c>
      <c r="E11" s="759" t="e">
        <f>ROUND(C11/E7,4)</f>
        <v>#DIV/0!</v>
      </c>
      <c r="F11" s="2029" t="s">
        <v>1980</v>
      </c>
      <c r="G11" s="2030"/>
      <c r="H11" s="2030"/>
      <c r="I11" s="2030"/>
      <c r="J11" s="2031"/>
      <c r="K11" s="1118"/>
      <c r="L11" s="2001"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8" thickBot="1">
      <c r="A12" s="3302" t="s">
        <v>3237</v>
      </c>
      <c r="B12" s="3303" t="s">
        <v>3238</v>
      </c>
      <c r="C12" s="3304"/>
      <c r="D12" s="3305" t="s">
        <v>3239</v>
      </c>
      <c r="E12" s="3306" t="s">
        <v>3240</v>
      </c>
      <c r="F12" s="3307"/>
      <c r="G12" s="3308"/>
      <c r="H12" s="3308"/>
      <c r="I12" s="3308"/>
      <c r="J12" s="3309"/>
      <c r="K12" s="1118"/>
      <c r="L12" s="2037"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24.6" thickBot="1">
      <c r="A13" s="3302" t="s">
        <v>3241</v>
      </c>
      <c r="B13" s="2032" t="s">
        <v>1982</v>
      </c>
      <c r="C13" s="755">
        <f>ROUND(C16*D16*E16*F16*G16*H16*I16*J16,4)</f>
        <v>0</v>
      </c>
      <c r="D13" s="2033" t="s">
        <v>1983</v>
      </c>
      <c r="E13" s="2034"/>
      <c r="F13" s="2034"/>
      <c r="G13" s="2035"/>
      <c r="H13" s="2035"/>
      <c r="I13" s="2035"/>
      <c r="J13" s="2036"/>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24">
      <c r="A14" s="3296"/>
      <c r="B14" s="2038" t="s">
        <v>1985</v>
      </c>
      <c r="C14" s="2039" t="s">
        <v>1986</v>
      </c>
      <c r="D14" s="1348" t="s">
        <v>1987</v>
      </c>
      <c r="E14" s="27" t="s">
        <v>1988</v>
      </c>
      <c r="F14" s="3310" t="s">
        <v>3242</v>
      </c>
      <c r="G14" s="3310" t="s">
        <v>3242</v>
      </c>
      <c r="H14" s="3310" t="s">
        <v>3242</v>
      </c>
      <c r="I14" s="3310" t="s">
        <v>3242</v>
      </c>
      <c r="J14" s="3310" t="s">
        <v>3242</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0"/>
      <c r="C15" s="2041"/>
      <c r="D15" s="2042"/>
      <c r="E15" s="2043"/>
      <c r="F15" s="3311" t="s">
        <v>3243</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6" thickBot="1">
      <c r="A16" s="3296"/>
      <c r="B16" s="3318" t="s">
        <v>1989</v>
      </c>
      <c r="C16" s="3316"/>
      <c r="D16" s="3316"/>
      <c r="E16" s="3316"/>
      <c r="F16" s="3316">
        <v>1</v>
      </c>
      <c r="G16" s="3316">
        <v>1</v>
      </c>
      <c r="H16" s="3316">
        <v>1</v>
      </c>
      <c r="I16" s="3316">
        <v>1</v>
      </c>
      <c r="J16" s="3317">
        <v>1</v>
      </c>
      <c r="K16" s="1118"/>
      <c r="L16" s="1995"/>
      <c r="M16" s="1995"/>
      <c r="N16" s="1995"/>
      <c r="O16" s="1995"/>
      <c r="P16" s="1995"/>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ht="24">
      <c r="A17" s="3328" t="s">
        <v>3244</v>
      </c>
      <c r="B17" s="3319" t="s">
        <v>3245</v>
      </c>
      <c r="C17" s="3329">
        <f>ROUND(IF(OR(E2="工业",E2="公共服务"),1,IF(AND(E18=0,E19=0),1,IF(AND(E18=J24,E19=G19),0.8,IF(E19=0,1+E17*(-0.2),1+E17*G17*(-0.2))))),4)</f>
        <v>1</v>
      </c>
      <c r="D17" s="3320" t="s">
        <v>3246</v>
      </c>
      <c r="E17" s="3329" t="e">
        <f>ROUND(G18/I18,2)</f>
        <v>#DIV/0!</v>
      </c>
      <c r="F17" s="3320" t="s">
        <v>3249</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3.8">
      <c r="A18" s="3331"/>
      <c r="B18" s="3008"/>
      <c r="C18" s="3326"/>
      <c r="D18" s="3321" t="s">
        <v>3247</v>
      </c>
      <c r="E18" s="3327"/>
      <c r="F18" s="3322" t="s">
        <v>3250</v>
      </c>
      <c r="G18" s="3326">
        <f>ROUND(1-(1/(POWER(1+G24,E18))),4)</f>
        <v>0</v>
      </c>
      <c r="H18" s="3322" t="s">
        <v>3252</v>
      </c>
      <c r="I18" s="3326">
        <f>ROUND(1-(1/(POWER(1+G24,J24))),4)</f>
        <v>0</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4.4" thickBot="1">
      <c r="A19" s="3333"/>
      <c r="B19" s="3334"/>
      <c r="C19" s="3335"/>
      <c r="D19" s="3335" t="s">
        <v>3248</v>
      </c>
      <c r="E19" s="3336"/>
      <c r="F19" s="3337" t="s">
        <v>3251</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3.8">
      <c r="A20" s="3765" t="s">
        <v>3253</v>
      </c>
      <c r="B20" s="167" t="s">
        <v>1994</v>
      </c>
      <c r="C20" s="3323" t="e">
        <f>ROUND(IF(F21="与级别开发程度一致",0,(G21-E21)/C21),0)</f>
        <v>#DIV/0!</v>
      </c>
      <c r="D20" s="3339" t="s">
        <v>1998</v>
      </c>
      <c r="E20" s="3340"/>
      <c r="F20" s="3771" t="s">
        <v>1995</v>
      </c>
      <c r="G20" s="3772"/>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4.4" thickBot="1">
      <c r="A21" s="3766"/>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 thickBot="1">
      <c r="A22" s="2156" t="s">
        <v>363</v>
      </c>
      <c r="B22" s="2157" t="s">
        <v>2000</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7" thickBot="1">
      <c r="A23" s="2048" t="s">
        <v>364</v>
      </c>
      <c r="B23" s="2049"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61">
        <v>44197</v>
      </c>
      <c r="F23" s="2052" t="s">
        <v>2003</v>
      </c>
      <c r="G23" s="762">
        <f>'数据-取费表'!B2</f>
        <v>45322</v>
      </c>
      <c r="H23" s="3341" t="s">
        <v>3255</v>
      </c>
      <c r="I23" s="3342" t="str">
        <f>IF(H23="季度增幅（自定义）",SUMIF(N25:N28,E2,O25:O28),"")</f>
        <v/>
      </c>
      <c r="J23" s="3444" t="s">
        <v>3254</v>
      </c>
      <c r="K23" s="1124"/>
      <c r="L23" s="2053" t="s">
        <v>2004</v>
      </c>
      <c r="M23" s="1327">
        <f>ROUND(SUMIF(地价!B2:G2,E2,地价!B16:G16),0)</f>
        <v>0</v>
      </c>
      <c r="N23" s="2054" t="s">
        <v>2005</v>
      </c>
      <c r="O23" s="763">
        <f>ROUNDDOWN(DATEDIF(E23,G23,"M")/3,0)</f>
        <v>12</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6" thickBot="1">
      <c r="A24" s="2056" t="s">
        <v>365</v>
      </c>
      <c r="B24" s="2057" t="s">
        <v>2006</v>
      </c>
      <c r="C24" s="764" t="e">
        <f>ROUND(POWER(1+G24,J24-I24)*(POWER(1+G24,I24)-1)/(POWER(1+G24,J24)-1),4)</f>
        <v>#DIV/0!</v>
      </c>
      <c r="D24" s="2058" t="s">
        <v>2007</v>
      </c>
      <c r="E24" s="1334">
        <f>存贷款利率!E24/100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4"/>
      <c r="L24" s="2059" t="s">
        <v>2009</v>
      </c>
      <c r="M24" s="1328">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4.4">
      <c r="A25" s="2063" t="s">
        <v>366</v>
      </c>
      <c r="B25" s="2064" t="s">
        <v>3334</v>
      </c>
      <c r="C25" s="771">
        <f>IF(B25="容积率修正",IF(G3&lt;10,D26,J26),C27)</f>
        <v>0</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4">
      <c r="A26" s="1953" t="s">
        <v>2014</v>
      </c>
      <c r="B26" s="2068" t="s">
        <v>2015</v>
      </c>
      <c r="C26" s="3343" t="s">
        <v>3256</v>
      </c>
      <c r="D26" s="1350">
        <f>IF(E26=G26,F26,IF(G3&lt;10,ROUND(F26+(H26-F26)*(G3-E26)/(G26-E26),4),"——"))</f>
        <v>0</v>
      </c>
      <c r="E26" s="752">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3257</v>
      </c>
      <c r="J26" s="772" t="str">
        <f>IF(G3&gt;=10,D115,"——")</f>
        <v>——</v>
      </c>
      <c r="K26" s="1124"/>
      <c r="L26" s="2786"/>
      <c r="M26" s="2786"/>
      <c r="N26" s="2067" t="s">
        <v>2016</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 thickBot="1">
      <c r="A27" s="1953" t="s">
        <v>2017</v>
      </c>
      <c r="B27" s="2069" t="s">
        <v>2018</v>
      </c>
      <c r="C27" s="841">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 thickBot="1">
      <c r="A28" s="2056" t="s">
        <v>367</v>
      </c>
      <c r="B28" s="2049" t="s">
        <v>2020</v>
      </c>
      <c r="C28" s="760">
        <f>SUMIF(A47:A101,E2,B47:B101)</f>
        <v>0</v>
      </c>
      <c r="D28" s="2050"/>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 thickBot="1">
      <c r="A29" s="2056" t="s">
        <v>368</v>
      </c>
      <c r="B29" s="2078" t="s">
        <v>2022</v>
      </c>
      <c r="C29" s="765"/>
      <c r="D29" s="2022"/>
      <c r="E29" s="2022"/>
      <c r="F29" s="2079"/>
      <c r="G29" s="2022"/>
      <c r="H29" s="2022"/>
      <c r="I29" s="2022"/>
      <c r="J29" s="2023"/>
      <c r="K29" s="1118"/>
      <c r="L29" s="1995"/>
      <c r="M29" s="1995"/>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4.4">
      <c r="A30" s="2080"/>
      <c r="B30" s="2068" t="s">
        <v>2024</v>
      </c>
      <c r="C30" s="2319" t="e">
        <f>IF(B25="容积率修正",E33+SUM(E37:E42),SUM(V2:V16)+SUM(E37:E42))</f>
        <v>#DIV/0!</v>
      </c>
      <c r="D30" s="2081"/>
      <c r="E30" s="2044"/>
      <c r="F30" s="2082"/>
      <c r="G30" s="2044"/>
      <c r="H30" s="2044"/>
      <c r="I30" s="2044"/>
      <c r="J30" s="2083"/>
      <c r="K30" s="1118"/>
      <c r="L30" s="3349" t="s">
        <v>1936</v>
      </c>
      <c r="M30" s="3350" t="s">
        <v>1990</v>
      </c>
      <c r="N30" s="3350" t="s">
        <v>1991</v>
      </c>
      <c r="O30" s="3350" t="s">
        <v>1992</v>
      </c>
      <c r="P30" s="3350" t="s">
        <v>1993</v>
      </c>
      <c r="Q30" s="3353" t="s">
        <v>3261</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 thickBot="1">
      <c r="A31" s="2080"/>
      <c r="B31" s="2084" t="s">
        <v>2025</v>
      </c>
      <c r="C31" s="766" t="e">
        <f>E34+SUM(I37:I42)</f>
        <v>#DIV/0!</v>
      </c>
      <c r="D31" s="2085"/>
      <c r="E31" s="2086"/>
      <c r="F31" s="2087"/>
      <c r="G31" s="2086"/>
      <c r="H31" s="2086"/>
      <c r="I31" s="2086"/>
      <c r="J31" s="2088"/>
      <c r="K31" s="1118"/>
      <c r="L31" s="3351" t="s">
        <v>1996</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 thickBot="1">
      <c r="A32" s="2089"/>
      <c r="B32" s="2090" t="s">
        <v>2026</v>
      </c>
      <c r="C32" s="2091" t="s">
        <v>2027</v>
      </c>
      <c r="D32" s="2091" t="s">
        <v>2028</v>
      </c>
      <c r="E32" s="2092" t="s">
        <v>2029</v>
      </c>
      <c r="F32" s="2093"/>
      <c r="G32" s="2035"/>
      <c r="H32" s="2035"/>
      <c r="I32" s="2035"/>
      <c r="J32" s="2036"/>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3.8">
      <c r="A33" s="2094"/>
      <c r="B33" s="2095" t="s">
        <v>2030</v>
      </c>
      <c r="C33" s="175" t="e">
        <f>ROUND(C5*C22*C23*C24*C25*C28,0)</f>
        <v>#DIV/0!</v>
      </c>
      <c r="D33" s="2096"/>
      <c r="E33" s="773" t="e">
        <f>ROUND(C33*D33/10000,0)</f>
        <v>#DIV/0!</v>
      </c>
      <c r="F33" s="3344" t="s">
        <v>3259</v>
      </c>
      <c r="G33" s="2097"/>
      <c r="H33" s="2097"/>
      <c r="I33" s="2097"/>
      <c r="J33" s="2098"/>
      <c r="K33" s="1118"/>
      <c r="L33" s="3347" t="s">
        <v>3262</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8"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8"/>
      <c r="L34" s="3347" t="s">
        <v>3263</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3260</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36.6" thickBot="1">
      <c r="A36" s="2094"/>
      <c r="B36" s="2109"/>
      <c r="C36" s="450" t="s">
        <v>2027</v>
      </c>
      <c r="D36" s="447" t="s">
        <v>2028</v>
      </c>
      <c r="E36" s="447" t="s">
        <v>2029</v>
      </c>
      <c r="F36" s="342" t="s">
        <v>2035</v>
      </c>
      <c r="G36" s="2110" t="s">
        <v>2027</v>
      </c>
      <c r="H36" s="2110" t="s">
        <v>2028</v>
      </c>
      <c r="I36" s="2110" t="s">
        <v>2029</v>
      </c>
      <c r="J36" s="243"/>
      <c r="K36" s="3355" t="s">
        <v>3264</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6" thickBot="1">
      <c r="A37" s="3769"/>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3265</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70"/>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8" thickBot="1">
      <c r="A39" s="3770"/>
      <c r="B39" s="2039" t="s">
        <v>3258</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3266</v>
      </c>
      <c r="M41" s="2116">
        <v>0.25</v>
      </c>
      <c r="Z41" s="1119"/>
      <c r="AA41" s="1119"/>
      <c r="AB41" s="1119"/>
      <c r="AC41" s="1119"/>
      <c r="AD41" s="1119"/>
      <c r="AE41" s="1119"/>
      <c r="AF41" s="1119"/>
      <c r="AG41" s="1119"/>
      <c r="AH41" s="1119"/>
      <c r="AI41" s="1119"/>
      <c r="AJ41" s="1119"/>
    </row>
    <row r="42" spans="1:37" s="1118" customFormat="1" ht="13.8"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2" t="s">
        <v>2117</v>
      </c>
      <c r="C44" s="342" t="e">
        <f>ROUND(POWER(1+E44,H44-G44)*(POWER(1+E44,G44)-1)/(POWER(1+E44,H44)-1),4)</f>
        <v>#DIV/0!</v>
      </c>
      <c r="D44" s="171" t="s">
        <v>1999</v>
      </c>
      <c r="E44" s="2151">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 thickBot="1">
      <c r="A47" s="2122" t="s">
        <v>2042</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4.4">
      <c r="A48" s="2124" t="s">
        <v>2043</v>
      </c>
      <c r="B48" s="2125">
        <f>1+E50</f>
        <v>1</v>
      </c>
      <c r="C48" s="2126"/>
      <c r="D48" s="741"/>
      <c r="E48" s="742"/>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5.2">
      <c r="A49" s="2128" t="s">
        <v>2044</v>
      </c>
      <c r="B49" s="1349" t="s">
        <v>2045</v>
      </c>
      <c r="C49" s="1349" t="s">
        <v>2046</v>
      </c>
      <c r="D49" s="1349" t="s">
        <v>2047</v>
      </c>
      <c r="E49" s="743" t="s">
        <v>2048</v>
      </c>
      <c r="F49" s="2129" t="s">
        <v>2049</v>
      </c>
      <c r="G49" s="1349" t="s">
        <v>310</v>
      </c>
      <c r="H49" s="2130" t="s">
        <v>2050</v>
      </c>
      <c r="I49" s="1349"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9.6">
      <c r="A50" s="2128" t="s">
        <v>2052</v>
      </c>
      <c r="B50" s="2131" t="str">
        <f>估价对象房地状况!C4</f>
        <v>估价对象位于XX商圈，周边商业氛围成熟，人流量大，商业繁华度好</v>
      </c>
      <c r="C50" s="2042"/>
      <c r="D50" s="1064">
        <f t="shared" ref="D50:D58" si="7">SUMIF($J$49:$N$49,C50,J50:N50)</f>
        <v>0</v>
      </c>
      <c r="E50" s="744">
        <f>ROUND(SUM(D50:D58),4)</f>
        <v>0</v>
      </c>
      <c r="F50" s="1812"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52.8">
      <c r="A51" s="2128" t="s">
        <v>2053</v>
      </c>
      <c r="B51" s="2132" t="str">
        <f>估价对象房地状况!C18</f>
        <v>估价对象周边道路状况、公共交通通达情况、停车便捷程度，综合评价交通便捷度较好</v>
      </c>
      <c r="C51" s="2042"/>
      <c r="D51" s="1064">
        <f t="shared" si="7"/>
        <v>0</v>
      </c>
      <c r="E51" s="745"/>
      <c r="F51" s="1812"/>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48">
      <c r="A52" s="3367" t="s">
        <v>3268</v>
      </c>
      <c r="B52" s="2132">
        <f>估价对象房地状况!C19</f>
        <v>0</v>
      </c>
      <c r="C52" s="2042"/>
      <c r="D52" s="1064">
        <f t="shared" si="7"/>
        <v>0</v>
      </c>
      <c r="E52" s="745"/>
      <c r="F52" s="1812"/>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7.200000000000003">
      <c r="A53" s="2128" t="s">
        <v>2054</v>
      </c>
      <c r="B53" s="2133" t="s">
        <v>2055</v>
      </c>
      <c r="C53" s="2042"/>
      <c r="D53" s="1064">
        <f t="shared" si="7"/>
        <v>0</v>
      </c>
      <c r="E53" s="745"/>
      <c r="F53" s="1812"/>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5"/>
      <c r="F54" s="1812"/>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36">
      <c r="A55" s="2128" t="s">
        <v>2057</v>
      </c>
      <c r="B55" s="2134" t="s">
        <v>2058</v>
      </c>
      <c r="C55" s="2042"/>
      <c r="D55" s="1064">
        <f t="shared" si="7"/>
        <v>0</v>
      </c>
      <c r="E55" s="745"/>
      <c r="F55" s="1812"/>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6.4">
      <c r="A56" s="2135" t="s">
        <v>2059</v>
      </c>
      <c r="B56" s="1325" t="str">
        <f>估价对象房地状况!C21</f>
        <v>估价对象所在区域公共配套设施齐备情况</v>
      </c>
      <c r="C56" s="2042"/>
      <c r="D56" s="1064">
        <f t="shared" si="7"/>
        <v>0</v>
      </c>
      <c r="E56" s="745"/>
      <c r="F56" s="1812"/>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6.4">
      <c r="A57" s="2135" t="s">
        <v>2060</v>
      </c>
      <c r="B57" s="2132" t="str">
        <f>估价对象房地状况!C22</f>
        <v>估价对象所在区域基础设施水平</v>
      </c>
      <c r="C57" s="2042"/>
      <c r="D57" s="1064">
        <f t="shared" si="7"/>
        <v>0</v>
      </c>
      <c r="E57" s="745"/>
      <c r="F57" s="1812"/>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40.200000000000003" thickBot="1">
      <c r="A58" s="2136" t="s">
        <v>2061</v>
      </c>
      <c r="B58" s="2137" t="str">
        <f>估价对象房地状况!C20</f>
        <v>区域自然环境：；人文环境；综合评价环境状况一般</v>
      </c>
      <c r="C58" s="2042"/>
      <c r="D58" s="1064">
        <f t="shared" si="7"/>
        <v>0</v>
      </c>
      <c r="E58" s="746"/>
      <c r="F58" s="1812"/>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4.4">
      <c r="A59" s="2124" t="s">
        <v>2062</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8" t="s">
        <v>2044</v>
      </c>
      <c r="B60" s="1349"/>
      <c r="C60" s="1349" t="s">
        <v>2046</v>
      </c>
      <c r="D60" s="1349" t="s">
        <v>2047</v>
      </c>
      <c r="E60" s="743" t="s">
        <v>2048</v>
      </c>
      <c r="F60" s="2129" t="s">
        <v>2063</v>
      </c>
      <c r="G60" s="1349" t="s">
        <v>310</v>
      </c>
      <c r="H60" s="2130" t="s">
        <v>2050</v>
      </c>
      <c r="I60" s="1349"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9.6">
      <c r="A61" s="2128" t="s">
        <v>2064</v>
      </c>
      <c r="B61" s="2131" t="str">
        <f>估价对象房地状况!C17</f>
        <v>估价对象位于XX商圈，周边办公楼项目较多，入驻率高，办公集聚程度较好</v>
      </c>
      <c r="C61" s="2042"/>
      <c r="D61" s="1064">
        <f t="shared" ref="D61:D69" si="12">SUMIF($J$60:$N$60,C61,J61:N61)</f>
        <v>0</v>
      </c>
      <c r="E61" s="744">
        <f>ROUND(SUM(D61:D69),4)</f>
        <v>0</v>
      </c>
      <c r="F61" s="1812"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52.8">
      <c r="A62" s="2128" t="s">
        <v>2053</v>
      </c>
      <c r="B62" s="2132" t="str">
        <f>估价对象房地状况!C18</f>
        <v>估价对象周边道路状况、公共交通通达情况、停车便捷程度，综合评价交通便捷度较好</v>
      </c>
      <c r="C62" s="2042"/>
      <c r="D62" s="1064">
        <f t="shared" si="12"/>
        <v>0</v>
      </c>
      <c r="E62" s="745"/>
      <c r="F62" s="1812"/>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48">
      <c r="A63" s="3367" t="s">
        <v>3268</v>
      </c>
      <c r="B63" s="2132">
        <f>估价对象房地状况!C19</f>
        <v>0</v>
      </c>
      <c r="C63" s="2042"/>
      <c r="D63" s="1064">
        <f t="shared" si="12"/>
        <v>0</v>
      </c>
      <c r="E63" s="745"/>
      <c r="F63" s="1812"/>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7.200000000000003">
      <c r="A64" s="2128" t="s">
        <v>2054</v>
      </c>
      <c r="B64" s="2133" t="s">
        <v>2055</v>
      </c>
      <c r="C64" s="2042"/>
      <c r="D64" s="1064">
        <f t="shared" si="12"/>
        <v>0</v>
      </c>
      <c r="E64" s="745"/>
      <c r="F64" s="1812"/>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5"/>
      <c r="F65" s="1812"/>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36">
      <c r="A66" s="2128" t="s">
        <v>2057</v>
      </c>
      <c r="B66" s="2134" t="s">
        <v>2058</v>
      </c>
      <c r="C66" s="2042"/>
      <c r="D66" s="1064">
        <f t="shared" si="12"/>
        <v>0</v>
      </c>
      <c r="E66" s="745"/>
      <c r="F66" s="1812"/>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6.4">
      <c r="A67" s="2128" t="s">
        <v>2059</v>
      </c>
      <c r="B67" s="1325" t="str">
        <f>估价对象房地状况!C21</f>
        <v>估价对象所在区域公共配套设施齐备情况</v>
      </c>
      <c r="C67" s="2042"/>
      <c r="D67" s="1064">
        <f t="shared" si="12"/>
        <v>0</v>
      </c>
      <c r="E67" s="745"/>
      <c r="F67" s="1812"/>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6.4">
      <c r="A68" s="2128" t="s">
        <v>2060</v>
      </c>
      <c r="B68" s="1325" t="str">
        <f>估价对象房地状况!C22</f>
        <v>估价对象所在区域基础设施水平</v>
      </c>
      <c r="C68" s="2042"/>
      <c r="D68" s="1064">
        <f t="shared" si="12"/>
        <v>0</v>
      </c>
      <c r="E68" s="745"/>
      <c r="F68" s="1812"/>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40.200000000000003" thickBot="1">
      <c r="A69" s="2136" t="s">
        <v>2061</v>
      </c>
      <c r="B69" s="2138" t="str">
        <f>估价对象房地状况!C20</f>
        <v>区域自然环境：；人文环境；综合评价环境状况一般</v>
      </c>
      <c r="C69" s="2042"/>
      <c r="D69" s="1064">
        <f t="shared" si="12"/>
        <v>0</v>
      </c>
      <c r="E69" s="746"/>
      <c r="F69" s="1812"/>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4.4">
      <c r="A70" s="2124" t="s">
        <v>2065</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8" t="s">
        <v>2044</v>
      </c>
      <c r="B71" s="1349"/>
      <c r="C71" s="1349" t="s">
        <v>2046</v>
      </c>
      <c r="D71" s="1349" t="s">
        <v>2047</v>
      </c>
      <c r="E71" s="743" t="s">
        <v>2048</v>
      </c>
      <c r="F71" s="2129" t="s">
        <v>2063</v>
      </c>
      <c r="G71" s="1349" t="s">
        <v>310</v>
      </c>
      <c r="H71" s="2130" t="s">
        <v>2050</v>
      </c>
      <c r="I71" s="1349"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2.8">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2"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52.8">
      <c r="A73" s="2128" t="s">
        <v>2053</v>
      </c>
      <c r="B73" s="2132" t="str">
        <f>估价对象房地状况!C18</f>
        <v>估价对象周边道路状况、公共交通通达情况、停车便捷程度，综合评价交通便捷度较好</v>
      </c>
      <c r="C73" s="2042"/>
      <c r="D73" s="1064">
        <f t="shared" si="17"/>
        <v>0</v>
      </c>
      <c r="E73" s="747"/>
      <c r="F73" s="1812"/>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48">
      <c r="A74" s="3367" t="s">
        <v>3268</v>
      </c>
      <c r="B74" s="2132">
        <f>估价对象房地状况!C19</f>
        <v>0</v>
      </c>
      <c r="C74" s="2042"/>
      <c r="D74" s="1064">
        <f t="shared" si="17"/>
        <v>0</v>
      </c>
      <c r="E74" s="747"/>
      <c r="F74" s="1812"/>
      <c r="G74" s="1062"/>
      <c r="H74" s="1065" t="str">
        <f t="shared" si="18"/>
        <v>——</v>
      </c>
      <c r="I74" s="3365">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3.8">
      <c r="A75" s="2128" t="s">
        <v>2067</v>
      </c>
      <c r="B75" s="2132">
        <f>估价对象房地状况!C24</f>
        <v>0</v>
      </c>
      <c r="C75" s="2042"/>
      <c r="D75" s="1064">
        <f t="shared" si="17"/>
        <v>0</v>
      </c>
      <c r="E75" s="747"/>
      <c r="F75" s="1812"/>
      <c r="G75" s="1062"/>
      <c r="H75" s="1065" t="str">
        <f t="shared" si="18"/>
        <v>——</v>
      </c>
      <c r="I75" s="3365">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6.4">
      <c r="A76" s="2128" t="s">
        <v>2059</v>
      </c>
      <c r="B76" s="1325" t="str">
        <f>估价对象房地状况!C21</f>
        <v>估价对象所在区域公共配套设施齐备情况</v>
      </c>
      <c r="C76" s="2042"/>
      <c r="D76" s="1064">
        <f t="shared" si="17"/>
        <v>0</v>
      </c>
      <c r="E76" s="747"/>
      <c r="F76" s="1812"/>
      <c r="G76" s="1062"/>
      <c r="H76" s="1065" t="str">
        <f t="shared" si="18"/>
        <v>——</v>
      </c>
      <c r="I76" s="3365">
        <v>0.08</v>
      </c>
      <c r="J76" s="1063">
        <f t="shared" si="19"/>
        <v>0</v>
      </c>
      <c r="K76" s="1063">
        <f t="shared" si="20"/>
        <v>0</v>
      </c>
      <c r="L76" s="1063">
        <v>0</v>
      </c>
      <c r="M76" s="1063">
        <f t="shared" si="21"/>
        <v>0</v>
      </c>
      <c r="N76" s="1063">
        <f t="shared" si="21"/>
        <v>0</v>
      </c>
      <c r="O76" s="1118"/>
      <c r="P76" s="1118"/>
      <c r="Z76" s="1996"/>
      <c r="AA76" s="2051"/>
      <c r="AG76" s="1120"/>
      <c r="AK76" s="2051"/>
    </row>
    <row r="77" spans="1:37" ht="26.4">
      <c r="A77" s="2128" t="s">
        <v>2060</v>
      </c>
      <c r="B77" s="1325" t="str">
        <f>估价对象房地状况!C22</f>
        <v>估价对象所在区域基础设施水平</v>
      </c>
      <c r="C77" s="2042"/>
      <c r="D77" s="1064">
        <f t="shared" si="17"/>
        <v>0</v>
      </c>
      <c r="E77" s="747"/>
      <c r="F77" s="1812"/>
      <c r="G77" s="1062"/>
      <c r="H77" s="1065" t="str">
        <f t="shared" si="18"/>
        <v>——</v>
      </c>
      <c r="I77" s="3365">
        <v>0.09</v>
      </c>
      <c r="J77" s="1063">
        <f t="shared" si="19"/>
        <v>0</v>
      </c>
      <c r="K77" s="1063">
        <f t="shared" si="20"/>
        <v>0</v>
      </c>
      <c r="L77" s="1063">
        <v>0</v>
      </c>
      <c r="M77" s="1063">
        <f t="shared" si="21"/>
        <v>0</v>
      </c>
      <c r="N77" s="1063">
        <f t="shared" si="21"/>
        <v>0</v>
      </c>
      <c r="O77" s="1118"/>
      <c r="P77" s="1118"/>
      <c r="Z77" s="1996"/>
      <c r="AA77" s="2051"/>
      <c r="AG77" s="1120"/>
      <c r="AK77" s="2051"/>
    </row>
    <row r="78" spans="1:37" ht="36">
      <c r="A78" s="2128" t="s">
        <v>2057</v>
      </c>
      <c r="B78" s="2134" t="s">
        <v>2058</v>
      </c>
      <c r="C78" s="2042"/>
      <c r="D78" s="1064">
        <f t="shared" si="17"/>
        <v>0</v>
      </c>
      <c r="E78" s="747"/>
      <c r="F78" s="1812"/>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20"/>
      <c r="AK78" s="2051"/>
    </row>
    <row r="79" spans="1:37" ht="39.6">
      <c r="A79" s="2128" t="s">
        <v>2061</v>
      </c>
      <c r="B79" s="2131" t="str">
        <f>估价对象房地状况!C20</f>
        <v>区域自然环境：；人文环境；综合评价环境状况一般</v>
      </c>
      <c r="C79" s="2042"/>
      <c r="D79" s="1064">
        <f t="shared" si="17"/>
        <v>0</v>
      </c>
      <c r="E79" s="747"/>
      <c r="F79" s="1812"/>
      <c r="G79" s="1062"/>
      <c r="H79" s="1065" t="str">
        <f t="shared" si="18"/>
        <v>——</v>
      </c>
      <c r="I79" s="3365">
        <v>0.12</v>
      </c>
      <c r="J79" s="1063">
        <f t="shared" si="19"/>
        <v>0</v>
      </c>
      <c r="K79" s="1063">
        <f t="shared" si="20"/>
        <v>0</v>
      </c>
      <c r="L79" s="1063">
        <v>0</v>
      </c>
      <c r="M79" s="1063">
        <f t="shared" si="21"/>
        <v>0</v>
      </c>
      <c r="N79" s="1063">
        <f t="shared" si="21"/>
        <v>0</v>
      </c>
      <c r="Z79" s="1996"/>
      <c r="AA79" s="2051"/>
      <c r="AG79" s="1120"/>
      <c r="AK79" s="2051"/>
    </row>
    <row r="80" spans="1:37" ht="36.6" thickBot="1">
      <c r="A80" s="2136" t="s">
        <v>2068</v>
      </c>
      <c r="B80" s="2140"/>
      <c r="C80" s="2042"/>
      <c r="D80" s="1064">
        <f t="shared" si="17"/>
        <v>0</v>
      </c>
      <c r="E80" s="748"/>
      <c r="F80" s="1812"/>
      <c r="G80" s="1062"/>
      <c r="H80" s="1065" t="str">
        <f t="shared" si="18"/>
        <v>——</v>
      </c>
      <c r="I80" s="3366">
        <v>0.05</v>
      </c>
      <c r="J80" s="1063">
        <f t="shared" si="19"/>
        <v>0</v>
      </c>
      <c r="K80" s="1063">
        <f t="shared" si="20"/>
        <v>0</v>
      </c>
      <c r="L80" s="1063">
        <v>0</v>
      </c>
      <c r="M80" s="1063">
        <f t="shared" si="21"/>
        <v>0</v>
      </c>
      <c r="N80" s="1063">
        <f t="shared" si="21"/>
        <v>0</v>
      </c>
      <c r="Z80" s="1996"/>
      <c r="AA80" s="2051"/>
      <c r="AG80" s="1120"/>
      <c r="AK80" s="2051"/>
    </row>
    <row r="81" spans="1:37" ht="14.4">
      <c r="A81" s="2124" t="s">
        <v>2069</v>
      </c>
      <c r="B81" s="2125">
        <f>1+E83</f>
        <v>1</v>
      </c>
      <c r="C81" s="741"/>
      <c r="D81" s="741"/>
      <c r="E81" s="742"/>
      <c r="F81" s="2127"/>
      <c r="G81" s="3"/>
      <c r="H81" s="3"/>
      <c r="I81" s="3"/>
      <c r="J81" s="4"/>
      <c r="K81" s="4"/>
      <c r="L81" s="4"/>
      <c r="M81" s="4"/>
      <c r="N81" s="4"/>
      <c r="Z81" s="1996"/>
      <c r="AA81" s="2051"/>
      <c r="AG81" s="1120"/>
      <c r="AK81" s="2051"/>
    </row>
    <row r="82" spans="1:37" ht="25.2">
      <c r="A82" s="2128" t="s">
        <v>2044</v>
      </c>
      <c r="B82" s="1349"/>
      <c r="C82" s="1349" t="s">
        <v>2046</v>
      </c>
      <c r="D82" s="1349" t="s">
        <v>2047</v>
      </c>
      <c r="E82" s="743" t="s">
        <v>2048</v>
      </c>
      <c r="F82" s="2129" t="s">
        <v>2063</v>
      </c>
      <c r="G82" s="1349" t="s">
        <v>310</v>
      </c>
      <c r="H82" s="2130" t="s">
        <v>2050</v>
      </c>
      <c r="I82" s="1349" t="s">
        <v>2051</v>
      </c>
      <c r="J82" s="552" t="s">
        <v>1721</v>
      </c>
      <c r="K82" s="552" t="s">
        <v>1722</v>
      </c>
      <c r="L82" s="552" t="s">
        <v>1723</v>
      </c>
      <c r="M82" s="552" t="s">
        <v>1724</v>
      </c>
      <c r="N82" s="552" t="s">
        <v>1725</v>
      </c>
      <c r="Z82" s="1996"/>
      <c r="AA82" s="2051"/>
      <c r="AG82" s="1120"/>
      <c r="AK82" s="2051"/>
    </row>
    <row r="83" spans="1:37" ht="39.6">
      <c r="A83" s="2128" t="s">
        <v>2070</v>
      </c>
      <c r="B83" s="2132" t="str">
        <f>估价对象房地状况!G15</f>
        <v>估价对象位于XX开发区，园区建设成熟度XX，产业集聚程度XX</v>
      </c>
      <c r="C83" s="2042"/>
      <c r="D83" s="1064">
        <f t="shared" ref="D83:D90" si="22">SUMIF($J$82:$N$82,C83,J83:N83)</f>
        <v>0</v>
      </c>
      <c r="E83" s="744">
        <f>ROUND(SUM(D83:D90),4)</f>
        <v>0</v>
      </c>
      <c r="F83" s="1812"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52.8">
      <c r="A84" s="2128" t="s">
        <v>2053</v>
      </c>
      <c r="B84" s="2132" t="str">
        <f>估价对象房地状况!G16</f>
        <v>估价对象周边道路状况、公共交通通达情况、停车便捷程度，综合评价交通便捷度较好</v>
      </c>
      <c r="C84" s="2042"/>
      <c r="D84" s="1064">
        <f t="shared" si="22"/>
        <v>0</v>
      </c>
      <c r="E84" s="747"/>
      <c r="F84" s="1812"/>
      <c r="G84" s="1062"/>
      <c r="H84" s="1065" t="str">
        <f t="shared" si="23"/>
        <v>——</v>
      </c>
      <c r="I84" s="3365">
        <v>0.3</v>
      </c>
      <c r="J84" s="1063">
        <f t="shared" si="24"/>
        <v>0</v>
      </c>
      <c r="K84" s="1063">
        <f t="shared" si="25"/>
        <v>0</v>
      </c>
      <c r="L84" s="1063">
        <v>0</v>
      </c>
      <c r="M84" s="1063">
        <f t="shared" si="26"/>
        <v>0</v>
      </c>
      <c r="N84" s="1063">
        <f t="shared" si="26"/>
        <v>0</v>
      </c>
      <c r="Z84" s="1996"/>
      <c r="AA84" s="2051"/>
      <c r="AG84" s="1120"/>
      <c r="AK84" s="2051"/>
    </row>
    <row r="85" spans="1:37" ht="48">
      <c r="A85" s="3367" t="s">
        <v>3269</v>
      </c>
      <c r="B85" s="2132">
        <f>估价对象房地状况!G17</f>
        <v>0</v>
      </c>
      <c r="C85" s="2042"/>
      <c r="D85" s="1064">
        <f t="shared" si="22"/>
        <v>0</v>
      </c>
      <c r="E85" s="747"/>
      <c r="F85" s="1812"/>
      <c r="G85" s="1062"/>
      <c r="H85" s="1065" t="str">
        <f t="shared" si="23"/>
        <v>——</v>
      </c>
      <c r="I85" s="3365">
        <v>0.1</v>
      </c>
      <c r="J85" s="1063">
        <f t="shared" si="24"/>
        <v>0</v>
      </c>
      <c r="K85" s="1063">
        <f t="shared" si="25"/>
        <v>0</v>
      </c>
      <c r="L85" s="1063">
        <v>0</v>
      </c>
      <c r="M85" s="1063">
        <f t="shared" si="26"/>
        <v>0</v>
      </c>
      <c r="N85" s="1063">
        <f t="shared" si="26"/>
        <v>0</v>
      </c>
      <c r="Z85" s="1996"/>
      <c r="AA85" s="2051"/>
      <c r="AG85" s="1120"/>
      <c r="AK85" s="2051"/>
    </row>
    <row r="86" spans="1:37" ht="13.8">
      <c r="A86" s="2128" t="s">
        <v>2067</v>
      </c>
      <c r="B86" s="2132">
        <f>估价对象房地状况!G22</f>
        <v>0</v>
      </c>
      <c r="C86" s="2042"/>
      <c r="D86" s="1064">
        <f t="shared" si="22"/>
        <v>0</v>
      </c>
      <c r="E86" s="747"/>
      <c r="F86" s="1812"/>
      <c r="G86" s="1062"/>
      <c r="H86" s="1065" t="str">
        <f t="shared" si="23"/>
        <v>——</v>
      </c>
      <c r="I86" s="3365">
        <v>0.05</v>
      </c>
      <c r="J86" s="1063">
        <f t="shared" si="24"/>
        <v>0</v>
      </c>
      <c r="K86" s="1063">
        <f t="shared" si="25"/>
        <v>0</v>
      </c>
      <c r="L86" s="1063">
        <v>0</v>
      </c>
      <c r="M86" s="1063">
        <f t="shared" si="26"/>
        <v>0</v>
      </c>
      <c r="N86" s="1063">
        <f t="shared" si="26"/>
        <v>0</v>
      </c>
      <c r="Z86" s="1996"/>
      <c r="AA86" s="2051"/>
      <c r="AG86" s="1120"/>
      <c r="AK86" s="2051"/>
    </row>
    <row r="87" spans="1:37" ht="26.4">
      <c r="A87" s="2128" t="s">
        <v>2059</v>
      </c>
      <c r="B87" s="1325" t="str">
        <f>估价对象房地状况!G19</f>
        <v>估价对象所在区域公共配套设施齐备情况</v>
      </c>
      <c r="C87" s="2042"/>
      <c r="D87" s="1064">
        <f t="shared" si="22"/>
        <v>0</v>
      </c>
      <c r="E87" s="747"/>
      <c r="F87" s="1812"/>
      <c r="G87" s="1062"/>
      <c r="H87" s="1065" t="str">
        <f t="shared" si="23"/>
        <v>——</v>
      </c>
      <c r="I87" s="3365">
        <v>0.06</v>
      </c>
      <c r="J87" s="1063">
        <f t="shared" si="24"/>
        <v>0</v>
      </c>
      <c r="K87" s="1063">
        <f t="shared" si="25"/>
        <v>0</v>
      </c>
      <c r="L87" s="1063">
        <v>0</v>
      </c>
      <c r="M87" s="1063">
        <f t="shared" si="26"/>
        <v>0</v>
      </c>
      <c r="N87" s="1063">
        <f t="shared" si="26"/>
        <v>0</v>
      </c>
    </row>
    <row r="88" spans="1:37" ht="26.4">
      <c r="A88" s="2128" t="s">
        <v>2060</v>
      </c>
      <c r="B88" s="1325" t="str">
        <f>估价对象房地状况!G20</f>
        <v>估价对象所在区域基础设施水平</v>
      </c>
      <c r="C88" s="2042"/>
      <c r="D88" s="1064">
        <f t="shared" si="22"/>
        <v>0</v>
      </c>
      <c r="E88" s="747"/>
      <c r="F88" s="1812"/>
      <c r="G88" s="1062"/>
      <c r="H88" s="1065" t="str">
        <f t="shared" si="23"/>
        <v>——</v>
      </c>
      <c r="I88" s="3365">
        <v>0.12</v>
      </c>
      <c r="J88" s="1063">
        <f t="shared" si="24"/>
        <v>0</v>
      </c>
      <c r="K88" s="1063">
        <f t="shared" si="25"/>
        <v>0</v>
      </c>
      <c r="L88" s="1063">
        <v>0</v>
      </c>
      <c r="M88" s="1063">
        <f t="shared" si="26"/>
        <v>0</v>
      </c>
      <c r="N88" s="1063">
        <f t="shared" si="26"/>
        <v>0</v>
      </c>
    </row>
    <row r="89" spans="1:37" ht="36">
      <c r="A89" s="2128" t="s">
        <v>2057</v>
      </c>
      <c r="B89" s="2134" t="s">
        <v>2071</v>
      </c>
      <c r="C89" s="2042"/>
      <c r="D89" s="1064">
        <f t="shared" si="22"/>
        <v>0</v>
      </c>
      <c r="E89" s="747"/>
      <c r="F89" s="1812"/>
      <c r="G89" s="1062"/>
      <c r="H89" s="1065" t="str">
        <f t="shared" si="23"/>
        <v>——</v>
      </c>
      <c r="I89" s="3365">
        <v>0.06</v>
      </c>
      <c r="J89" s="1063">
        <f t="shared" si="24"/>
        <v>0</v>
      </c>
      <c r="K89" s="1063">
        <f t="shared" si="25"/>
        <v>0</v>
      </c>
      <c r="L89" s="1063">
        <v>0</v>
      </c>
      <c r="M89" s="1063">
        <f t="shared" si="26"/>
        <v>0</v>
      </c>
      <c r="N89" s="1063">
        <f t="shared" si="26"/>
        <v>0</v>
      </c>
    </row>
    <row r="90" spans="1:37" ht="40.200000000000003" thickBot="1">
      <c r="A90" s="2136" t="s">
        <v>2072</v>
      </c>
      <c r="B90" s="2141" t="str">
        <f>估价对象房地状况!G18</f>
        <v>该园区内是否有污染型企业，绿化情况，卫生条件，整体环境状况判断</v>
      </c>
      <c r="C90" s="2042"/>
      <c r="D90" s="1064">
        <f t="shared" si="22"/>
        <v>0</v>
      </c>
      <c r="E90" s="748"/>
      <c r="F90" s="1812"/>
      <c r="G90" s="1062"/>
      <c r="H90" s="1065" t="str">
        <f t="shared" si="23"/>
        <v>——</v>
      </c>
      <c r="I90" s="3366">
        <v>0.05</v>
      </c>
      <c r="J90" s="1063">
        <f t="shared" si="24"/>
        <v>0</v>
      </c>
      <c r="K90" s="1063">
        <f t="shared" si="25"/>
        <v>0</v>
      </c>
      <c r="L90" s="1063">
        <v>0</v>
      </c>
      <c r="M90" s="1063">
        <f t="shared" si="26"/>
        <v>0</v>
      </c>
      <c r="N90" s="1063">
        <f t="shared" si="26"/>
        <v>0</v>
      </c>
    </row>
    <row r="91" spans="1:37" ht="13.8">
      <c r="A91" s="3375" t="s">
        <v>2611</v>
      </c>
      <c r="B91" s="3376">
        <f>1+E93</f>
        <v>1</v>
      </c>
      <c r="C91" s="3369"/>
      <c r="D91" s="3370"/>
      <c r="E91" s="1812"/>
      <c r="F91" s="1812"/>
      <c r="G91" s="3371"/>
      <c r="H91" s="3372"/>
      <c r="I91" s="3373"/>
      <c r="J91" s="3374"/>
      <c r="K91" s="3374"/>
      <c r="L91" s="3374"/>
      <c r="M91" s="3374"/>
      <c r="N91" s="3374"/>
    </row>
    <row r="92" spans="1:37" ht="25.2">
      <c r="A92" s="3377" t="s">
        <v>3270</v>
      </c>
      <c r="B92" s="3364"/>
      <c r="C92" s="3364" t="s">
        <v>3279</v>
      </c>
      <c r="D92" s="3364" t="s">
        <v>3280</v>
      </c>
      <c r="E92" s="3346" t="s">
        <v>3281</v>
      </c>
      <c r="F92" s="3379" t="s">
        <v>3282</v>
      </c>
      <c r="G92" s="3364" t="s">
        <v>3283</v>
      </c>
      <c r="H92" s="3386" t="s">
        <v>3286</v>
      </c>
      <c r="I92" s="3364" t="s">
        <v>3287</v>
      </c>
      <c r="J92" s="3387" t="s">
        <v>3288</v>
      </c>
      <c r="K92" s="3387" t="s">
        <v>3289</v>
      </c>
      <c r="L92" s="3387" t="s">
        <v>3290</v>
      </c>
      <c r="M92" s="3387" t="s">
        <v>3291</v>
      </c>
      <c r="N92" s="3387" t="s">
        <v>3292</v>
      </c>
    </row>
    <row r="93" spans="1:37" ht="24">
      <c r="A93" s="3367" t="s">
        <v>3271</v>
      </c>
      <c r="B93" s="1305"/>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3272</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3268</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3273</v>
      </c>
      <c r="B96" s="3383" t="s">
        <v>3284</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3274</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36">
      <c r="A98" s="3377" t="s">
        <v>3275</v>
      </c>
      <c r="B98" s="3384" t="s">
        <v>3285</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6.4">
      <c r="A99" s="3377" t="s">
        <v>3276</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6.4">
      <c r="A100" s="3377" t="s">
        <v>3277</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3278</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7" t="s">
        <v>3293</v>
      </c>
      <c r="B103" s="3767"/>
      <c r="C103" s="3767"/>
      <c r="D103" s="3767"/>
      <c r="E103" s="3767"/>
      <c r="F103" s="3767"/>
      <c r="G103" s="3767"/>
      <c r="H103" s="3767"/>
      <c r="I103" s="3767"/>
      <c r="J103" s="3767"/>
      <c r="K103" s="3388"/>
      <c r="L103" s="3388"/>
      <c r="M103" s="3388"/>
      <c r="N103" s="3388"/>
    </row>
    <row r="104" spans="1:14">
      <c r="A104" s="3768" t="s">
        <v>3294</v>
      </c>
      <c r="B104" s="3768" t="s">
        <v>3295</v>
      </c>
      <c r="C104" s="3389" t="s">
        <v>3296</v>
      </c>
      <c r="D104" s="3390"/>
      <c r="E104" s="3390"/>
      <c r="F104" s="3390"/>
      <c r="G104" s="3390"/>
      <c r="H104" s="3390"/>
      <c r="I104" s="3390"/>
      <c r="J104" s="3391"/>
      <c r="K104" s="3392"/>
      <c r="L104" s="3392"/>
      <c r="M104" s="3392"/>
      <c r="N104" s="3392"/>
    </row>
    <row r="105" spans="1:14">
      <c r="A105" s="3768"/>
      <c r="B105" s="3768"/>
      <c r="C105" s="3393" t="s">
        <v>3297</v>
      </c>
      <c r="D105" s="3393" t="s">
        <v>3298</v>
      </c>
      <c r="E105" s="3393" t="s">
        <v>3299</v>
      </c>
      <c r="F105" s="3393" t="s">
        <v>3300</v>
      </c>
      <c r="G105" s="3393" t="s">
        <v>3301</v>
      </c>
      <c r="H105" s="3393" t="s">
        <v>3302</v>
      </c>
      <c r="I105" s="3393" t="s">
        <v>3303</v>
      </c>
      <c r="J105" s="3393" t="s">
        <v>3304</v>
      </c>
      <c r="K105" s="3393" t="s">
        <v>3305</v>
      </c>
      <c r="L105" s="3393" t="s">
        <v>3306</v>
      </c>
      <c r="M105" s="3393" t="s">
        <v>3307</v>
      </c>
      <c r="N105" s="3393" t="s">
        <v>3308</v>
      </c>
    </row>
    <row r="106" spans="1:14">
      <c r="A106" s="3754" t="s">
        <v>3309</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5"/>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5"/>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5"/>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5"/>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5"/>
      <c r="B111" s="3393" t="s">
        <v>3267</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6"/>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7" t="s">
        <v>3310</v>
      </c>
      <c r="B113" s="3757"/>
      <c r="C113" s="3757"/>
      <c r="D113" s="3757"/>
      <c r="E113" s="3757"/>
      <c r="F113" s="3757"/>
      <c r="G113" s="3757"/>
      <c r="H113" s="3757"/>
      <c r="I113" s="3757"/>
      <c r="J113" s="3757"/>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3311</v>
      </c>
      <c r="B116" s="3414">
        <f>G3</f>
        <v>0</v>
      </c>
      <c r="C116" s="3398" t="s">
        <v>3312</v>
      </c>
      <c r="D116" s="3399">
        <f>SUMPRODUCT((A118:A122=F116)*(B117:M117=H116)*B118:M122)</f>
        <v>0</v>
      </c>
      <c r="E116" s="1998" t="s">
        <v>3313</v>
      </c>
      <c r="F116" s="3400">
        <f>E2</f>
        <v>0</v>
      </c>
      <c r="G116" s="1998" t="s">
        <v>3314</v>
      </c>
      <c r="H116" s="3400">
        <f>G2</f>
        <v>0</v>
      </c>
      <c r="I116" s="1998"/>
      <c r="J116" s="3401"/>
      <c r="K116" s="3401"/>
      <c r="L116" s="3401"/>
      <c r="M116" s="3401"/>
      <c r="N116" s="3396"/>
    </row>
    <row r="117" spans="1:14">
      <c r="A117" s="3402"/>
      <c r="B117" s="3403" t="s">
        <v>3315</v>
      </c>
      <c r="C117" s="3403" t="s">
        <v>3316</v>
      </c>
      <c r="D117" s="3403" t="s">
        <v>3317</v>
      </c>
      <c r="E117" s="3404" t="s">
        <v>3318</v>
      </c>
      <c r="F117" s="3404" t="s">
        <v>3319</v>
      </c>
      <c r="G117" s="3404" t="s">
        <v>3320</v>
      </c>
      <c r="H117" s="3405" t="s">
        <v>3321</v>
      </c>
      <c r="I117" s="3405" t="s">
        <v>3322</v>
      </c>
      <c r="J117" s="3406" t="s">
        <v>3323</v>
      </c>
      <c r="K117" s="3406" t="s">
        <v>3324</v>
      </c>
      <c r="L117" s="3406" t="s">
        <v>3325</v>
      </c>
      <c r="M117" s="3407" t="s">
        <v>3326</v>
      </c>
      <c r="N117" s="3396"/>
    </row>
    <row r="118" spans="1:14">
      <c r="A118" s="3408" t="s">
        <v>3327</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3328</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3329</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8" thickBot="1">
      <c r="A121" s="3410" t="s">
        <v>3330</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2611</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782" t="s">
        <v>2606</v>
      </c>
      <c r="B20" s="3777" t="s">
        <v>2627</v>
      </c>
      <c r="C20" s="3101" t="s">
        <v>2438</v>
      </c>
      <c r="D20" s="3102"/>
      <c r="E20" s="3103">
        <v>1</v>
      </c>
      <c r="F20" s="3104" t="s">
        <v>2439</v>
      </c>
      <c r="G20" s="3104"/>
    </row>
    <row r="21" spans="1:13" ht="19.5" customHeight="1">
      <c r="A21" s="3783"/>
      <c r="B21" s="3776"/>
      <c r="C21" s="3105" t="s">
        <v>2440</v>
      </c>
      <c r="D21" s="3106"/>
      <c r="E21" s="3107">
        <v>1</v>
      </c>
      <c r="F21" s="3104" t="s">
        <v>2441</v>
      </c>
      <c r="G21" s="3104"/>
    </row>
    <row r="22" spans="1:13" ht="19.5" customHeight="1">
      <c r="A22" s="3783"/>
      <c r="B22" s="3776"/>
      <c r="C22" s="3105" t="s">
        <v>2442</v>
      </c>
      <c r="D22" s="3106"/>
      <c r="E22" s="3107">
        <v>0.9</v>
      </c>
      <c r="F22" s="3104" t="s">
        <v>2443</v>
      </c>
      <c r="G22" s="3104"/>
    </row>
    <row r="23" spans="1:13" ht="19.5" customHeight="1">
      <c r="A23" s="3783"/>
      <c r="B23" s="3776"/>
      <c r="C23" s="3105" t="s">
        <v>2444</v>
      </c>
      <c r="D23" s="3106"/>
      <c r="E23" s="3107">
        <v>0.9</v>
      </c>
      <c r="F23" s="3104" t="s">
        <v>2445</v>
      </c>
      <c r="G23" s="3104"/>
    </row>
    <row r="24" spans="1:13" ht="19.5" customHeight="1">
      <c r="A24" s="3783"/>
      <c r="B24" s="3776"/>
      <c r="C24" s="3105" t="s">
        <v>2446</v>
      </c>
      <c r="D24" s="3106"/>
      <c r="E24" s="3107">
        <v>0.8</v>
      </c>
      <c r="F24" s="3104" t="s">
        <v>2447</v>
      </c>
      <c r="G24" s="3104"/>
    </row>
    <row r="25" spans="1:13" ht="19.5" customHeight="1" thickBot="1">
      <c r="A25" s="3784"/>
      <c r="B25" s="3778"/>
      <c r="C25" s="3108" t="s">
        <v>2448</v>
      </c>
      <c r="D25" s="3109"/>
      <c r="E25" s="3110">
        <v>0.8</v>
      </c>
      <c r="F25" s="3104" t="s">
        <v>2449</v>
      </c>
      <c r="G25" s="3104"/>
    </row>
    <row r="26" spans="1:13" ht="19.5" customHeight="1" thickBot="1">
      <c r="A26" s="3111" t="s">
        <v>2628</v>
      </c>
      <c r="B26" s="3112" t="s">
        <v>2627</v>
      </c>
      <c r="C26" s="3113" t="s">
        <v>2629</v>
      </c>
      <c r="D26" s="3114"/>
      <c r="E26" s="3115">
        <v>1</v>
      </c>
      <c r="F26" s="3104" t="s">
        <v>2450</v>
      </c>
      <c r="G26" s="3104"/>
    </row>
    <row r="27" spans="1:13" ht="19.5" customHeight="1">
      <c r="A27" s="3779" t="s">
        <v>2630</v>
      </c>
      <c r="B27" s="3777" t="s">
        <v>2611</v>
      </c>
      <c r="C27" s="3101" t="s">
        <v>2451</v>
      </c>
      <c r="D27" s="3102"/>
      <c r="E27" s="3103">
        <v>1</v>
      </c>
      <c r="F27" s="3104" t="s">
        <v>2452</v>
      </c>
      <c r="G27" s="3104"/>
    </row>
    <row r="28" spans="1:13" ht="19.5" customHeight="1">
      <c r="A28" s="3780"/>
      <c r="B28" s="3776"/>
      <c r="C28" s="3105" t="s">
        <v>2453</v>
      </c>
      <c r="D28" s="3106"/>
      <c r="E28" s="3107">
        <v>1</v>
      </c>
      <c r="F28" s="3104" t="s">
        <v>2454</v>
      </c>
      <c r="G28" s="3104"/>
    </row>
    <row r="29" spans="1:13" ht="19.5" customHeight="1">
      <c r="A29" s="3780"/>
      <c r="B29" s="3776"/>
      <c r="C29" s="3105" t="s">
        <v>2455</v>
      </c>
      <c r="D29" s="3106"/>
      <c r="E29" s="3107">
        <v>0.8</v>
      </c>
      <c r="F29" s="3104" t="s">
        <v>2456</v>
      </c>
      <c r="G29" s="3104"/>
    </row>
    <row r="30" spans="1:13" ht="19.5" customHeight="1">
      <c r="A30" s="3780"/>
      <c r="B30" s="3776"/>
      <c r="C30" s="3105" t="s">
        <v>2457</v>
      </c>
      <c r="D30" s="3106"/>
      <c r="E30" s="3107">
        <v>0.8</v>
      </c>
      <c r="F30" s="3104" t="s">
        <v>2458</v>
      </c>
      <c r="G30" s="3104"/>
    </row>
    <row r="31" spans="1:13" ht="19.5" customHeight="1">
      <c r="A31" s="3780"/>
      <c r="B31" s="3776"/>
      <c r="C31" s="3105" t="s">
        <v>2459</v>
      </c>
      <c r="D31" s="3106"/>
      <c r="E31" s="3107">
        <v>0.8</v>
      </c>
      <c r="F31" s="3104" t="s">
        <v>2460</v>
      </c>
      <c r="G31" s="3104"/>
    </row>
    <row r="32" spans="1:13" ht="19.5" customHeight="1">
      <c r="A32" s="3780"/>
      <c r="B32" s="3776"/>
      <c r="C32" s="3105" t="s">
        <v>2461</v>
      </c>
      <c r="D32" s="3106"/>
      <c r="E32" s="3107">
        <v>0.7</v>
      </c>
      <c r="F32" s="3104" t="s">
        <v>2462</v>
      </c>
      <c r="G32" s="3104"/>
    </row>
    <row r="33" spans="1:7" ht="19.5" customHeight="1">
      <c r="A33" s="3780"/>
      <c r="B33" s="3776"/>
      <c r="C33" s="3105" t="s">
        <v>2463</v>
      </c>
      <c r="D33" s="3106"/>
      <c r="E33" s="3107">
        <v>0.8</v>
      </c>
      <c r="F33" s="3104" t="s">
        <v>2464</v>
      </c>
      <c r="G33" s="3104"/>
    </row>
    <row r="34" spans="1:7" ht="19.5" customHeight="1">
      <c r="A34" s="3780"/>
      <c r="B34" s="3776"/>
      <c r="C34" s="3105" t="s">
        <v>2465</v>
      </c>
      <c r="D34" s="3106"/>
      <c r="E34" s="3107">
        <v>0.6</v>
      </c>
      <c r="F34" s="3104" t="s">
        <v>2466</v>
      </c>
      <c r="G34" s="3104"/>
    </row>
    <row r="35" spans="1:7" ht="19.5" customHeight="1">
      <c r="A35" s="3780"/>
      <c r="B35" s="3776"/>
      <c r="C35" s="3105" t="s">
        <v>2467</v>
      </c>
      <c r="D35" s="3106"/>
      <c r="E35" s="3107">
        <v>0.2</v>
      </c>
      <c r="F35" s="3104" t="s">
        <v>2468</v>
      </c>
      <c r="G35" s="3104"/>
    </row>
    <row r="36" spans="1:7" ht="19.5" customHeight="1">
      <c r="A36" s="3780"/>
      <c r="B36" s="3776"/>
      <c r="C36" s="3105" t="s">
        <v>2469</v>
      </c>
      <c r="D36" s="3106"/>
      <c r="E36" s="3107">
        <v>0.2</v>
      </c>
      <c r="F36" s="3104" t="s">
        <v>2470</v>
      </c>
      <c r="G36" s="3104"/>
    </row>
    <row r="37" spans="1:7" ht="19.5" customHeight="1">
      <c r="A37" s="3780"/>
      <c r="B37" s="3774" t="s">
        <v>2631</v>
      </c>
      <c r="C37" s="3105" t="s">
        <v>2471</v>
      </c>
      <c r="D37" s="3106"/>
      <c r="E37" s="3107">
        <v>0.6</v>
      </c>
      <c r="F37" s="3104" t="s">
        <v>2472</v>
      </c>
      <c r="G37" s="3104"/>
    </row>
    <row r="38" spans="1:7" ht="19.5" customHeight="1">
      <c r="A38" s="3780"/>
      <c r="B38" s="3776"/>
      <c r="C38" s="3105" t="s">
        <v>2473</v>
      </c>
      <c r="D38" s="3106"/>
      <c r="E38" s="3107">
        <v>0.6</v>
      </c>
      <c r="F38" s="3104" t="s">
        <v>2474</v>
      </c>
      <c r="G38" s="3104"/>
    </row>
    <row r="39" spans="1:7" ht="19.5" customHeight="1" thickBot="1">
      <c r="A39" s="3781"/>
      <c r="B39" s="3778"/>
      <c r="C39" s="3108" t="s">
        <v>2475</v>
      </c>
      <c r="D39" s="3109"/>
      <c r="E39" s="3110">
        <v>0.6</v>
      </c>
      <c r="F39" s="3104" t="s">
        <v>2476</v>
      </c>
      <c r="G39" s="3104"/>
    </row>
    <row r="40" spans="1:7" ht="19.5" customHeight="1" thickBot="1">
      <c r="A40" s="3111" t="s">
        <v>2608</v>
      </c>
      <c r="B40" s="3112" t="s">
        <v>2608</v>
      </c>
      <c r="C40" s="3113" t="s">
        <v>2632</v>
      </c>
      <c r="D40" s="3114"/>
      <c r="E40" s="3115">
        <v>1</v>
      </c>
      <c r="F40" s="3104" t="s">
        <v>2477</v>
      </c>
      <c r="G40" s="3104"/>
    </row>
    <row r="41" spans="1:7" ht="19.5" customHeight="1">
      <c r="A41" s="3782" t="s">
        <v>2609</v>
      </c>
      <c r="B41" s="3777" t="s">
        <v>2633</v>
      </c>
      <c r="C41" s="3101" t="s">
        <v>2478</v>
      </c>
      <c r="D41" s="3102"/>
      <c r="E41" s="3103">
        <v>1</v>
      </c>
      <c r="F41" s="3104" t="s">
        <v>2479</v>
      </c>
      <c r="G41" s="3104"/>
    </row>
    <row r="42" spans="1:7" ht="19.5" customHeight="1">
      <c r="A42" s="3783"/>
      <c r="B42" s="3776"/>
      <c r="C42" s="3105" t="s">
        <v>2480</v>
      </c>
      <c r="D42" s="3106"/>
      <c r="E42" s="3107">
        <v>1</v>
      </c>
      <c r="F42" s="3104" t="s">
        <v>2481</v>
      </c>
      <c r="G42" s="3104"/>
    </row>
    <row r="43" spans="1:7" ht="19.5" customHeight="1">
      <c r="A43" s="3783"/>
      <c r="B43" s="3775"/>
      <c r="C43" s="3105" t="s">
        <v>2482</v>
      </c>
      <c r="D43" s="3106"/>
      <c r="E43" s="3107">
        <v>1.5</v>
      </c>
      <c r="F43" s="3104" t="s">
        <v>2483</v>
      </c>
      <c r="G43" s="3104"/>
    </row>
    <row r="44" spans="1:7" ht="19.5" customHeight="1">
      <c r="A44" s="3783"/>
      <c r="B44" s="3116" t="s">
        <v>2634</v>
      </c>
      <c r="C44" s="3105" t="s">
        <v>2635</v>
      </c>
      <c r="D44" s="3106"/>
      <c r="E44" s="3107">
        <v>2</v>
      </c>
      <c r="F44" s="3104" t="s">
        <v>2484</v>
      </c>
      <c r="G44" s="3104"/>
    </row>
    <row r="45" spans="1:7" ht="19.5" customHeight="1">
      <c r="A45" s="3783"/>
      <c r="B45" s="3774" t="s">
        <v>2636</v>
      </c>
      <c r="C45" s="3105" t="s">
        <v>2485</v>
      </c>
      <c r="D45" s="3106"/>
      <c r="E45" s="3107">
        <v>1</v>
      </c>
      <c r="F45" s="3104" t="s">
        <v>2486</v>
      </c>
      <c r="G45" s="3104"/>
    </row>
    <row r="46" spans="1:7" ht="19.5" customHeight="1">
      <c r="A46" s="3783"/>
      <c r="B46" s="3776"/>
      <c r="C46" s="3105" t="s">
        <v>2487</v>
      </c>
      <c r="D46" s="3106"/>
      <c r="E46" s="3107">
        <v>1</v>
      </c>
      <c r="F46" s="3104" t="s">
        <v>2488</v>
      </c>
      <c r="G46" s="3104"/>
    </row>
    <row r="47" spans="1:7" ht="19.5" customHeight="1">
      <c r="A47" s="3783"/>
      <c r="B47" s="3776"/>
      <c r="C47" s="3105" t="s">
        <v>2489</v>
      </c>
      <c r="D47" s="3106"/>
      <c r="E47" s="3107">
        <v>1</v>
      </c>
      <c r="F47" s="3104" t="s">
        <v>2490</v>
      </c>
      <c r="G47" s="3104"/>
    </row>
    <row r="48" spans="1:7" ht="19.5" customHeight="1">
      <c r="A48" s="3783"/>
      <c r="B48" s="3776"/>
      <c r="C48" s="3105" t="s">
        <v>2491</v>
      </c>
      <c r="D48" s="3106"/>
      <c r="E48" s="3107">
        <v>1</v>
      </c>
      <c r="F48" s="3104" t="s">
        <v>2492</v>
      </c>
      <c r="G48" s="3104"/>
    </row>
    <row r="49" spans="1:7" ht="19.5" customHeight="1">
      <c r="A49" s="3783"/>
      <c r="B49" s="3776"/>
      <c r="C49" s="3105" t="s">
        <v>2493</v>
      </c>
      <c r="D49" s="3106"/>
      <c r="E49" s="3107">
        <v>1</v>
      </c>
      <c r="F49" s="3104" t="s">
        <v>2494</v>
      </c>
      <c r="G49" s="3104"/>
    </row>
    <row r="50" spans="1:7" ht="19.5" customHeight="1">
      <c r="A50" s="3783"/>
      <c r="B50" s="3776"/>
      <c r="C50" s="3105" t="s">
        <v>2495</v>
      </c>
      <c r="D50" s="3106"/>
      <c r="E50" s="3107">
        <v>1</v>
      </c>
      <c r="F50" s="3104" t="s">
        <v>2496</v>
      </c>
      <c r="G50" s="3104"/>
    </row>
    <row r="51" spans="1:7" ht="19.5" customHeight="1" thickBot="1">
      <c r="A51" s="3784"/>
      <c r="B51" s="3778"/>
      <c r="C51" s="3108" t="s">
        <v>2497</v>
      </c>
      <c r="D51" s="3109"/>
      <c r="E51" s="3110">
        <v>1</v>
      </c>
      <c r="F51" s="3104" t="s">
        <v>2498</v>
      </c>
      <c r="G51" s="3104"/>
    </row>
    <row r="52" spans="1:7" ht="19.5" customHeight="1">
      <c r="A52" s="3117"/>
      <c r="B52" s="3117"/>
      <c r="C52" s="3117"/>
      <c r="D52" s="3117"/>
      <c r="E52" s="3117"/>
      <c r="F52" s="3117"/>
      <c r="G52" s="3117"/>
    </row>
    <row r="54" spans="1:7" ht="19.5" customHeight="1">
      <c r="A54" s="3118"/>
      <c r="B54" s="3090" t="s">
        <v>2637</v>
      </c>
      <c r="C54" s="3090" t="s">
        <v>2637</v>
      </c>
      <c r="D54" s="3090" t="s">
        <v>2637</v>
      </c>
      <c r="E54" s="3093" t="s">
        <v>2637</v>
      </c>
      <c r="F54" s="3093" t="s">
        <v>2638</v>
      </c>
      <c r="G54" s="3093" t="s">
        <v>2639</v>
      </c>
    </row>
    <row r="55" spans="1:7" ht="19.5" customHeight="1">
      <c r="A55" s="3119"/>
      <c r="B55" s="3093" t="s">
        <v>2606</v>
      </c>
      <c r="C55" s="3093" t="s">
        <v>2606</v>
      </c>
      <c r="D55" s="3093" t="s">
        <v>2606</v>
      </c>
      <c r="E55" s="3090" t="s">
        <v>2607</v>
      </c>
      <c r="F55" s="3090" t="s">
        <v>2609</v>
      </c>
      <c r="G55" s="3090" t="s">
        <v>2640</v>
      </c>
    </row>
    <row r="56" spans="1:7" ht="19.5" customHeight="1">
      <c r="A56" s="3120"/>
      <c r="B56" s="3090">
        <v>1</v>
      </c>
      <c r="C56" s="3090">
        <v>2</v>
      </c>
      <c r="D56" s="3090">
        <v>3</v>
      </c>
      <c r="E56" s="3121" t="s">
        <v>2641</v>
      </c>
      <c r="F56" s="3121" t="s">
        <v>2641</v>
      </c>
      <c r="G56" s="3121" t="s">
        <v>2641</v>
      </c>
    </row>
    <row r="57" spans="1:7" ht="19.5" customHeight="1">
      <c r="A57" s="3122" t="s">
        <v>2594</v>
      </c>
      <c r="B57" s="3090">
        <v>0.7</v>
      </c>
      <c r="C57" s="3090">
        <v>0.4</v>
      </c>
      <c r="D57" s="3090">
        <v>0.3</v>
      </c>
      <c r="E57" s="3121">
        <v>0.3</v>
      </c>
      <c r="F57" s="3090">
        <v>0.3</v>
      </c>
      <c r="G57" s="3090">
        <v>0.2</v>
      </c>
    </row>
    <row r="58" spans="1:7" ht="19.5" customHeight="1">
      <c r="A58" s="3122" t="s">
        <v>2595</v>
      </c>
      <c r="B58" s="3090">
        <v>0.7</v>
      </c>
      <c r="C58" s="3090">
        <v>0.4</v>
      </c>
      <c r="D58" s="3090">
        <v>0.3</v>
      </c>
      <c r="E58" s="3090">
        <v>0.3</v>
      </c>
      <c r="F58" s="3090">
        <v>0.3</v>
      </c>
      <c r="G58" s="3090">
        <v>0.2</v>
      </c>
    </row>
    <row r="59" spans="1:7" ht="19.5" customHeight="1">
      <c r="A59" s="3122" t="s">
        <v>2596</v>
      </c>
      <c r="B59" s="3090">
        <v>0.6</v>
      </c>
      <c r="C59" s="3090">
        <v>0.3</v>
      </c>
      <c r="D59" s="3090">
        <v>0.25</v>
      </c>
      <c r="E59" s="3090">
        <v>0.25</v>
      </c>
      <c r="F59" s="3090">
        <v>0.25</v>
      </c>
      <c r="G59" s="3090">
        <v>0.15</v>
      </c>
    </row>
    <row r="60" spans="1:7" ht="19.5" customHeight="1">
      <c r="A60" s="3122" t="s">
        <v>2597</v>
      </c>
      <c r="B60" s="3090">
        <v>0.6</v>
      </c>
      <c r="C60" s="3090">
        <v>0.3</v>
      </c>
      <c r="D60" s="3090">
        <v>0.25</v>
      </c>
      <c r="E60" s="3090">
        <v>0.25</v>
      </c>
      <c r="F60" s="3090">
        <v>0.25</v>
      </c>
      <c r="G60" s="3090">
        <v>0.15</v>
      </c>
    </row>
    <row r="61" spans="1:7" ht="19.5" customHeight="1">
      <c r="A61" s="3122" t="s">
        <v>2598</v>
      </c>
      <c r="B61" s="3090">
        <v>0.6</v>
      </c>
      <c r="C61" s="3090">
        <v>0.3</v>
      </c>
      <c r="D61" s="3090">
        <v>0.25</v>
      </c>
      <c r="E61" s="3090">
        <v>0.25</v>
      </c>
      <c r="F61" s="3090">
        <v>0.25</v>
      </c>
      <c r="G61" s="3090">
        <v>0.15</v>
      </c>
    </row>
    <row r="62" spans="1:7" ht="19.5" customHeight="1">
      <c r="A62" s="3122" t="s">
        <v>2599</v>
      </c>
      <c r="B62" s="3090">
        <v>0.6</v>
      </c>
      <c r="C62" s="3090">
        <v>0.3</v>
      </c>
      <c r="D62" s="3090">
        <v>0.25</v>
      </c>
      <c r="E62" s="3090">
        <v>0.25</v>
      </c>
      <c r="F62" s="3090">
        <v>0.25</v>
      </c>
      <c r="G62" s="3090">
        <v>0.15</v>
      </c>
    </row>
    <row r="63" spans="1:7" ht="19.5" customHeight="1">
      <c r="A63" s="3122" t="s">
        <v>2600</v>
      </c>
      <c r="B63" s="3090">
        <v>0.6</v>
      </c>
      <c r="C63" s="3090">
        <v>0.3</v>
      </c>
      <c r="D63" s="3090">
        <v>0.25</v>
      </c>
      <c r="E63" s="3090">
        <v>0.25</v>
      </c>
      <c r="F63" s="3090">
        <v>0.25</v>
      </c>
      <c r="G63" s="3090">
        <v>0.15</v>
      </c>
    </row>
    <row r="64" spans="1:7" ht="19.5" customHeight="1">
      <c r="A64" s="3122" t="s">
        <v>2601</v>
      </c>
      <c r="B64" s="3090">
        <v>0.5</v>
      </c>
      <c r="C64" s="3090">
        <v>0.2</v>
      </c>
      <c r="D64" s="3090">
        <v>0.2</v>
      </c>
      <c r="E64" s="3090">
        <v>0.2</v>
      </c>
      <c r="F64" s="3090">
        <v>0.2</v>
      </c>
      <c r="G64" s="3090">
        <v>0.1</v>
      </c>
    </row>
    <row r="65" spans="1:7" ht="19.5" customHeight="1">
      <c r="A65" s="3122" t="s">
        <v>2602</v>
      </c>
      <c r="B65" s="3090">
        <v>0.5</v>
      </c>
      <c r="C65" s="3090">
        <v>0.2</v>
      </c>
      <c r="D65" s="3090">
        <v>0.2</v>
      </c>
      <c r="E65" s="3090">
        <v>0.2</v>
      </c>
      <c r="F65" s="3090">
        <v>0.2</v>
      </c>
      <c r="G65" s="3090">
        <v>0.1</v>
      </c>
    </row>
    <row r="66" spans="1:7" ht="19.5" customHeight="1">
      <c r="A66" s="3122" t="s">
        <v>2603</v>
      </c>
      <c r="B66" s="3090">
        <v>0.5</v>
      </c>
      <c r="C66" s="3090">
        <v>0.2</v>
      </c>
      <c r="D66" s="3090">
        <v>0.2</v>
      </c>
      <c r="E66" s="3090">
        <v>0.2</v>
      </c>
      <c r="F66" s="3090">
        <v>0.2</v>
      </c>
      <c r="G66" s="3090">
        <v>0.1</v>
      </c>
    </row>
    <row r="67" spans="1:7" ht="19.5" customHeight="1">
      <c r="A67" s="3122" t="s">
        <v>2604</v>
      </c>
      <c r="B67" s="3090">
        <v>0.5</v>
      </c>
      <c r="C67" s="3090">
        <v>0.2</v>
      </c>
      <c r="D67" s="3090">
        <v>0.2</v>
      </c>
      <c r="E67" s="3090">
        <v>0.2</v>
      </c>
      <c r="F67" s="3090">
        <v>0.2</v>
      </c>
      <c r="G67" s="3090">
        <v>0.1</v>
      </c>
    </row>
    <row r="68" spans="1:7" ht="19.5" customHeight="1">
      <c r="A68" s="3122" t="s">
        <v>2605</v>
      </c>
      <c r="B68" s="3090">
        <v>0.5</v>
      </c>
      <c r="C68" s="3090">
        <v>0.2</v>
      </c>
      <c r="D68" s="3090">
        <v>0.2</v>
      </c>
      <c r="E68" s="3090">
        <v>0.2</v>
      </c>
      <c r="F68" s="3090">
        <v>0.2</v>
      </c>
      <c r="G68" s="3090">
        <v>0.1</v>
      </c>
    </row>
    <row r="70" spans="1:7" ht="19.5" customHeight="1">
      <c r="A70" s="3123"/>
      <c r="B70" s="3124"/>
      <c r="C70" s="3124"/>
      <c r="D70" s="3124" t="s">
        <v>2642</v>
      </c>
      <c r="E70" s="3124"/>
      <c r="F70" s="3124"/>
    </row>
    <row r="71" spans="1:7" ht="19.5" customHeight="1">
      <c r="A71" s="3116" t="s">
        <v>2643</v>
      </c>
      <c r="B71" s="3116" t="s">
        <v>2644</v>
      </c>
      <c r="C71" s="3116" t="s">
        <v>2645</v>
      </c>
      <c r="D71" s="3116" t="s">
        <v>2646</v>
      </c>
      <c r="E71" s="3116" t="s">
        <v>2647</v>
      </c>
      <c r="F71" s="3116" t="s">
        <v>2648</v>
      </c>
    </row>
    <row r="72" spans="1:7" ht="14.4">
      <c r="A72" s="3116"/>
      <c r="B72" s="3116"/>
      <c r="C72" s="3116" t="s">
        <v>2649</v>
      </c>
      <c r="D72" s="3116"/>
      <c r="E72" s="3116" t="s">
        <v>2620</v>
      </c>
      <c r="F72" s="3116" t="s">
        <v>2620</v>
      </c>
    </row>
    <row r="73" spans="1:7" ht="14.4">
      <c r="A73" s="3116">
        <v>1</v>
      </c>
      <c r="B73" s="3774" t="s">
        <v>2650</v>
      </c>
      <c r="C73" s="3090" t="s">
        <v>2651</v>
      </c>
      <c r="D73" s="3090" t="s">
        <v>2652</v>
      </c>
      <c r="E73" s="3116">
        <v>0.2</v>
      </c>
      <c r="F73" s="3116">
        <v>25</v>
      </c>
    </row>
    <row r="74" spans="1:7" ht="24">
      <c r="A74" s="3116">
        <v>2</v>
      </c>
      <c r="B74" s="3776"/>
      <c r="C74" s="3090" t="s">
        <v>2653</v>
      </c>
      <c r="D74" s="3090" t="s">
        <v>2654</v>
      </c>
      <c r="E74" s="3116">
        <v>0.2</v>
      </c>
      <c r="F74" s="3116">
        <v>25</v>
      </c>
    </row>
    <row r="75" spans="1:7" ht="24">
      <c r="A75" s="3116">
        <v>3</v>
      </c>
      <c r="B75" s="3776"/>
      <c r="C75" s="3090" t="s">
        <v>2655</v>
      </c>
      <c r="D75" s="3090" t="s">
        <v>2656</v>
      </c>
      <c r="E75" s="3116">
        <v>0.2</v>
      </c>
      <c r="F75" s="3116">
        <v>25</v>
      </c>
    </row>
    <row r="76" spans="1:7" ht="14.4">
      <c r="A76" s="3116">
        <v>4</v>
      </c>
      <c r="B76" s="3776"/>
      <c r="C76" s="3090" t="s">
        <v>2657</v>
      </c>
      <c r="D76" s="3090" t="s">
        <v>2658</v>
      </c>
      <c r="E76" s="3116">
        <v>0.15</v>
      </c>
      <c r="F76" s="3116">
        <v>20</v>
      </c>
    </row>
    <row r="77" spans="1:7" ht="24">
      <c r="A77" s="3116">
        <v>5</v>
      </c>
      <c r="B77" s="3776"/>
      <c r="C77" s="3090" t="s">
        <v>2659</v>
      </c>
      <c r="D77" s="3090" t="s">
        <v>2660</v>
      </c>
      <c r="E77" s="3116">
        <v>0.15</v>
      </c>
      <c r="F77" s="3116">
        <v>20</v>
      </c>
    </row>
    <row r="78" spans="1:7" ht="24">
      <c r="A78" s="3116">
        <v>6</v>
      </c>
      <c r="B78" s="3776"/>
      <c r="C78" s="3090" t="s">
        <v>2661</v>
      </c>
      <c r="D78" s="3090" t="s">
        <v>2662</v>
      </c>
      <c r="E78" s="3116">
        <v>0.15</v>
      </c>
      <c r="F78" s="3116">
        <v>20</v>
      </c>
    </row>
    <row r="79" spans="1:7" ht="24">
      <c r="A79" s="3116">
        <v>7</v>
      </c>
      <c r="B79" s="3776"/>
      <c r="C79" s="3090" t="s">
        <v>2663</v>
      </c>
      <c r="D79" s="3090" t="s">
        <v>2664</v>
      </c>
      <c r="E79" s="3116">
        <v>0.15</v>
      </c>
      <c r="F79" s="3116">
        <v>20</v>
      </c>
    </row>
    <row r="80" spans="1:7" ht="24">
      <c r="A80" s="3116">
        <v>8</v>
      </c>
      <c r="B80" s="3776"/>
      <c r="C80" s="3090" t="s">
        <v>2665</v>
      </c>
      <c r="D80" s="3090" t="s">
        <v>2666</v>
      </c>
      <c r="E80" s="3116">
        <v>0.1</v>
      </c>
      <c r="F80" s="3116">
        <v>15</v>
      </c>
    </row>
    <row r="81" spans="1:6" ht="24">
      <c r="A81" s="3116">
        <v>9</v>
      </c>
      <c r="B81" s="3776"/>
      <c r="C81" s="3090" t="s">
        <v>2667</v>
      </c>
      <c r="D81" s="3090" t="s">
        <v>2668</v>
      </c>
      <c r="E81" s="3116">
        <v>0.1</v>
      </c>
      <c r="F81" s="3116">
        <v>15</v>
      </c>
    </row>
    <row r="82" spans="1:6" ht="24">
      <c r="A82" s="3116">
        <v>10</v>
      </c>
      <c r="B82" s="3776"/>
      <c r="C82" s="3090" t="s">
        <v>2669</v>
      </c>
      <c r="D82" s="3090" t="s">
        <v>2670</v>
      </c>
      <c r="E82" s="3116">
        <v>0.1</v>
      </c>
      <c r="F82" s="3116">
        <v>15</v>
      </c>
    </row>
    <row r="83" spans="1:6" ht="24">
      <c r="A83" s="3116">
        <v>11</v>
      </c>
      <c r="B83" s="3776"/>
      <c r="C83" s="3090" t="s">
        <v>2671</v>
      </c>
      <c r="D83" s="3090" t="s">
        <v>2672</v>
      </c>
      <c r="E83" s="3116">
        <v>0.1</v>
      </c>
      <c r="F83" s="3116">
        <v>15</v>
      </c>
    </row>
    <row r="84" spans="1:6" ht="24">
      <c r="A84" s="3116">
        <v>12</v>
      </c>
      <c r="B84" s="3776"/>
      <c r="C84" s="3090" t="s">
        <v>2673</v>
      </c>
      <c r="D84" s="3090" t="s">
        <v>2674</v>
      </c>
      <c r="E84" s="3116">
        <v>0.1</v>
      </c>
      <c r="F84" s="3116">
        <v>15</v>
      </c>
    </row>
    <row r="85" spans="1:6" ht="24">
      <c r="A85" s="3116">
        <v>13</v>
      </c>
      <c r="B85" s="3776"/>
      <c r="C85" s="3090" t="s">
        <v>2675</v>
      </c>
      <c r="D85" s="3090" t="s">
        <v>2676</v>
      </c>
      <c r="E85" s="3116">
        <v>0.1</v>
      </c>
      <c r="F85" s="3116">
        <v>15</v>
      </c>
    </row>
    <row r="86" spans="1:6" ht="24">
      <c r="A86" s="3116">
        <v>14</v>
      </c>
      <c r="B86" s="3776"/>
      <c r="C86" s="3090" t="s">
        <v>2677</v>
      </c>
      <c r="D86" s="3090" t="s">
        <v>2678</v>
      </c>
      <c r="E86" s="3116">
        <v>0.1</v>
      </c>
      <c r="F86" s="3116">
        <v>15</v>
      </c>
    </row>
    <row r="87" spans="1:6" ht="24">
      <c r="A87" s="3116">
        <v>15</v>
      </c>
      <c r="B87" s="3776"/>
      <c r="C87" s="3090" t="s">
        <v>2679</v>
      </c>
      <c r="D87" s="3090" t="s">
        <v>2680</v>
      </c>
      <c r="E87" s="3116">
        <v>0.1</v>
      </c>
      <c r="F87" s="3116">
        <v>15</v>
      </c>
    </row>
    <row r="88" spans="1:6" ht="24">
      <c r="A88" s="3116">
        <v>16</v>
      </c>
      <c r="B88" s="3776"/>
      <c r="C88" s="3090" t="s">
        <v>2681</v>
      </c>
      <c r="D88" s="3090" t="s">
        <v>2682</v>
      </c>
      <c r="E88" s="3116">
        <v>0.1</v>
      </c>
      <c r="F88" s="3116">
        <v>15</v>
      </c>
    </row>
    <row r="89" spans="1:6" ht="24">
      <c r="A89" s="3116">
        <v>17</v>
      </c>
      <c r="B89" s="3775"/>
      <c r="C89" s="3090" t="s">
        <v>2683</v>
      </c>
      <c r="D89" s="3090" t="s">
        <v>2684</v>
      </c>
      <c r="E89" s="3116">
        <v>0.1</v>
      </c>
      <c r="F89" s="3116">
        <v>15</v>
      </c>
    </row>
    <row r="90" spans="1:6" ht="14.4">
      <c r="A90" s="3116">
        <v>18</v>
      </c>
      <c r="B90" s="3774" t="s">
        <v>2685</v>
      </c>
      <c r="C90" s="3090" t="s">
        <v>2686</v>
      </c>
      <c r="D90" s="3090" t="s">
        <v>2687</v>
      </c>
      <c r="E90" s="3116">
        <v>0.2</v>
      </c>
      <c r="F90" s="3116">
        <v>25</v>
      </c>
    </row>
    <row r="91" spans="1:6" ht="24">
      <c r="A91" s="3116">
        <v>19</v>
      </c>
      <c r="B91" s="3776"/>
      <c r="C91" s="3090" t="s">
        <v>2688</v>
      </c>
      <c r="D91" s="3090" t="s">
        <v>2689</v>
      </c>
      <c r="E91" s="3116">
        <v>0.2</v>
      </c>
      <c r="F91" s="3116">
        <v>25</v>
      </c>
    </row>
    <row r="92" spans="1:6" ht="14.4">
      <c r="A92" s="3116">
        <v>20</v>
      </c>
      <c r="B92" s="3776"/>
      <c r="C92" s="3090" t="s">
        <v>2690</v>
      </c>
      <c r="D92" s="3090" t="s">
        <v>2691</v>
      </c>
      <c r="E92" s="3116">
        <v>0.15</v>
      </c>
      <c r="F92" s="3116">
        <v>20</v>
      </c>
    </row>
    <row r="93" spans="1:6" ht="24">
      <c r="A93" s="3116">
        <v>21</v>
      </c>
      <c r="B93" s="3776"/>
      <c r="C93" s="3090" t="s">
        <v>2692</v>
      </c>
      <c r="D93" s="3090" t="s">
        <v>2693</v>
      </c>
      <c r="E93" s="3116">
        <v>0.15</v>
      </c>
      <c r="F93" s="3116">
        <v>20</v>
      </c>
    </row>
    <row r="94" spans="1:6" ht="24">
      <c r="A94" s="3116">
        <v>22</v>
      </c>
      <c r="B94" s="3776"/>
      <c r="C94" s="3090" t="s">
        <v>2694</v>
      </c>
      <c r="D94" s="3090" t="s">
        <v>2695</v>
      </c>
      <c r="E94" s="3116">
        <v>0.15</v>
      </c>
      <c r="F94" s="3116">
        <v>20</v>
      </c>
    </row>
    <row r="95" spans="1:6" ht="36">
      <c r="A95" s="3116">
        <v>23</v>
      </c>
      <c r="B95" s="3776"/>
      <c r="C95" s="3090" t="s">
        <v>2696</v>
      </c>
      <c r="D95" s="3090" t="s">
        <v>2697</v>
      </c>
      <c r="E95" s="3116">
        <v>0.15</v>
      </c>
      <c r="F95" s="3116">
        <v>20</v>
      </c>
    </row>
    <row r="96" spans="1:6" ht="24">
      <c r="A96" s="3116">
        <v>24</v>
      </c>
      <c r="B96" s="3776"/>
      <c r="C96" s="3090" t="s">
        <v>2698</v>
      </c>
      <c r="D96" s="3090" t="s">
        <v>2699</v>
      </c>
      <c r="E96" s="3116">
        <v>0.1</v>
      </c>
      <c r="F96" s="3116">
        <v>15</v>
      </c>
    </row>
    <row r="97" spans="1:6" ht="24">
      <c r="A97" s="3116">
        <v>25</v>
      </c>
      <c r="B97" s="3776"/>
      <c r="C97" s="3090" t="s">
        <v>2700</v>
      </c>
      <c r="D97" s="3090" t="s">
        <v>2701</v>
      </c>
      <c r="E97" s="3116">
        <v>0.1</v>
      </c>
      <c r="F97" s="3116">
        <v>15</v>
      </c>
    </row>
    <row r="98" spans="1:6" ht="24">
      <c r="A98" s="3116">
        <v>26</v>
      </c>
      <c r="B98" s="3776"/>
      <c r="C98" s="3090" t="s">
        <v>2702</v>
      </c>
      <c r="D98" s="3090" t="s">
        <v>2703</v>
      </c>
      <c r="E98" s="3116">
        <v>0.1</v>
      </c>
      <c r="F98" s="3116">
        <v>15</v>
      </c>
    </row>
    <row r="99" spans="1:6" ht="24">
      <c r="A99" s="3116">
        <v>27</v>
      </c>
      <c r="B99" s="3776"/>
      <c r="C99" s="3090" t="s">
        <v>2704</v>
      </c>
      <c r="D99" s="3090" t="s">
        <v>2705</v>
      </c>
      <c r="E99" s="3116">
        <v>0.1</v>
      </c>
      <c r="F99" s="3116">
        <v>15</v>
      </c>
    </row>
    <row r="100" spans="1:6" ht="24">
      <c r="A100" s="3116">
        <v>28</v>
      </c>
      <c r="B100" s="3776"/>
      <c r="C100" s="3090" t="s">
        <v>2706</v>
      </c>
      <c r="D100" s="3090" t="s">
        <v>2707</v>
      </c>
      <c r="E100" s="3116">
        <v>0.1</v>
      </c>
      <c r="F100" s="3116">
        <v>15</v>
      </c>
    </row>
    <row r="101" spans="1:6" ht="24">
      <c r="A101" s="3116">
        <v>29</v>
      </c>
      <c r="B101" s="3776"/>
      <c r="C101" s="3090" t="s">
        <v>2708</v>
      </c>
      <c r="D101" s="3090" t="s">
        <v>2709</v>
      </c>
      <c r="E101" s="3116">
        <v>0.1</v>
      </c>
      <c r="F101" s="3116">
        <v>15</v>
      </c>
    </row>
    <row r="102" spans="1:6" ht="24">
      <c r="A102" s="3116">
        <v>30</v>
      </c>
      <c r="B102" s="3776"/>
      <c r="C102" s="3090" t="s">
        <v>2710</v>
      </c>
      <c r="D102" s="3090" t="s">
        <v>2711</v>
      </c>
      <c r="E102" s="3116">
        <v>0.1</v>
      </c>
      <c r="F102" s="3116">
        <v>15</v>
      </c>
    </row>
    <row r="103" spans="1:6" ht="24">
      <c r="A103" s="3116">
        <v>31</v>
      </c>
      <c r="B103" s="3776"/>
      <c r="C103" s="3090" t="s">
        <v>2712</v>
      </c>
      <c r="D103" s="3090" t="s">
        <v>2713</v>
      </c>
      <c r="E103" s="3116">
        <v>0.1</v>
      </c>
      <c r="F103" s="3116">
        <v>15</v>
      </c>
    </row>
    <row r="104" spans="1:6" ht="24">
      <c r="A104" s="3116">
        <v>32</v>
      </c>
      <c r="B104" s="3776"/>
      <c r="C104" s="3090" t="s">
        <v>2714</v>
      </c>
      <c r="D104" s="3090" t="s">
        <v>2715</v>
      </c>
      <c r="E104" s="3116">
        <v>0.1</v>
      </c>
      <c r="F104" s="3116">
        <v>15</v>
      </c>
    </row>
    <row r="105" spans="1:6" ht="24">
      <c r="A105" s="3116">
        <v>33</v>
      </c>
      <c r="B105" s="3776"/>
      <c r="C105" s="3090" t="s">
        <v>2716</v>
      </c>
      <c r="D105" s="3090" t="s">
        <v>2717</v>
      </c>
      <c r="E105" s="3116">
        <v>0.1</v>
      </c>
      <c r="F105" s="3116">
        <v>15</v>
      </c>
    </row>
    <row r="106" spans="1:6" ht="24">
      <c r="A106" s="3116">
        <v>34</v>
      </c>
      <c r="B106" s="3775"/>
      <c r="C106" s="3090" t="s">
        <v>2718</v>
      </c>
      <c r="D106" s="3090" t="s">
        <v>2719</v>
      </c>
      <c r="E106" s="3116">
        <v>0.1</v>
      </c>
      <c r="F106" s="3116">
        <v>15</v>
      </c>
    </row>
    <row r="107" spans="1:6" ht="36">
      <c r="A107" s="3116">
        <v>35</v>
      </c>
      <c r="B107" s="3774" t="s">
        <v>2720</v>
      </c>
      <c r="C107" s="3116" t="s">
        <v>2721</v>
      </c>
      <c r="D107" s="3090" t="s">
        <v>2722</v>
      </c>
      <c r="E107" s="3116">
        <v>0.15</v>
      </c>
      <c r="F107" s="3116">
        <v>20</v>
      </c>
    </row>
    <row r="108" spans="1:6" ht="24">
      <c r="A108" s="3116">
        <v>36</v>
      </c>
      <c r="B108" s="3776"/>
      <c r="C108" s="3116" t="s">
        <v>2723</v>
      </c>
      <c r="D108" s="3090" t="s">
        <v>2724</v>
      </c>
      <c r="E108" s="3116">
        <v>0.15</v>
      </c>
      <c r="F108" s="3116">
        <v>20</v>
      </c>
    </row>
    <row r="109" spans="1:6" ht="24">
      <c r="A109" s="3116">
        <v>37</v>
      </c>
      <c r="B109" s="3776"/>
      <c r="C109" s="3116" t="s">
        <v>2725</v>
      </c>
      <c r="D109" s="3090" t="s">
        <v>2726</v>
      </c>
      <c r="E109" s="3116">
        <v>0.15</v>
      </c>
      <c r="F109" s="3116">
        <v>20</v>
      </c>
    </row>
    <row r="110" spans="1:6" ht="24">
      <c r="A110" s="3116">
        <v>38</v>
      </c>
      <c r="B110" s="3776"/>
      <c r="C110" s="3116" t="s">
        <v>2727</v>
      </c>
      <c r="D110" s="3090" t="s">
        <v>2728</v>
      </c>
      <c r="E110" s="3116">
        <v>0.1</v>
      </c>
      <c r="F110" s="3116">
        <v>15</v>
      </c>
    </row>
    <row r="111" spans="1:6" ht="24">
      <c r="A111" s="3116">
        <v>39</v>
      </c>
      <c r="B111" s="3776"/>
      <c r="C111" s="3116" t="s">
        <v>2729</v>
      </c>
      <c r="D111" s="3090" t="s">
        <v>2730</v>
      </c>
      <c r="E111" s="3116">
        <v>0.1</v>
      </c>
      <c r="F111" s="3116">
        <v>15</v>
      </c>
    </row>
    <row r="112" spans="1:6" ht="24">
      <c r="A112" s="3116">
        <v>40</v>
      </c>
      <c r="B112" s="3775"/>
      <c r="C112" s="3116" t="s">
        <v>2731</v>
      </c>
      <c r="D112" s="3090" t="s">
        <v>2732</v>
      </c>
      <c r="E112" s="3116">
        <v>0.1</v>
      </c>
      <c r="F112" s="3116">
        <v>15</v>
      </c>
    </row>
    <row r="113" spans="1:6" ht="24">
      <c r="A113" s="3116">
        <v>41</v>
      </c>
      <c r="B113" s="3773" t="s">
        <v>2733</v>
      </c>
      <c r="C113" s="3116" t="s">
        <v>2734</v>
      </c>
      <c r="D113" s="3090" t="s">
        <v>2735</v>
      </c>
      <c r="E113" s="3116">
        <v>0.1</v>
      </c>
      <c r="F113" s="3116">
        <v>15</v>
      </c>
    </row>
    <row r="114" spans="1:6" ht="24">
      <c r="A114" s="3116">
        <v>42</v>
      </c>
      <c r="B114" s="3773"/>
      <c r="C114" s="3116" t="s">
        <v>2736</v>
      </c>
      <c r="D114" s="3090" t="s">
        <v>2737</v>
      </c>
      <c r="E114" s="3116">
        <v>0.1</v>
      </c>
      <c r="F114" s="3116">
        <v>15</v>
      </c>
    </row>
    <row r="115" spans="1:6" ht="24">
      <c r="A115" s="3116">
        <v>43</v>
      </c>
      <c r="B115" s="3773"/>
      <c r="C115" s="3116" t="s">
        <v>2738</v>
      </c>
      <c r="D115" s="3090" t="s">
        <v>2739</v>
      </c>
      <c r="E115" s="3116">
        <v>0.1</v>
      </c>
      <c r="F115" s="3116">
        <v>15</v>
      </c>
    </row>
    <row r="116" spans="1:6" ht="24">
      <c r="A116" s="3116">
        <v>44</v>
      </c>
      <c r="B116" s="3774" t="s">
        <v>2740</v>
      </c>
      <c r="C116" s="3116" t="s">
        <v>2741</v>
      </c>
      <c r="D116" s="3090" t="s">
        <v>2742</v>
      </c>
      <c r="E116" s="3116">
        <v>0.1</v>
      </c>
      <c r="F116" s="3116">
        <v>15</v>
      </c>
    </row>
    <row r="117" spans="1:6" ht="24">
      <c r="A117" s="3116">
        <v>45</v>
      </c>
      <c r="B117" s="3775"/>
      <c r="C117" s="3090" t="s">
        <v>2743</v>
      </c>
      <c r="D117" s="3090" t="s">
        <v>2744</v>
      </c>
      <c r="E117" s="3116">
        <v>0.1</v>
      </c>
      <c r="F117" s="3116">
        <v>15</v>
      </c>
    </row>
    <row r="118" spans="1:6" ht="24">
      <c r="A118" s="3116">
        <v>46</v>
      </c>
      <c r="B118" s="3774" t="s">
        <v>2745</v>
      </c>
      <c r="C118" s="3116" t="s">
        <v>2746</v>
      </c>
      <c r="D118" s="3090" t="s">
        <v>2747</v>
      </c>
      <c r="E118" s="3116">
        <v>0.1</v>
      </c>
      <c r="F118" s="3116">
        <v>15</v>
      </c>
    </row>
    <row r="119" spans="1:6" ht="24">
      <c r="A119" s="3116">
        <v>47</v>
      </c>
      <c r="B119" s="3775"/>
      <c r="C119" s="3116" t="s">
        <v>2748</v>
      </c>
      <c r="D119" s="3090" t="s">
        <v>2749</v>
      </c>
      <c r="E119" s="3116">
        <v>0.1</v>
      </c>
      <c r="F119" s="3116">
        <v>15</v>
      </c>
    </row>
    <row r="120" spans="1:6" ht="24">
      <c r="A120" s="3116">
        <v>48</v>
      </c>
      <c r="B120" s="3774" t="s">
        <v>2750</v>
      </c>
      <c r="C120" s="3116" t="s">
        <v>2751</v>
      </c>
      <c r="D120" s="3090" t="s">
        <v>2752</v>
      </c>
      <c r="E120" s="3116">
        <v>0.1</v>
      </c>
      <c r="F120" s="3116">
        <v>15</v>
      </c>
    </row>
    <row r="121" spans="1:6" ht="24">
      <c r="A121" s="3116">
        <v>49</v>
      </c>
      <c r="B121" s="3775"/>
      <c r="C121" s="3116" t="s">
        <v>2753</v>
      </c>
      <c r="D121" s="3090" t="s">
        <v>2754</v>
      </c>
      <c r="E121" s="3116">
        <v>0.1</v>
      </c>
      <c r="F121" s="3116">
        <v>15</v>
      </c>
    </row>
    <row r="122" spans="1:6" ht="24">
      <c r="A122" s="3116">
        <v>50</v>
      </c>
      <c r="B122" s="3773" t="s">
        <v>2755</v>
      </c>
      <c r="C122" s="3116" t="s">
        <v>2756</v>
      </c>
      <c r="D122" s="3090" t="s">
        <v>2757</v>
      </c>
      <c r="E122" s="3116">
        <v>0.1</v>
      </c>
      <c r="F122" s="3116">
        <v>15</v>
      </c>
    </row>
    <row r="123" spans="1:6" ht="24">
      <c r="A123" s="3116">
        <v>51</v>
      </c>
      <c r="B123" s="3773"/>
      <c r="C123" s="3116" t="s">
        <v>2758</v>
      </c>
      <c r="D123" s="3090" t="s">
        <v>2759</v>
      </c>
      <c r="E123" s="3116">
        <v>0.1</v>
      </c>
      <c r="F123" s="3116">
        <v>15</v>
      </c>
    </row>
    <row r="124" spans="1:6" ht="24">
      <c r="A124" s="3116">
        <v>52</v>
      </c>
      <c r="B124" s="3773" t="s">
        <v>2760</v>
      </c>
      <c r="C124" s="3116" t="s">
        <v>2761</v>
      </c>
      <c r="D124" s="3090" t="s">
        <v>2762</v>
      </c>
      <c r="E124" s="3116">
        <v>0.1</v>
      </c>
      <c r="F124" s="3116">
        <v>15</v>
      </c>
    </row>
    <row r="125" spans="1:6" ht="24">
      <c r="A125" s="3116">
        <v>53</v>
      </c>
      <c r="B125" s="3773"/>
      <c r="C125" s="3116" t="s">
        <v>2763</v>
      </c>
      <c r="D125" s="3090" t="s">
        <v>2764</v>
      </c>
      <c r="E125" s="3116">
        <v>0.1</v>
      </c>
      <c r="F125" s="3116">
        <v>15</v>
      </c>
    </row>
    <row r="126" spans="1:6" ht="24">
      <c r="A126" s="3116">
        <v>54</v>
      </c>
      <c r="B126" s="3116" t="s">
        <v>2765</v>
      </c>
      <c r="C126" s="3116" t="s">
        <v>2766</v>
      </c>
      <c r="D126" s="3090" t="s">
        <v>2767</v>
      </c>
      <c r="E126" s="3116">
        <v>0.1</v>
      </c>
      <c r="F126" s="3116">
        <v>15</v>
      </c>
    </row>
    <row r="127" spans="1:6" ht="24">
      <c r="A127" s="3116">
        <v>55</v>
      </c>
      <c r="B127" s="3773" t="s">
        <v>2768</v>
      </c>
      <c r="C127" s="3116" t="s">
        <v>2769</v>
      </c>
      <c r="D127" s="3090" t="s">
        <v>2770</v>
      </c>
      <c r="E127" s="3116">
        <v>0.1</v>
      </c>
      <c r="F127" s="3116">
        <v>15</v>
      </c>
    </row>
    <row r="128" spans="1:6" ht="24">
      <c r="A128" s="3116">
        <v>56</v>
      </c>
      <c r="B128" s="3773"/>
      <c r="C128" s="3116" t="s">
        <v>2771</v>
      </c>
      <c r="D128" s="3090" t="s">
        <v>2772</v>
      </c>
      <c r="E128" s="3116">
        <v>0.1</v>
      </c>
      <c r="F128" s="3116">
        <v>15</v>
      </c>
    </row>
    <row r="129" spans="1:6" ht="24">
      <c r="A129" s="3116">
        <v>57</v>
      </c>
      <c r="B129" s="3773"/>
      <c r="C129" s="3116" t="s">
        <v>2773</v>
      </c>
      <c r="D129" s="3090" t="s">
        <v>2774</v>
      </c>
      <c r="E129" s="3116">
        <v>0.1</v>
      </c>
      <c r="F129" s="3116">
        <v>15</v>
      </c>
    </row>
    <row r="130" spans="1:6" ht="24">
      <c r="A130" s="3116">
        <v>58</v>
      </c>
      <c r="B130" s="3773" t="s">
        <v>2775</v>
      </c>
      <c r="C130" s="3116" t="s">
        <v>2776</v>
      </c>
      <c r="D130" s="3090" t="s">
        <v>2777</v>
      </c>
      <c r="E130" s="3116">
        <v>0.1</v>
      </c>
      <c r="F130" s="3116">
        <v>15</v>
      </c>
    </row>
    <row r="131" spans="1:6" ht="24">
      <c r="A131" s="3116">
        <v>59</v>
      </c>
      <c r="B131" s="3773"/>
      <c r="C131" s="3116" t="s">
        <v>2778</v>
      </c>
      <c r="D131" s="3090" t="s">
        <v>2779</v>
      </c>
      <c r="E131" s="3116">
        <v>0.1</v>
      </c>
      <c r="F131" s="3116">
        <v>15</v>
      </c>
    </row>
    <row r="132" spans="1:6" ht="24">
      <c r="A132" s="3116">
        <v>60</v>
      </c>
      <c r="B132" s="3774" t="s">
        <v>2780</v>
      </c>
      <c r="C132" s="3116" t="s">
        <v>2781</v>
      </c>
      <c r="D132" s="3090" t="s">
        <v>2782</v>
      </c>
      <c r="E132" s="3116">
        <v>0.1</v>
      </c>
      <c r="F132" s="3116">
        <v>15</v>
      </c>
    </row>
    <row r="133" spans="1:6" ht="24">
      <c r="A133" s="3116">
        <v>61</v>
      </c>
      <c r="B133" s="3775"/>
      <c r="C133" s="3116" t="s">
        <v>2783</v>
      </c>
      <c r="D133" s="3090" t="s">
        <v>2784</v>
      </c>
      <c r="E133" s="3116">
        <v>0.1</v>
      </c>
      <c r="F133" s="3116">
        <v>15</v>
      </c>
    </row>
    <row r="134" spans="1:6" ht="24">
      <c r="A134" s="3116">
        <v>62</v>
      </c>
      <c r="B134" s="3116" t="s">
        <v>2785</v>
      </c>
      <c r="C134" s="3116" t="s">
        <v>2786</v>
      </c>
      <c r="D134" s="3090" t="s">
        <v>2787</v>
      </c>
      <c r="E134" s="3116">
        <v>0.1</v>
      </c>
      <c r="F134" s="3116">
        <v>15</v>
      </c>
    </row>
    <row r="135" spans="1:6" ht="24">
      <c r="A135" s="3116">
        <v>63</v>
      </c>
      <c r="B135" s="3773" t="s">
        <v>2788</v>
      </c>
      <c r="C135" s="3116" t="s">
        <v>2789</v>
      </c>
      <c r="D135" s="3090" t="s">
        <v>2790</v>
      </c>
      <c r="E135" s="3116">
        <v>0.1</v>
      </c>
      <c r="F135" s="3116">
        <v>15</v>
      </c>
    </row>
    <row r="136" spans="1:6" ht="24">
      <c r="A136" s="3116">
        <v>64</v>
      </c>
      <c r="B136" s="3773"/>
      <c r="C136" s="3116" t="s">
        <v>2791</v>
      </c>
      <c r="D136" s="3090" t="s">
        <v>2792</v>
      </c>
      <c r="E136" s="3116">
        <v>0.1</v>
      </c>
      <c r="F136" s="3116">
        <v>15</v>
      </c>
    </row>
    <row r="137" spans="1:6" ht="24">
      <c r="A137" s="3116">
        <v>65</v>
      </c>
      <c r="B137" s="3116" t="s">
        <v>2793</v>
      </c>
      <c r="C137" s="3116" t="s">
        <v>2794</v>
      </c>
      <c r="D137" s="3090" t="s">
        <v>2795</v>
      </c>
      <c r="E137" s="3116">
        <v>0.1</v>
      </c>
      <c r="F137" s="3116">
        <v>15</v>
      </c>
    </row>
    <row r="138" spans="1:6" ht="14.4">
      <c r="A138" s="3116"/>
      <c r="B138" s="3116"/>
      <c r="C138" s="3116"/>
      <c r="D138" s="3116"/>
      <c r="E138" s="3116" t="s">
        <v>2796</v>
      </c>
      <c r="F138" s="3116"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2797</v>
      </c>
      <c r="B1" s="3125"/>
      <c r="C1" s="3125"/>
      <c r="D1" s="3125"/>
      <c r="E1" s="3125"/>
      <c r="F1" s="3125"/>
      <c r="G1" s="3125"/>
      <c r="H1" s="3125"/>
      <c r="I1" s="3125"/>
      <c r="J1" s="3125"/>
      <c r="K1" s="3125"/>
      <c r="L1" s="3125"/>
      <c r="M1" s="3125"/>
      <c r="N1" s="749"/>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50">
        <f>SUMPRODUCT((A95:A184=ROUNDDOWN(基准地价修正!G3,1))*(B94:M94=基准地价修正!G2)*(B95:M184))</f>
        <v>0</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50">
        <f>SUMPRODUCT((A371:A460=ROUNDDOWN(基准地价修正!G3,1))*(B370:M370=基准地价修正!G2)*(B371:M460))</f>
        <v>0</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0" customWidth="1"/>
    <col min="2" max="2" width="37.21875" style="1490" customWidth="1"/>
    <col min="3" max="3" width="11.33203125" style="1490" customWidth="1"/>
    <col min="4" max="4" width="31.77734375" style="1490" customWidth="1"/>
    <col min="5" max="5" width="0.44140625" style="1490" customWidth="1"/>
    <col min="6" max="7" width="13" style="1490" customWidth="1"/>
    <col min="8" max="16384" width="9" style="1490"/>
  </cols>
  <sheetData>
    <row r="1" spans="1:5" ht="17.399999999999999">
      <c r="A1" s="1488" t="s">
        <v>908</v>
      </c>
      <c r="B1" s="1489"/>
      <c r="C1" s="1489"/>
      <c r="D1" s="1489"/>
      <c r="E1" s="1489"/>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7.399999999999999">
      <c r="A3" s="3470" t="str">
        <f>IF(项目基本情况!B9="房地产市场价值","估价结果一览表（市场价值不需“结果表-1”）","估价结果一览表")</f>
        <v>估价结果一览表</v>
      </c>
      <c r="B3" s="3470"/>
      <c r="C3" s="3470"/>
      <c r="D3" s="3470"/>
      <c r="E3" s="3470"/>
    </row>
    <row r="4" spans="1:5" ht="18" thickBot="1">
      <c r="A4" s="1491"/>
      <c r="B4" s="3468" t="s">
        <v>917</v>
      </c>
      <c r="C4" s="3468"/>
      <c r="D4" s="3468"/>
      <c r="E4" s="1491"/>
    </row>
    <row r="5" spans="1:5" ht="16.2" thickTop="1">
      <c r="A5" s="1489"/>
      <c r="B5" s="3466" t="s">
        <v>909</v>
      </c>
      <c r="C5" s="1492" t="s">
        <v>910</v>
      </c>
      <c r="D5" s="850" t="e">
        <f ca="1">结果表!H101</f>
        <v>#REF!</v>
      </c>
      <c r="E5" s="1489"/>
    </row>
    <row r="6" spans="1:5" ht="15.6">
      <c r="A6" s="1489"/>
      <c r="B6" s="3466"/>
      <c r="C6" s="1492" t="s">
        <v>911</v>
      </c>
      <c r="D6" s="850" t="e">
        <f ca="1">NUMBERSTRING(INT(D5*10000),2)&amp;"元整"</f>
        <v>#REF!</v>
      </c>
      <c r="E6" s="1489"/>
    </row>
    <row r="7" spans="1:5" ht="15.6">
      <c r="A7" s="1489"/>
      <c r="B7" s="3471"/>
      <c r="C7" s="1493" t="s">
        <v>912</v>
      </c>
      <c r="D7" s="851" t="e">
        <f ca="1">结果表!H102</f>
        <v>#REF!</v>
      </c>
      <c r="E7" s="1489"/>
    </row>
    <row r="8" spans="1:5" ht="15.6">
      <c r="A8" s="1489"/>
      <c r="B8" s="3472" t="str">
        <f>结果表!E103</f>
        <v>2.估价师知悉的法定优先受偿款</v>
      </c>
      <c r="C8" s="1494" t="s">
        <v>913</v>
      </c>
      <c r="D8" s="851">
        <f>结果表!H103</f>
        <v>0</v>
      </c>
      <c r="E8" s="1489"/>
    </row>
    <row r="9" spans="1:5" ht="15.6">
      <c r="A9" s="1489"/>
      <c r="B9" s="3474"/>
      <c r="C9" s="1492" t="s">
        <v>911</v>
      </c>
      <c r="D9" s="850" t="str">
        <f>NUMBERSTRING(INT(D8*10000),2)&amp;"元整"</f>
        <v>零元整</v>
      </c>
      <c r="E9" s="1489"/>
    </row>
    <row r="10" spans="1:5" ht="15.6">
      <c r="A10" s="1489"/>
      <c r="B10" s="1495" t="s">
        <v>916</v>
      </c>
      <c r="C10" s="1496" t="s">
        <v>914</v>
      </c>
      <c r="D10" s="852">
        <f>结果表!H104</f>
        <v>0</v>
      </c>
      <c r="E10" s="1489"/>
    </row>
    <row r="11" spans="1:5" ht="15.6">
      <c r="A11" s="1489"/>
      <c r="B11" s="1495" t="s">
        <v>918</v>
      </c>
      <c r="C11" s="1496" t="s">
        <v>919</v>
      </c>
      <c r="D11" s="852">
        <f>结果表!H105</f>
        <v>0</v>
      </c>
      <c r="E11" s="1489"/>
    </row>
    <row r="12" spans="1:5" ht="15.6">
      <c r="A12" s="1489"/>
      <c r="B12" s="1495" t="s">
        <v>920</v>
      </c>
      <c r="C12" s="1496" t="s">
        <v>919</v>
      </c>
      <c r="D12" s="852">
        <f>结果表!H106</f>
        <v>0</v>
      </c>
      <c r="E12" s="1489"/>
    </row>
    <row r="13" spans="1:5" ht="15.6">
      <c r="A13" s="1489"/>
      <c r="B13" s="3465" t="str">
        <f>结果表!E107</f>
        <v>3.房地产抵押价值</v>
      </c>
      <c r="C13" s="1497" t="s">
        <v>910</v>
      </c>
      <c r="D13" s="853" t="e">
        <f ca="1">结果表!H107</f>
        <v>#REF!</v>
      </c>
      <c r="E13" s="1489"/>
    </row>
    <row r="14" spans="1:5" ht="15.6">
      <c r="A14" s="1489"/>
      <c r="B14" s="3466"/>
      <c r="C14" s="1492" t="s">
        <v>911</v>
      </c>
      <c r="D14" s="850" t="e">
        <f ca="1">NUMBERSTRING(INT(D13*10000),2)&amp;"元整"</f>
        <v>#REF!</v>
      </c>
      <c r="E14" s="1489"/>
    </row>
    <row r="15" spans="1:5" ht="15.6">
      <c r="A15" s="1489"/>
      <c r="B15" s="3471"/>
      <c r="C15" s="1493" t="s">
        <v>921</v>
      </c>
      <c r="D15" s="859" t="e">
        <f ca="1">结果表!H108</f>
        <v>#REF!</v>
      </c>
      <c r="E15" s="1489"/>
    </row>
    <row r="16" spans="1:5" ht="15.6">
      <c r="A16" s="1489"/>
      <c r="B16" s="3472" t="str">
        <f>结果表!E109</f>
        <v>——</v>
      </c>
      <c r="C16" s="1497" t="s">
        <v>922</v>
      </c>
      <c r="D16" s="1498" t="str">
        <f>结果表!H109</f>
        <v>——</v>
      </c>
      <c r="E16" s="1489"/>
    </row>
    <row r="17" spans="1:5" ht="15.6">
      <c r="A17" s="1489"/>
      <c r="B17" s="3473"/>
      <c r="C17" s="1492" t="s">
        <v>923</v>
      </c>
      <c r="D17" s="850" t="e">
        <f>NUMBERSTRING(INT(D16*10000),2)&amp;"元整"</f>
        <v>#VALUE!</v>
      </c>
      <c r="E17" s="1489"/>
    </row>
    <row r="18" spans="1:5" ht="15.6">
      <c r="A18" s="1489"/>
      <c r="B18" s="3474"/>
      <c r="C18" s="1493" t="s">
        <v>912</v>
      </c>
      <c r="D18" s="859" t="str">
        <f>结果表!H110</f>
        <v>——</v>
      </c>
      <c r="E18" s="1489"/>
    </row>
    <row r="19" spans="1:5" ht="15.6">
      <c r="A19" s="1489"/>
      <c r="B19" s="3465" t="str">
        <f>结果表!E111</f>
        <v>——</v>
      </c>
      <c r="C19" s="1497" t="s">
        <v>910</v>
      </c>
      <c r="D19" s="851" t="str">
        <f>结果表!H111</f>
        <v>——</v>
      </c>
      <c r="E19" s="1489"/>
    </row>
    <row r="20" spans="1:5" ht="15.6">
      <c r="A20" s="1489"/>
      <c r="B20" s="3466"/>
      <c r="C20" s="1492" t="s">
        <v>923</v>
      </c>
      <c r="D20" s="850" t="e">
        <f>NUMBERSTRING(INT(D19*10000),2)&amp;"元整"</f>
        <v>#VALUE!</v>
      </c>
      <c r="E20" s="1489"/>
    </row>
    <row r="21" spans="1:5" ht="16.2" thickBot="1">
      <c r="A21" s="1489"/>
      <c r="B21" s="3467"/>
      <c r="C21" s="1499" t="s">
        <v>921</v>
      </c>
      <c r="D21" s="860" t="str">
        <f>结果表!H112</f>
        <v>——</v>
      </c>
      <c r="E21" s="1489"/>
    </row>
    <row r="22" spans="1:5" ht="14.4" thickTop="1">
      <c r="A22" s="1489"/>
      <c r="B22" s="1500" t="s">
        <v>924</v>
      </c>
      <c r="C22" s="1489"/>
      <c r="D22" s="1489"/>
      <c r="E22" s="1489"/>
    </row>
    <row r="23" spans="1:5">
      <c r="A23" s="1489"/>
      <c r="B23" s="1489"/>
      <c r="C23" s="1489"/>
      <c r="D23" s="1489"/>
      <c r="E23" s="1489"/>
    </row>
    <row r="24" spans="1:5" ht="17.399999999999999">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29003</v>
      </c>
      <c r="C2" s="2" t="s">
        <v>106</v>
      </c>
      <c r="D2" s="199"/>
      <c r="E2" s="199"/>
      <c r="F2" s="199"/>
      <c r="G2" s="199"/>
    </row>
    <row r="3" spans="1:7" s="200" customFormat="1" ht="18" customHeight="1" thickBot="1">
      <c r="A3" s="203" t="s">
        <v>58</v>
      </c>
      <c r="B3" s="204">
        <f ca="1">ROUND(B2*10000/'数据-汇总表'!E3,0)</f>
        <v>3333295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87.01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87.01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1447</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28949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87.01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7" t="s">
        <v>94</v>
      </c>
    </row>
    <row r="43" spans="1:7" ht="13.5" customHeight="1">
      <c r="A43" s="780" t="s">
        <v>347</v>
      </c>
      <c r="B43" s="215" t="s">
        <v>426</v>
      </c>
      <c r="C43" s="238">
        <f ca="1">ROUND(IF('数据-取费表'!B22&lt;=1,C39*F22*'数据-取费表'!B21/2,C39*(POWER((1+F22),'数据-取费表'!B21/2)-1)),0)</f>
        <v>0</v>
      </c>
      <c r="D43" s="238"/>
      <c r="E43" s="238"/>
      <c r="F43" s="239"/>
      <c r="G43" s="3648"/>
    </row>
    <row r="44" spans="1:7" ht="13.5" customHeight="1">
      <c r="A44" s="780" t="s">
        <v>348</v>
      </c>
      <c r="B44" s="215" t="s">
        <v>428</v>
      </c>
      <c r="C44" s="238">
        <f ca="1">ROUND(IF('数据-取费表'!B22&lt;=1,C40*F22*'数据-取费表'!B21/2,C40*(POWER((1+F22),'数据-取费表'!B21/2)-1)),4)</f>
        <v>6.9999999999999999E-4</v>
      </c>
      <c r="D44" s="238"/>
      <c r="E44" s="238"/>
      <c r="F44" s="239"/>
      <c r="G44" s="3649"/>
    </row>
    <row r="45" spans="1:7" s="214" customFormat="1" ht="13.5" customHeight="1">
      <c r="A45" s="777" t="s">
        <v>341</v>
      </c>
      <c r="B45" s="244" t="s">
        <v>85</v>
      </c>
      <c r="C45" s="245">
        <f>C46</f>
        <v>9</v>
      </c>
      <c r="D45" s="235">
        <f>C47</f>
        <v>4.0000000000000001E-3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59</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54</v>
      </c>
      <c r="D51" s="232"/>
      <c r="E51" s="232"/>
      <c r="F51" s="264"/>
      <c r="G51" s="234" t="s">
        <v>37</v>
      </c>
    </row>
    <row r="52" spans="1:7" s="208" customFormat="1" ht="16.8" thickBot="1">
      <c r="A52" s="265" t="s">
        <v>38</v>
      </c>
      <c r="B52" s="266"/>
      <c r="C52" s="267">
        <f ca="1">C31+C51</f>
        <v>29003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787" t="s">
        <v>2838</v>
      </c>
      <c r="B1" s="3787"/>
      <c r="C1" s="3787"/>
      <c r="D1" s="3787"/>
      <c r="E1" s="3787"/>
      <c r="F1" s="3787"/>
      <c r="G1" s="3788"/>
      <c r="I1" s="3221" t="s">
        <v>2839</v>
      </c>
      <c r="J1" s="3222" t="s">
        <v>2840</v>
      </c>
      <c r="K1" s="3222" t="s">
        <v>2841</v>
      </c>
      <c r="L1" s="3222" t="s">
        <v>2842</v>
      </c>
      <c r="M1" s="3222" t="s">
        <v>2843</v>
      </c>
      <c r="N1" s="3222" t="s">
        <v>2844</v>
      </c>
      <c r="O1" s="3222" t="s">
        <v>2845</v>
      </c>
      <c r="P1" s="3222" t="s">
        <v>2846</v>
      </c>
      <c r="Q1" s="3222" t="s">
        <v>2847</v>
      </c>
      <c r="R1" s="3222" t="s">
        <v>2848</v>
      </c>
      <c r="S1" s="3222" t="s">
        <v>2849</v>
      </c>
      <c r="T1" s="3223" t="s">
        <v>2850</v>
      </c>
    </row>
    <row r="2" spans="1:20" ht="11.4" thickBot="1">
      <c r="A2" s="3225" t="s">
        <v>2851</v>
      </c>
      <c r="B2" s="3225"/>
      <c r="C2" s="3225"/>
      <c r="D2" s="3225"/>
      <c r="E2" s="3225"/>
      <c r="F2" s="3225"/>
      <c r="G2" s="3226" t="s">
        <v>2852</v>
      </c>
      <c r="I2" s="3227" t="s">
        <v>2853</v>
      </c>
      <c r="J2" s="3227" t="s">
        <v>2854</v>
      </c>
      <c r="K2" s="3227" t="s">
        <v>2855</v>
      </c>
      <c r="L2" s="3227" t="s">
        <v>2856</v>
      </c>
      <c r="M2" s="3227" t="s">
        <v>2857</v>
      </c>
      <c r="N2" s="3227" t="s">
        <v>2858</v>
      </c>
      <c r="O2" s="3227" t="s">
        <v>2859</v>
      </c>
      <c r="P2" s="3227" t="s">
        <v>2860</v>
      </c>
      <c r="Q2" s="3227" t="s">
        <v>2861</v>
      </c>
      <c r="R2" s="3227" t="s">
        <v>2862</v>
      </c>
      <c r="S2" s="3227" t="s">
        <v>2863</v>
      </c>
      <c r="T2" s="3227" t="s">
        <v>2864</v>
      </c>
    </row>
    <row r="3" spans="1:20" s="3233" customFormat="1">
      <c r="A3" s="3785" t="s">
        <v>2865</v>
      </c>
      <c r="B3" s="3228"/>
      <c r="C3" s="3229" t="s">
        <v>2810</v>
      </c>
      <c r="D3" s="3229" t="s">
        <v>2866</v>
      </c>
      <c r="E3" s="3229" t="s">
        <v>2812</v>
      </c>
      <c r="F3" s="3229" t="s">
        <v>2867</v>
      </c>
      <c r="G3" s="3229" t="s">
        <v>2630</v>
      </c>
      <c r="H3" s="3230"/>
      <c r="I3" s="3231" t="s">
        <v>2868</v>
      </c>
      <c r="J3" s="3232" t="s">
        <v>128</v>
      </c>
      <c r="K3" s="3232" t="s">
        <v>129</v>
      </c>
      <c r="L3" s="3231" t="s">
        <v>130</v>
      </c>
      <c r="M3" s="3231" t="s">
        <v>131</v>
      </c>
      <c r="N3" s="3231" t="s">
        <v>132</v>
      </c>
      <c r="O3" s="3231" t="s">
        <v>133</v>
      </c>
      <c r="P3" s="3231" t="s">
        <v>134</v>
      </c>
      <c r="Q3" s="3231" t="s">
        <v>135</v>
      </c>
      <c r="R3" s="3231" t="s">
        <v>136</v>
      </c>
      <c r="S3" s="3231" t="s">
        <v>2869</v>
      </c>
      <c r="T3" s="3231" t="s">
        <v>2870</v>
      </c>
    </row>
    <row r="4" spans="1:20" s="3233" customFormat="1" ht="11.4" thickBot="1">
      <c r="A4" s="3786"/>
      <c r="B4" s="3234" t="s">
        <v>2871</v>
      </c>
      <c r="C4" s="3234" t="s">
        <v>2872</v>
      </c>
      <c r="D4" s="3234" t="s">
        <v>2872</v>
      </c>
      <c r="E4" s="3234" t="s">
        <v>2872</v>
      </c>
      <c r="F4" s="3235" t="s">
        <v>2872</v>
      </c>
      <c r="G4" s="3235" t="s">
        <v>2872</v>
      </c>
      <c r="H4" s="3230"/>
      <c r="I4" s="3232" t="s">
        <v>137</v>
      </c>
      <c r="J4" s="3232" t="s">
        <v>111</v>
      </c>
      <c r="K4" s="3232" t="s">
        <v>138</v>
      </c>
      <c r="L4" s="3231" t="s">
        <v>139</v>
      </c>
      <c r="M4" s="3231" t="s">
        <v>140</v>
      </c>
      <c r="N4" s="3231" t="s">
        <v>141</v>
      </c>
      <c r="O4" s="3231" t="s">
        <v>142</v>
      </c>
      <c r="P4" s="3231" t="s">
        <v>143</v>
      </c>
      <c r="Q4" s="3231" t="s">
        <v>2873</v>
      </c>
      <c r="R4" s="3231" t="s">
        <v>2874</v>
      </c>
      <c r="S4" s="3231" t="s">
        <v>2875</v>
      </c>
      <c r="T4" s="3231" t="s">
        <v>2876</v>
      </c>
    </row>
    <row r="5" spans="1:20">
      <c r="A5" s="3236" t="s">
        <v>2839</v>
      </c>
      <c r="B5" s="3227" t="s">
        <v>2853</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2877</v>
      </c>
      <c r="R5" s="3231" t="s">
        <v>2878</v>
      </c>
      <c r="S5" s="3231" t="s">
        <v>153</v>
      </c>
      <c r="T5" s="3231" t="s">
        <v>2879</v>
      </c>
    </row>
    <row r="6" spans="1:20" ht="11.4" thickBot="1">
      <c r="A6" s="3231" t="s">
        <v>144</v>
      </c>
      <c r="B6" s="3231" t="s">
        <v>2868</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2880</v>
      </c>
      <c r="Q6" s="3231" t="s">
        <v>2881</v>
      </c>
      <c r="R6" s="3231" t="s">
        <v>161</v>
      </c>
      <c r="S6" s="3231" t="s">
        <v>2882</v>
      </c>
      <c r="T6" s="3231" t="s">
        <v>2883</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2884</v>
      </c>
      <c r="Q7" s="3231" t="s">
        <v>2885</v>
      </c>
      <c r="R7" s="3231" t="s">
        <v>2886</v>
      </c>
      <c r="S7" s="3231" t="s">
        <v>2887</v>
      </c>
      <c r="T7" s="3231" t="s">
        <v>2888</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2889</v>
      </c>
      <c r="Q8" s="3231" t="s">
        <v>174</v>
      </c>
      <c r="R8" s="3231" t="s">
        <v>2890</v>
      </c>
      <c r="S8" s="3231" t="s">
        <v>2891</v>
      </c>
      <c r="T8" s="3238" t="s">
        <v>2892</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2893</v>
      </c>
      <c r="Q9" s="3231" t="s">
        <v>182</v>
      </c>
      <c r="R9" s="3231" t="s">
        <v>183</v>
      </c>
      <c r="S9" s="3231" t="s">
        <v>200</v>
      </c>
    </row>
    <row r="10" spans="1:20">
      <c r="A10" s="3236" t="s">
        <v>184</v>
      </c>
      <c r="B10" s="3227" t="s">
        <v>2854</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2894</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2895</v>
      </c>
      <c r="P11" s="3231" t="s">
        <v>191</v>
      </c>
      <c r="Q11" s="3231" t="s">
        <v>199</v>
      </c>
      <c r="R11" s="3231" t="s">
        <v>2896</v>
      </c>
      <c r="S11" s="3231" t="s">
        <v>2897</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2898</v>
      </c>
      <c r="P12" s="3231" t="s">
        <v>2899</v>
      </c>
      <c r="Q12" s="3231" t="s">
        <v>2900</v>
      </c>
      <c r="R12" s="3231" t="s">
        <v>2901</v>
      </c>
      <c r="S12" s="3231" t="s">
        <v>2902</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2903</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2904</v>
      </c>
      <c r="K14" s="3232" t="s">
        <v>215</v>
      </c>
      <c r="L14" s="3231" t="s">
        <v>216</v>
      </c>
      <c r="M14" s="3231" t="s">
        <v>217</v>
      </c>
      <c r="N14" s="3231" t="s">
        <v>218</v>
      </c>
      <c r="O14" s="3231" t="s">
        <v>240</v>
      </c>
      <c r="P14" s="3231" t="s">
        <v>213</v>
      </c>
      <c r="Q14" s="3231" t="s">
        <v>2905</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2906</v>
      </c>
      <c r="P15" s="3231" t="s">
        <v>2907</v>
      </c>
      <c r="Q15" s="3231" t="s">
        <v>242</v>
      </c>
      <c r="R15" s="3231" t="s">
        <v>2908</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2909</v>
      </c>
      <c r="P16" s="3231" t="s">
        <v>227</v>
      </c>
      <c r="Q16" s="3231" t="s">
        <v>250</v>
      </c>
      <c r="R16" s="3231" t="s">
        <v>207</v>
      </c>
      <c r="S16" s="3231" t="s">
        <v>2910</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2911</v>
      </c>
      <c r="P17" s="3231" t="s">
        <v>2912</v>
      </c>
      <c r="Q17" s="3231" t="s">
        <v>256</v>
      </c>
      <c r="R17" s="3231" t="s">
        <v>2913</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2914</v>
      </c>
      <c r="P18" s="3231" t="s">
        <v>241</v>
      </c>
      <c r="Q18" s="3231" t="s">
        <v>2915</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2916</v>
      </c>
      <c r="P19" s="3231" t="s">
        <v>249</v>
      </c>
      <c r="Q19" s="3231" t="s">
        <v>2917</v>
      </c>
      <c r="R19" s="3231" t="s">
        <v>265</v>
      </c>
      <c r="S19" s="3231" t="s">
        <v>2918</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2919</v>
      </c>
      <c r="P20" s="3231" t="s">
        <v>2920</v>
      </c>
      <c r="Q20" s="3231" t="s">
        <v>290</v>
      </c>
      <c r="R20" s="3231" t="s">
        <v>2921</v>
      </c>
      <c r="S20" s="3231" t="s">
        <v>277</v>
      </c>
    </row>
    <row r="21" spans="1:19" ht="14.25" customHeight="1" thickBot="1">
      <c r="A21" s="3231" t="s">
        <v>184</v>
      </c>
      <c r="B21" s="3232" t="s">
        <v>208</v>
      </c>
      <c r="C21" s="3231">
        <v>32370</v>
      </c>
      <c r="D21" s="3231">
        <v>26730</v>
      </c>
      <c r="E21" s="3231">
        <v>26640</v>
      </c>
      <c r="F21" s="3231"/>
      <c r="G21" s="3231">
        <v>19440</v>
      </c>
      <c r="J21" s="3238" t="s">
        <v>2922</v>
      </c>
      <c r="K21" s="3232" t="s">
        <v>267</v>
      </c>
      <c r="L21" s="3231" t="s">
        <v>268</v>
      </c>
      <c r="M21" s="3231" t="s">
        <v>269</v>
      </c>
      <c r="N21" s="3231" t="s">
        <v>270</v>
      </c>
      <c r="O21" s="3231" t="s">
        <v>264</v>
      </c>
      <c r="P21" s="3231" t="s">
        <v>283</v>
      </c>
      <c r="Q21" s="3231" t="s">
        <v>293</v>
      </c>
      <c r="R21" s="3231" t="s">
        <v>2923</v>
      </c>
      <c r="S21" s="3238" t="s">
        <v>2924</v>
      </c>
    </row>
    <row r="22" spans="1:19" ht="14.25" customHeight="1">
      <c r="A22" s="3231" t="s">
        <v>184</v>
      </c>
      <c r="B22" s="3232" t="s">
        <v>2904</v>
      </c>
      <c r="C22" s="3231">
        <v>29830</v>
      </c>
      <c r="D22" s="3231">
        <v>27600</v>
      </c>
      <c r="E22" s="3231">
        <v>28150</v>
      </c>
      <c r="F22" s="3231"/>
      <c r="G22" s="3231">
        <v>20080</v>
      </c>
      <c r="K22" s="3232" t="s">
        <v>2925</v>
      </c>
      <c r="L22" s="3231" t="s">
        <v>272</v>
      </c>
      <c r="M22" s="3231" t="s">
        <v>273</v>
      </c>
      <c r="N22" s="3231" t="s">
        <v>274</v>
      </c>
      <c r="O22" s="3231" t="s">
        <v>2926</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2927</v>
      </c>
      <c r="L23" s="3231" t="s">
        <v>278</v>
      </c>
      <c r="M23" s="3231" t="s">
        <v>279</v>
      </c>
      <c r="N23" s="3231" t="s">
        <v>2928</v>
      </c>
      <c r="O23" s="3231" t="s">
        <v>2929</v>
      </c>
      <c r="P23" s="3231" t="s">
        <v>289</v>
      </c>
      <c r="Q23" s="3231" t="s">
        <v>298</v>
      </c>
      <c r="R23" s="3231" t="s">
        <v>2930</v>
      </c>
    </row>
    <row r="24" spans="1:19" ht="14.25" customHeight="1">
      <c r="A24" s="3231" t="s">
        <v>184</v>
      </c>
      <c r="B24" s="3232" t="s">
        <v>230</v>
      </c>
      <c r="C24" s="3231">
        <v>27930</v>
      </c>
      <c r="D24" s="3231">
        <v>32260</v>
      </c>
      <c r="E24" s="3231">
        <v>32120</v>
      </c>
      <c r="F24" s="3231"/>
      <c r="G24" s="3231">
        <v>23470</v>
      </c>
      <c r="K24" s="3232" t="s">
        <v>2931</v>
      </c>
      <c r="L24" s="3231" t="s">
        <v>281</v>
      </c>
      <c r="M24" s="3231" t="s">
        <v>282</v>
      </c>
      <c r="N24" s="3231" t="s">
        <v>2932</v>
      </c>
      <c r="O24" s="3231" t="s">
        <v>285</v>
      </c>
      <c r="P24" s="3231" t="s">
        <v>2933</v>
      </c>
      <c r="Q24" s="3240" t="s">
        <v>2934</v>
      </c>
      <c r="R24" s="3231" t="s">
        <v>2935</v>
      </c>
    </row>
    <row r="25" spans="1:19" ht="14.25" customHeight="1">
      <c r="A25" s="3231" t="s">
        <v>184</v>
      </c>
      <c r="B25" s="3232" t="s">
        <v>235</v>
      </c>
      <c r="C25" s="3231">
        <v>32230</v>
      </c>
      <c r="D25" s="3231">
        <v>29640</v>
      </c>
      <c r="E25" s="3231">
        <v>29510</v>
      </c>
      <c r="F25" s="3231"/>
      <c r="G25" s="3231">
        <v>21560</v>
      </c>
      <c r="K25" s="3232" t="s">
        <v>2936</v>
      </c>
      <c r="L25" s="3231" t="s">
        <v>2937</v>
      </c>
      <c r="M25" s="3231" t="s">
        <v>284</v>
      </c>
      <c r="N25" s="3231" t="s">
        <v>292</v>
      </c>
      <c r="O25" s="3231" t="s">
        <v>288</v>
      </c>
      <c r="P25" s="3231" t="s">
        <v>275</v>
      </c>
      <c r="Q25" s="3240" t="s">
        <v>271</v>
      </c>
      <c r="R25" s="3231" t="s">
        <v>2938</v>
      </c>
    </row>
    <row r="26" spans="1:19" ht="14.25" customHeight="1" thickBot="1">
      <c r="A26" s="3231" t="s">
        <v>184</v>
      </c>
      <c r="B26" s="3232" t="s">
        <v>244</v>
      </c>
      <c r="C26" s="3231">
        <v>31690</v>
      </c>
      <c r="D26" s="3231">
        <v>27650</v>
      </c>
      <c r="E26" s="3231">
        <v>28200</v>
      </c>
      <c r="F26" s="3231"/>
      <c r="G26" s="3231">
        <v>20110</v>
      </c>
      <c r="K26" s="3237" t="s">
        <v>2939</v>
      </c>
      <c r="L26" s="3231" t="s">
        <v>2940</v>
      </c>
      <c r="M26" s="3231" t="s">
        <v>287</v>
      </c>
      <c r="N26" s="3231" t="s">
        <v>294</v>
      </c>
      <c r="O26" s="3231" t="s">
        <v>2941</v>
      </c>
      <c r="P26" s="3231" t="s">
        <v>2942</v>
      </c>
      <c r="Q26" s="3240" t="s">
        <v>276</v>
      </c>
      <c r="R26" s="3231" t="s">
        <v>2943</v>
      </c>
    </row>
    <row r="27" spans="1:19" ht="14.25" customHeight="1">
      <c r="A27" s="3231" t="s">
        <v>184</v>
      </c>
      <c r="B27" s="3232" t="s">
        <v>251</v>
      </c>
      <c r="C27" s="3231">
        <v>29610</v>
      </c>
      <c r="D27" s="3231">
        <v>27770</v>
      </c>
      <c r="E27" s="3231">
        <v>28300</v>
      </c>
      <c r="F27" s="3231"/>
      <c r="G27" s="3231">
        <v>20210</v>
      </c>
      <c r="L27" s="3231" t="s">
        <v>2944</v>
      </c>
      <c r="M27" s="3231" t="s">
        <v>291</v>
      </c>
      <c r="N27" s="3231" t="s">
        <v>297</v>
      </c>
      <c r="O27" s="3231" t="s">
        <v>2945</v>
      </c>
      <c r="P27" s="3231" t="s">
        <v>2946</v>
      </c>
      <c r="Q27" s="3231" t="s">
        <v>2947</v>
      </c>
      <c r="R27" s="3231" t="s">
        <v>2948</v>
      </c>
    </row>
    <row r="28" spans="1:19" ht="14.25" customHeight="1">
      <c r="A28" s="3231" t="s">
        <v>184</v>
      </c>
      <c r="B28" s="3232" t="s">
        <v>259</v>
      </c>
      <c r="C28" s="3231"/>
      <c r="D28" s="3231">
        <v>31520</v>
      </c>
      <c r="E28" s="3231">
        <v>31410</v>
      </c>
      <c r="F28" s="3231"/>
      <c r="G28" s="3231">
        <v>22940</v>
      </c>
      <c r="L28" s="3231" t="s">
        <v>2949</v>
      </c>
      <c r="M28" s="3231" t="s">
        <v>2950</v>
      </c>
      <c r="N28" s="3231" t="s">
        <v>2951</v>
      </c>
      <c r="O28" s="3231" t="s">
        <v>2952</v>
      </c>
      <c r="P28" s="3231" t="s">
        <v>2953</v>
      </c>
      <c r="Q28" s="3231" t="s">
        <v>2954</v>
      </c>
      <c r="R28" s="3231" t="s">
        <v>2955</v>
      </c>
    </row>
    <row r="29" spans="1:19" ht="14.25" customHeight="1" thickBot="1">
      <c r="A29" s="3239" t="s">
        <v>184</v>
      </c>
      <c r="B29" s="3241" t="s">
        <v>2922</v>
      </c>
      <c r="C29" s="3242"/>
      <c r="D29" s="3242">
        <v>29460</v>
      </c>
      <c r="E29" s="3242">
        <v>28640</v>
      </c>
      <c r="F29" s="3242"/>
      <c r="G29" s="3242">
        <v>21430</v>
      </c>
      <c r="L29" s="3231" t="s">
        <v>2956</v>
      </c>
      <c r="M29" s="3231" t="s">
        <v>2957</v>
      </c>
      <c r="N29" s="3231" t="s">
        <v>2958</v>
      </c>
      <c r="O29" s="3231" t="s">
        <v>2959</v>
      </c>
      <c r="P29" s="3231" t="s">
        <v>2960</v>
      </c>
      <c r="Q29" s="3231" t="s">
        <v>2961</v>
      </c>
      <c r="R29" s="3231" t="s">
        <v>280</v>
      </c>
    </row>
    <row r="30" spans="1:19" ht="14.25" customHeight="1">
      <c r="A30" s="3236" t="s">
        <v>296</v>
      </c>
      <c r="B30" s="3227" t="s">
        <v>2855</v>
      </c>
      <c r="C30" s="3227">
        <v>26890</v>
      </c>
      <c r="D30" s="3227">
        <v>26770</v>
      </c>
      <c r="E30" s="3227">
        <v>25700</v>
      </c>
      <c r="F30" s="3227">
        <v>8180</v>
      </c>
      <c r="G30" s="3243">
        <v>18740</v>
      </c>
      <c r="L30" s="3231" t="s">
        <v>2962</v>
      </c>
      <c r="M30" s="3231" t="s">
        <v>2963</v>
      </c>
      <c r="N30" s="3231" t="s">
        <v>2964</v>
      </c>
      <c r="O30" s="3231" t="s">
        <v>2965</v>
      </c>
      <c r="P30" s="3231" t="s">
        <v>2966</v>
      </c>
      <c r="Q30" s="3231" t="s">
        <v>2967</v>
      </c>
      <c r="R30" s="3231" t="s">
        <v>2968</v>
      </c>
    </row>
    <row r="31" spans="1:19" ht="14.25" customHeight="1">
      <c r="A31" s="3231" t="s">
        <v>296</v>
      </c>
      <c r="B31" s="3232" t="s">
        <v>129</v>
      </c>
      <c r="C31" s="3231">
        <v>24550</v>
      </c>
      <c r="D31" s="3231">
        <v>23990</v>
      </c>
      <c r="E31" s="3231">
        <v>22930</v>
      </c>
      <c r="F31" s="3231">
        <v>7470</v>
      </c>
      <c r="G31" s="3244">
        <v>16790</v>
      </c>
      <c r="L31" s="3231" t="s">
        <v>2969</v>
      </c>
      <c r="M31" s="3231" t="s">
        <v>2970</v>
      </c>
      <c r="N31" s="3231" t="s">
        <v>2971</v>
      </c>
      <c r="O31" s="3231" t="s">
        <v>2972</v>
      </c>
      <c r="P31" s="3231" t="s">
        <v>2973</v>
      </c>
      <c r="Q31" s="3231" t="s">
        <v>2974</v>
      </c>
      <c r="R31" s="3231" t="s">
        <v>2975</v>
      </c>
    </row>
    <row r="32" spans="1:19" ht="14.25" customHeight="1" thickBot="1">
      <c r="A32" s="3231" t="s">
        <v>296</v>
      </c>
      <c r="B32" s="3232" t="s">
        <v>138</v>
      </c>
      <c r="C32" s="3231">
        <v>27210</v>
      </c>
      <c r="D32" s="3231">
        <v>23240</v>
      </c>
      <c r="E32" s="3231">
        <v>23260</v>
      </c>
      <c r="F32" s="3231">
        <v>7130</v>
      </c>
      <c r="G32" s="3244">
        <v>16270</v>
      </c>
      <c r="L32" s="3231" t="s">
        <v>2976</v>
      </c>
      <c r="M32" s="3231" t="s">
        <v>2977</v>
      </c>
      <c r="N32" s="3231" t="s">
        <v>300</v>
      </c>
      <c r="O32" s="3231" t="s">
        <v>2978</v>
      </c>
      <c r="P32" s="3231" t="s">
        <v>299</v>
      </c>
      <c r="Q32" s="3231" t="s">
        <v>2979</v>
      </c>
      <c r="R32" s="3238" t="s">
        <v>2980</v>
      </c>
    </row>
    <row r="33" spans="1:17" ht="14.25" customHeight="1" thickBot="1">
      <c r="A33" s="3231" t="s">
        <v>296</v>
      </c>
      <c r="B33" s="3232" t="s">
        <v>147</v>
      </c>
      <c r="C33" s="3231">
        <v>27300</v>
      </c>
      <c r="D33" s="3231">
        <v>22980</v>
      </c>
      <c r="E33" s="3231">
        <v>24260</v>
      </c>
      <c r="F33" s="3231">
        <v>5860</v>
      </c>
      <c r="G33" s="3244">
        <v>16090</v>
      </c>
      <c r="L33" s="3238" t="s">
        <v>2981</v>
      </c>
      <c r="M33" s="3231" t="s">
        <v>2982</v>
      </c>
      <c r="N33" s="3231" t="s">
        <v>301</v>
      </c>
      <c r="O33" s="3231" t="s">
        <v>2983</v>
      </c>
      <c r="P33" s="3231" t="s">
        <v>2984</v>
      </c>
      <c r="Q33" s="3231" t="s">
        <v>2985</v>
      </c>
    </row>
    <row r="34" spans="1:17" ht="14.25" customHeight="1">
      <c r="A34" s="3231" t="s">
        <v>296</v>
      </c>
      <c r="B34" s="3232" t="s">
        <v>156</v>
      </c>
      <c r="C34" s="3231">
        <v>23090</v>
      </c>
      <c r="D34" s="3231">
        <v>23390</v>
      </c>
      <c r="E34" s="3231">
        <v>23510</v>
      </c>
      <c r="F34" s="3231">
        <v>6700</v>
      </c>
      <c r="G34" s="3244">
        <v>16370</v>
      </c>
      <c r="M34" s="3231" t="s">
        <v>2986</v>
      </c>
      <c r="N34" s="3231" t="s">
        <v>302</v>
      </c>
      <c r="O34" s="3231" t="s">
        <v>2987</v>
      </c>
      <c r="P34" s="3231" t="s">
        <v>2988</v>
      </c>
      <c r="Q34" s="3231" t="s">
        <v>2989</v>
      </c>
    </row>
    <row r="35" spans="1:17" ht="14.25" customHeight="1">
      <c r="A35" s="3231" t="s">
        <v>296</v>
      </c>
      <c r="B35" s="3232" t="s">
        <v>163</v>
      </c>
      <c r="C35" s="3231">
        <v>27270</v>
      </c>
      <c r="D35" s="3231">
        <v>24270</v>
      </c>
      <c r="E35" s="3231">
        <v>24950</v>
      </c>
      <c r="F35" s="3231">
        <v>6600</v>
      </c>
      <c r="G35" s="3244">
        <v>16990</v>
      </c>
      <c r="M35" s="3231" t="s">
        <v>2990</v>
      </c>
      <c r="N35" s="3231" t="s">
        <v>2991</v>
      </c>
      <c r="O35" s="3231" t="s">
        <v>2992</v>
      </c>
      <c r="P35" s="3231" t="s">
        <v>2993</v>
      </c>
      <c r="Q35" s="3231" t="s">
        <v>2994</v>
      </c>
    </row>
    <row r="36" spans="1:17" ht="14.25" customHeight="1">
      <c r="A36" s="3231" t="s">
        <v>296</v>
      </c>
      <c r="B36" s="3232" t="s">
        <v>169</v>
      </c>
      <c r="C36" s="3231">
        <v>23490</v>
      </c>
      <c r="D36" s="3231">
        <v>23020</v>
      </c>
      <c r="E36" s="3231">
        <v>25230</v>
      </c>
      <c r="F36" s="3231">
        <v>6780</v>
      </c>
      <c r="G36" s="3244">
        <v>16120</v>
      </c>
      <c r="M36" s="3231" t="s">
        <v>2995</v>
      </c>
      <c r="N36" s="3231" t="s">
        <v>2996</v>
      </c>
      <c r="O36" s="3231" t="s">
        <v>2997</v>
      </c>
      <c r="P36" s="3231" t="s">
        <v>2998</v>
      </c>
      <c r="Q36" s="3231" t="s">
        <v>2999</v>
      </c>
    </row>
    <row r="37" spans="1:17" ht="14.25" customHeight="1">
      <c r="A37" s="3231" t="s">
        <v>296</v>
      </c>
      <c r="B37" s="3232" t="s">
        <v>176</v>
      </c>
      <c r="C37" s="3231">
        <v>24380</v>
      </c>
      <c r="D37" s="3231">
        <v>22240</v>
      </c>
      <c r="E37" s="3231">
        <v>25980</v>
      </c>
      <c r="F37" s="3231">
        <v>8160</v>
      </c>
      <c r="G37" s="3244">
        <v>15570</v>
      </c>
      <c r="M37" s="3231" t="s">
        <v>3000</v>
      </c>
      <c r="N37" s="3231" t="s">
        <v>3001</v>
      </c>
      <c r="O37" s="3231" t="s">
        <v>3002</v>
      </c>
      <c r="P37" s="3231" t="s">
        <v>3003</v>
      </c>
      <c r="Q37" s="3231" t="s">
        <v>3004</v>
      </c>
    </row>
    <row r="38" spans="1:17" ht="14.25" customHeight="1">
      <c r="A38" s="3231" t="s">
        <v>296</v>
      </c>
      <c r="B38" s="3232" t="s">
        <v>186</v>
      </c>
      <c r="C38" s="3231">
        <v>23120</v>
      </c>
      <c r="D38" s="3231">
        <v>24630</v>
      </c>
      <c r="E38" s="3231">
        <v>25030</v>
      </c>
      <c r="F38" s="3231">
        <v>7710</v>
      </c>
      <c r="G38" s="3244">
        <v>17240</v>
      </c>
      <c r="M38" s="3231" t="s">
        <v>3005</v>
      </c>
      <c r="N38" s="3231" t="s">
        <v>3006</v>
      </c>
      <c r="O38" s="3231" t="s">
        <v>3007</v>
      </c>
      <c r="P38" s="3231" t="s">
        <v>3008</v>
      </c>
      <c r="Q38" s="3231" t="s">
        <v>3009</v>
      </c>
    </row>
    <row r="39" spans="1:17" ht="14.25" customHeight="1">
      <c r="A39" s="3231" t="s">
        <v>296</v>
      </c>
      <c r="B39" s="3232" t="s">
        <v>195</v>
      </c>
      <c r="C39" s="3231">
        <v>22330</v>
      </c>
      <c r="D39" s="3231">
        <v>21140</v>
      </c>
      <c r="E39" s="3231">
        <v>23970</v>
      </c>
      <c r="F39" s="3231">
        <v>7940</v>
      </c>
      <c r="G39" s="3244">
        <v>14790</v>
      </c>
      <c r="M39" s="3231" t="s">
        <v>3010</v>
      </c>
      <c r="N39" s="3231" t="s">
        <v>3011</v>
      </c>
      <c r="O39" s="3231" t="s">
        <v>3012</v>
      </c>
      <c r="P39" s="3231" t="s">
        <v>3013</v>
      </c>
      <c r="Q39" s="3231" t="s">
        <v>3014</v>
      </c>
    </row>
    <row r="40" spans="1:17" ht="14.25" customHeight="1">
      <c r="A40" s="3231" t="s">
        <v>296</v>
      </c>
      <c r="B40" s="3232" t="s">
        <v>202</v>
      </c>
      <c r="C40" s="3231">
        <v>24740</v>
      </c>
      <c r="D40" s="3231">
        <v>24690</v>
      </c>
      <c r="E40" s="3231">
        <v>22610</v>
      </c>
      <c r="F40" s="3231"/>
      <c r="G40" s="3244">
        <v>17280</v>
      </c>
      <c r="M40" s="3231" t="s">
        <v>3015</v>
      </c>
      <c r="N40" s="3231" t="s">
        <v>3016</v>
      </c>
      <c r="O40" s="3231" t="s">
        <v>3017</v>
      </c>
      <c r="P40" s="3231" t="s">
        <v>3018</v>
      </c>
      <c r="Q40" s="3231" t="s">
        <v>3019</v>
      </c>
    </row>
    <row r="41" spans="1:17" ht="14.25" customHeight="1" thickBot="1">
      <c r="A41" s="3231" t="s">
        <v>296</v>
      </c>
      <c r="B41" s="3232" t="s">
        <v>209</v>
      </c>
      <c r="C41" s="3231">
        <v>21220</v>
      </c>
      <c r="D41" s="3231">
        <v>21120</v>
      </c>
      <c r="E41" s="3231">
        <v>22590</v>
      </c>
      <c r="F41" s="3231"/>
      <c r="G41" s="3244">
        <v>14780</v>
      </c>
      <c r="M41" s="3238" t="s">
        <v>3020</v>
      </c>
      <c r="N41" s="3231" t="s">
        <v>3021</v>
      </c>
      <c r="O41" s="3231" t="s">
        <v>3022</v>
      </c>
      <c r="P41" s="3231" t="s">
        <v>3023</v>
      </c>
      <c r="Q41" s="3231" t="s">
        <v>3024</v>
      </c>
    </row>
    <row r="42" spans="1:17" ht="14.25" customHeight="1">
      <c r="A42" s="3231" t="s">
        <v>296</v>
      </c>
      <c r="B42" s="3232" t="s">
        <v>215</v>
      </c>
      <c r="C42" s="3231">
        <v>24800</v>
      </c>
      <c r="D42" s="3231">
        <v>22280</v>
      </c>
      <c r="E42" s="3231">
        <v>24350</v>
      </c>
      <c r="F42" s="3231"/>
      <c r="G42" s="3244">
        <v>15590</v>
      </c>
      <c r="N42" s="3231" t="s">
        <v>3025</v>
      </c>
      <c r="O42" s="3231" t="s">
        <v>3026</v>
      </c>
      <c r="P42" s="3231" t="s">
        <v>3027</v>
      </c>
      <c r="Q42" s="3231" t="s">
        <v>3028</v>
      </c>
    </row>
    <row r="43" spans="1:17" ht="14.25" customHeight="1">
      <c r="A43" s="3231" t="s">
        <v>3029</v>
      </c>
      <c r="B43" s="3232" t="s">
        <v>223</v>
      </c>
      <c r="C43" s="3231">
        <v>21210</v>
      </c>
      <c r="D43" s="3231">
        <v>21160</v>
      </c>
      <c r="E43" s="3231">
        <v>22650</v>
      </c>
      <c r="F43" s="3231"/>
      <c r="G43" s="3244">
        <v>14800</v>
      </c>
      <c r="N43" s="3231" t="s">
        <v>3030</v>
      </c>
      <c r="O43" s="3231" t="s">
        <v>3031</v>
      </c>
      <c r="P43" s="3231" t="s">
        <v>3032</v>
      </c>
      <c r="Q43" s="3231" t="s">
        <v>3033</v>
      </c>
    </row>
    <row r="44" spans="1:17" ht="14.25" customHeight="1" thickBot="1">
      <c r="A44" s="3231" t="s">
        <v>296</v>
      </c>
      <c r="B44" s="3232" t="s">
        <v>231</v>
      </c>
      <c r="C44" s="3231">
        <v>22370</v>
      </c>
      <c r="D44" s="3231">
        <v>23140</v>
      </c>
      <c r="E44" s="3231">
        <v>25090</v>
      </c>
      <c r="F44" s="3231"/>
      <c r="G44" s="3244">
        <v>16190</v>
      </c>
      <c r="N44" s="3231" t="s">
        <v>3034</v>
      </c>
      <c r="O44" s="3231" t="s">
        <v>3035</v>
      </c>
      <c r="P44" s="3238" t="s">
        <v>3036</v>
      </c>
      <c r="Q44" s="3231" t="s">
        <v>3037</v>
      </c>
    </row>
    <row r="45" spans="1:17" ht="14.25" customHeight="1" thickBot="1">
      <c r="A45" s="3231" t="s">
        <v>296</v>
      </c>
      <c r="B45" s="3232" t="s">
        <v>236</v>
      </c>
      <c r="C45" s="3231">
        <v>21240</v>
      </c>
      <c r="D45" s="3231">
        <v>27050</v>
      </c>
      <c r="E45" s="3231">
        <v>28000</v>
      </c>
      <c r="F45" s="3231"/>
      <c r="G45" s="3244">
        <v>18940</v>
      </c>
      <c r="N45" s="3231" t="s">
        <v>3038</v>
      </c>
      <c r="O45" s="3238" t="s">
        <v>3039</v>
      </c>
      <c r="Q45" s="3231" t="s">
        <v>3040</v>
      </c>
    </row>
    <row r="46" spans="1:17" ht="14.25" customHeight="1">
      <c r="A46" s="3231" t="s">
        <v>296</v>
      </c>
      <c r="B46" s="3232" t="s">
        <v>245</v>
      </c>
      <c r="C46" s="3231">
        <v>23240</v>
      </c>
      <c r="D46" s="3231">
        <v>23000</v>
      </c>
      <c r="E46" s="3231">
        <v>24980</v>
      </c>
      <c r="F46" s="3231"/>
      <c r="G46" s="3244">
        <v>16100</v>
      </c>
      <c r="N46" s="3231" t="s">
        <v>3041</v>
      </c>
      <c r="Q46" s="3231" t="s">
        <v>3042</v>
      </c>
    </row>
    <row r="47" spans="1:17" ht="14.25" customHeight="1">
      <c r="A47" s="3231" t="s">
        <v>296</v>
      </c>
      <c r="B47" s="3232" t="s">
        <v>252</v>
      </c>
      <c r="C47" s="3231">
        <v>27150</v>
      </c>
      <c r="D47" s="3231">
        <v>23310</v>
      </c>
      <c r="E47" s="3231">
        <v>25150</v>
      </c>
      <c r="F47" s="3231"/>
      <c r="G47" s="3244">
        <v>16310</v>
      </c>
      <c r="N47" s="3231" t="s">
        <v>3043</v>
      </c>
      <c r="Q47" s="3231" t="s">
        <v>3044</v>
      </c>
    </row>
    <row r="48" spans="1:17" ht="14.25" customHeight="1">
      <c r="A48" s="3231" t="s">
        <v>296</v>
      </c>
      <c r="B48" s="3232" t="s">
        <v>260</v>
      </c>
      <c r="C48" s="3231">
        <v>23100</v>
      </c>
      <c r="D48" s="3231">
        <v>21110</v>
      </c>
      <c r="E48" s="3231">
        <v>23080</v>
      </c>
      <c r="F48" s="3231"/>
      <c r="G48" s="3244">
        <v>14780</v>
      </c>
      <c r="N48" s="3231" t="s">
        <v>3045</v>
      </c>
      <c r="Q48" s="3231" t="s">
        <v>3046</v>
      </c>
    </row>
    <row r="49" spans="1:17" ht="14.25" customHeight="1">
      <c r="A49" s="3231" t="s">
        <v>296</v>
      </c>
      <c r="B49" s="3232" t="s">
        <v>267</v>
      </c>
      <c r="C49" s="3231">
        <v>23400</v>
      </c>
      <c r="D49" s="3231">
        <v>22920</v>
      </c>
      <c r="E49" s="3231">
        <v>24900</v>
      </c>
      <c r="F49" s="3231"/>
      <c r="G49" s="3244">
        <v>16040</v>
      </c>
      <c r="N49" s="3231" t="s">
        <v>3047</v>
      </c>
      <c r="Q49" s="3231" t="s">
        <v>3048</v>
      </c>
    </row>
    <row r="50" spans="1:17" ht="14.25" customHeight="1">
      <c r="A50" s="3231" t="s">
        <v>296</v>
      </c>
      <c r="B50" s="3232" t="s">
        <v>2925</v>
      </c>
      <c r="C50" s="3231">
        <v>21200</v>
      </c>
      <c r="D50" s="3231">
        <v>26540</v>
      </c>
      <c r="E50" s="3231">
        <v>23200</v>
      </c>
      <c r="F50" s="3231"/>
      <c r="G50" s="3244">
        <v>18580</v>
      </c>
      <c r="N50" s="3231" t="s">
        <v>3049</v>
      </c>
      <c r="Q50" s="3232" t="s">
        <v>3050</v>
      </c>
    </row>
    <row r="51" spans="1:17" ht="14.25" customHeight="1" thickBot="1">
      <c r="A51" s="3231" t="s">
        <v>296</v>
      </c>
      <c r="B51" s="3232" t="s">
        <v>2927</v>
      </c>
      <c r="C51" s="3231">
        <v>23000</v>
      </c>
      <c r="D51" s="3231">
        <v>23460</v>
      </c>
      <c r="E51" s="3231">
        <v>25290</v>
      </c>
      <c r="F51" s="3231"/>
      <c r="G51" s="3244">
        <v>16420</v>
      </c>
      <c r="N51" s="3231" t="s">
        <v>3051</v>
      </c>
      <c r="Q51" s="3238" t="s">
        <v>3052</v>
      </c>
    </row>
    <row r="52" spans="1:17" ht="14.25" customHeight="1">
      <c r="A52" s="3231" t="s">
        <v>296</v>
      </c>
      <c r="B52" s="3232" t="s">
        <v>2931</v>
      </c>
      <c r="C52" s="3231">
        <v>26660</v>
      </c>
      <c r="D52" s="3231">
        <v>22350</v>
      </c>
      <c r="E52" s="3231">
        <v>22920</v>
      </c>
      <c r="F52" s="3231"/>
      <c r="G52" s="3244">
        <v>15640</v>
      </c>
      <c r="N52" s="3231" t="s">
        <v>3053</v>
      </c>
    </row>
    <row r="53" spans="1:17" ht="14.25" customHeight="1">
      <c r="A53" s="3231" t="s">
        <v>296</v>
      </c>
      <c r="B53" s="3232" t="s">
        <v>2936</v>
      </c>
      <c r="C53" s="3231">
        <v>23580</v>
      </c>
      <c r="D53" s="3231"/>
      <c r="E53" s="3231">
        <v>24280</v>
      </c>
      <c r="F53" s="3231"/>
      <c r="G53" s="3244"/>
      <c r="N53" s="3231" t="s">
        <v>3054</v>
      </c>
    </row>
    <row r="54" spans="1:17" ht="14.25" customHeight="1" thickBot="1">
      <c r="A54" s="3245" t="s">
        <v>296</v>
      </c>
      <c r="B54" s="3237" t="s">
        <v>2939</v>
      </c>
      <c r="C54" s="3238">
        <v>22460</v>
      </c>
      <c r="D54" s="3238"/>
      <c r="E54" s="3238"/>
      <c r="F54" s="3238"/>
      <c r="G54" s="3246"/>
      <c r="N54" s="3231" t="s">
        <v>3055</v>
      </c>
    </row>
    <row r="55" spans="1:17" ht="14.25" customHeight="1">
      <c r="A55" s="3236" t="s">
        <v>110</v>
      </c>
      <c r="B55" s="3227" t="s">
        <v>3056</v>
      </c>
      <c r="C55" s="3231">
        <v>21970</v>
      </c>
      <c r="D55" s="3231">
        <v>20370</v>
      </c>
      <c r="E55" s="3231">
        <v>20180</v>
      </c>
      <c r="F55" s="3231">
        <v>5730</v>
      </c>
      <c r="G55" s="3231">
        <v>13820</v>
      </c>
      <c r="N55" s="3231" t="s">
        <v>3057</v>
      </c>
    </row>
    <row r="56" spans="1:17" ht="14.25" customHeight="1">
      <c r="A56" s="3231" t="s">
        <v>110</v>
      </c>
      <c r="B56" s="3231" t="s">
        <v>130</v>
      </c>
      <c r="C56" s="3231">
        <v>20470</v>
      </c>
      <c r="D56" s="3231">
        <v>20700</v>
      </c>
      <c r="E56" s="3231">
        <v>20380</v>
      </c>
      <c r="F56" s="3231">
        <v>4760</v>
      </c>
      <c r="G56" s="3231">
        <v>14050</v>
      </c>
      <c r="N56" s="3231" t="s">
        <v>3058</v>
      </c>
    </row>
    <row r="57" spans="1:17" ht="14.25" customHeight="1">
      <c r="A57" s="3231" t="s">
        <v>110</v>
      </c>
      <c r="B57" s="3231" t="s">
        <v>139</v>
      </c>
      <c r="C57" s="3231">
        <v>20790</v>
      </c>
      <c r="D57" s="3231">
        <v>21370</v>
      </c>
      <c r="E57" s="3231">
        <v>20890</v>
      </c>
      <c r="F57" s="3231">
        <v>4910</v>
      </c>
      <c r="G57" s="3231">
        <v>14510</v>
      </c>
      <c r="N57" s="3231" t="s">
        <v>3059</v>
      </c>
    </row>
    <row r="58" spans="1:17" ht="14.25" customHeight="1">
      <c r="A58" s="3231" t="s">
        <v>110</v>
      </c>
      <c r="B58" s="3231" t="s">
        <v>148</v>
      </c>
      <c r="C58" s="3231">
        <v>21460</v>
      </c>
      <c r="D58" s="3231">
        <v>20920</v>
      </c>
      <c r="E58" s="3231">
        <v>23410</v>
      </c>
      <c r="F58" s="3231">
        <v>5100</v>
      </c>
      <c r="G58" s="3231">
        <v>14200</v>
      </c>
      <c r="N58" s="3231" t="s">
        <v>3060</v>
      </c>
    </row>
    <row r="59" spans="1:17" ht="14.25" customHeight="1">
      <c r="A59" s="3231" t="s">
        <v>110</v>
      </c>
      <c r="B59" s="3231" t="s">
        <v>157</v>
      </c>
      <c r="C59" s="3231">
        <v>21000</v>
      </c>
      <c r="D59" s="3231">
        <v>21550</v>
      </c>
      <c r="E59" s="3231">
        <v>21150</v>
      </c>
      <c r="F59" s="3231">
        <v>5250</v>
      </c>
      <c r="G59" s="3231">
        <v>14630</v>
      </c>
      <c r="N59" s="3231" t="s">
        <v>3061</v>
      </c>
    </row>
    <row r="60" spans="1:17" ht="14.25" customHeight="1">
      <c r="A60" s="3231" t="s">
        <v>110</v>
      </c>
      <c r="B60" s="3231" t="s">
        <v>164</v>
      </c>
      <c r="C60" s="3231">
        <v>21640</v>
      </c>
      <c r="D60" s="3231">
        <v>21260</v>
      </c>
      <c r="E60" s="3231">
        <v>24040</v>
      </c>
      <c r="F60" s="3231">
        <v>4470</v>
      </c>
      <c r="G60" s="3231">
        <v>14430</v>
      </c>
      <c r="N60" s="3231" t="s">
        <v>3062</v>
      </c>
    </row>
    <row r="61" spans="1:17" ht="14.25" customHeight="1">
      <c r="A61" s="3231" t="s">
        <v>110</v>
      </c>
      <c r="B61" s="3231" t="s">
        <v>170</v>
      </c>
      <c r="C61" s="3231">
        <v>21330</v>
      </c>
      <c r="D61" s="3231">
        <v>18640</v>
      </c>
      <c r="E61" s="3231">
        <v>21190</v>
      </c>
      <c r="F61" s="3231">
        <v>4180</v>
      </c>
      <c r="G61" s="3231">
        <v>12650</v>
      </c>
      <c r="N61" s="3231" t="s">
        <v>3063</v>
      </c>
    </row>
    <row r="62" spans="1:17" ht="14.25" customHeight="1">
      <c r="A62" s="3231" t="s">
        <v>110</v>
      </c>
      <c r="B62" s="3231" t="s">
        <v>177</v>
      </c>
      <c r="C62" s="3231">
        <v>18710</v>
      </c>
      <c r="D62" s="3231">
        <v>19400</v>
      </c>
      <c r="E62" s="3231">
        <v>23750</v>
      </c>
      <c r="F62" s="3231">
        <v>4860</v>
      </c>
      <c r="G62" s="3231">
        <v>13170</v>
      </c>
      <c r="N62" s="3231" t="s">
        <v>3064</v>
      </c>
    </row>
    <row r="63" spans="1:17" ht="14.25" customHeight="1">
      <c r="A63" s="3231" t="s">
        <v>110</v>
      </c>
      <c r="B63" s="3231" t="s">
        <v>187</v>
      </c>
      <c r="C63" s="3231">
        <v>19480</v>
      </c>
      <c r="D63" s="3231">
        <v>16830</v>
      </c>
      <c r="E63" s="3231">
        <v>21590</v>
      </c>
      <c r="F63" s="3231">
        <v>4560</v>
      </c>
      <c r="G63" s="3231">
        <v>11420</v>
      </c>
      <c r="N63" s="3231" t="s">
        <v>3065</v>
      </c>
    </row>
    <row r="64" spans="1:17" ht="14.25" customHeight="1" thickBot="1">
      <c r="A64" s="3231" t="s">
        <v>110</v>
      </c>
      <c r="B64" s="3231" t="s">
        <v>196</v>
      </c>
      <c r="C64" s="3231">
        <v>16920</v>
      </c>
      <c r="D64" s="3231">
        <v>19190</v>
      </c>
      <c r="E64" s="3231">
        <v>22200</v>
      </c>
      <c r="F64" s="3231">
        <v>4390</v>
      </c>
      <c r="G64" s="3231">
        <v>13030</v>
      </c>
      <c r="N64" s="3238" t="s">
        <v>3066</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2937</v>
      </c>
      <c r="C78" s="3231">
        <v>19820</v>
      </c>
      <c r="D78" s="3231">
        <v>19780</v>
      </c>
      <c r="E78" s="3231">
        <v>18560</v>
      </c>
      <c r="F78" s="3231"/>
      <c r="G78" s="3231">
        <v>13430</v>
      </c>
    </row>
    <row r="79" spans="1:7" s="3220" customFormat="1" ht="14.25" customHeight="1">
      <c r="A79" s="3231" t="s">
        <v>110</v>
      </c>
      <c r="B79" s="3231" t="s">
        <v>2940</v>
      </c>
      <c r="C79" s="3231">
        <v>21660</v>
      </c>
      <c r="D79" s="3231">
        <v>18000</v>
      </c>
      <c r="E79" s="3231">
        <v>22570</v>
      </c>
      <c r="F79" s="3231"/>
      <c r="G79" s="3231">
        <v>12220</v>
      </c>
    </row>
    <row r="80" spans="1:7" s="3220" customFormat="1" ht="14.25" customHeight="1">
      <c r="A80" s="3231" t="s">
        <v>110</v>
      </c>
      <c r="B80" s="3231" t="s">
        <v>2944</v>
      </c>
      <c r="C80" s="3231">
        <v>19850</v>
      </c>
      <c r="D80" s="3231"/>
      <c r="E80" s="3231">
        <v>21700</v>
      </c>
      <c r="F80" s="3231"/>
      <c r="G80" s="3231"/>
    </row>
    <row r="81" spans="1:7" s="3220" customFormat="1" ht="14.25" customHeight="1">
      <c r="A81" s="3231" t="s">
        <v>110</v>
      </c>
      <c r="B81" s="3231" t="s">
        <v>2949</v>
      </c>
      <c r="C81" s="3231">
        <v>18080</v>
      </c>
      <c r="D81" s="3231"/>
      <c r="E81" s="3231">
        <v>20900</v>
      </c>
      <c r="F81" s="3231"/>
      <c r="G81" s="3231"/>
    </row>
    <row r="82" spans="1:7" s="3220" customFormat="1" ht="14.25" customHeight="1">
      <c r="A82" s="3231" t="s">
        <v>110</v>
      </c>
      <c r="B82" s="3231" t="s">
        <v>2956</v>
      </c>
      <c r="C82" s="3231"/>
      <c r="D82" s="3231"/>
      <c r="E82" s="3231">
        <v>20840</v>
      </c>
      <c r="F82" s="3231"/>
      <c r="G82" s="3231"/>
    </row>
    <row r="83" spans="1:7" s="3220" customFormat="1" ht="14.25" customHeight="1">
      <c r="A83" s="3231" t="s">
        <v>110</v>
      </c>
      <c r="B83" s="3231" t="s">
        <v>3067</v>
      </c>
      <c r="C83" s="3231"/>
      <c r="D83" s="3231"/>
      <c r="E83" s="3231"/>
      <c r="F83" s="3231">
        <v>4770</v>
      </c>
      <c r="G83" s="3231"/>
    </row>
    <row r="84" spans="1:7" s="3220" customFormat="1" ht="14.25" customHeight="1">
      <c r="A84" s="3231" t="s">
        <v>110</v>
      </c>
      <c r="B84" s="3231" t="s">
        <v>3068</v>
      </c>
      <c r="C84" s="3231"/>
      <c r="D84" s="3231"/>
      <c r="E84" s="3231"/>
      <c r="F84" s="3231">
        <v>4600</v>
      </c>
      <c r="G84" s="3231"/>
    </row>
    <row r="85" spans="1:7" s="3220" customFormat="1" ht="14.25" customHeight="1">
      <c r="A85" s="3231" t="s">
        <v>110</v>
      </c>
      <c r="B85" s="3231" t="s">
        <v>3069</v>
      </c>
      <c r="C85" s="3231"/>
      <c r="D85" s="3231"/>
      <c r="E85" s="3231"/>
      <c r="F85" s="3231">
        <v>4680</v>
      </c>
      <c r="G85" s="3231"/>
    </row>
    <row r="86" spans="1:7" s="3220" customFormat="1" ht="14.25" customHeight="1" thickBot="1">
      <c r="A86" s="3239" t="s">
        <v>110</v>
      </c>
      <c r="B86" s="3241" t="s">
        <v>3070</v>
      </c>
      <c r="C86" s="3242">
        <v>16610</v>
      </c>
      <c r="D86" s="3242">
        <v>16540</v>
      </c>
      <c r="E86" s="3242">
        <v>18850</v>
      </c>
      <c r="F86" s="3242"/>
      <c r="G86" s="3242">
        <v>11220</v>
      </c>
    </row>
    <row r="87" spans="1:7" s="3220" customFormat="1" ht="14.25" customHeight="1">
      <c r="A87" s="3236" t="s">
        <v>303</v>
      </c>
      <c r="B87" s="3227" t="s">
        <v>3071</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2950</v>
      </c>
      <c r="C113" s="3231">
        <v>15520</v>
      </c>
      <c r="D113" s="3231">
        <v>15450</v>
      </c>
      <c r="E113" s="3231"/>
      <c r="F113" s="3231"/>
      <c r="G113" s="3244">
        <v>10210</v>
      </c>
    </row>
    <row r="114" spans="1:7" s="3220" customFormat="1" ht="14.25" customHeight="1">
      <c r="A114" s="3231" t="s">
        <v>303</v>
      </c>
      <c r="B114" s="3231" t="s">
        <v>2957</v>
      </c>
      <c r="C114" s="3231">
        <v>13110</v>
      </c>
      <c r="D114" s="3231">
        <v>13050</v>
      </c>
      <c r="E114" s="3231"/>
      <c r="F114" s="3231"/>
      <c r="G114" s="3244">
        <v>8620</v>
      </c>
    </row>
    <row r="115" spans="1:7" s="3220" customFormat="1" ht="14.25" customHeight="1">
      <c r="A115" s="3231" t="s">
        <v>303</v>
      </c>
      <c r="B115" s="3231" t="s">
        <v>2963</v>
      </c>
      <c r="C115" s="3231">
        <v>12460</v>
      </c>
      <c r="D115" s="3231">
        <v>12390</v>
      </c>
      <c r="E115" s="3231"/>
      <c r="F115" s="3231"/>
      <c r="G115" s="3244">
        <v>8190</v>
      </c>
    </row>
    <row r="116" spans="1:7" s="3220" customFormat="1" ht="14.25" customHeight="1">
      <c r="A116" s="3231" t="s">
        <v>303</v>
      </c>
      <c r="B116" s="3231" t="s">
        <v>2970</v>
      </c>
      <c r="C116" s="3231">
        <v>13580</v>
      </c>
      <c r="D116" s="3231">
        <v>13520</v>
      </c>
      <c r="E116" s="3231"/>
      <c r="F116" s="3231"/>
      <c r="G116" s="3244">
        <v>8930</v>
      </c>
    </row>
    <row r="117" spans="1:7" s="3220" customFormat="1" ht="14.25" customHeight="1">
      <c r="A117" s="3231" t="s">
        <v>303</v>
      </c>
      <c r="B117" s="3231" t="s">
        <v>2977</v>
      </c>
      <c r="C117" s="3231">
        <v>17120</v>
      </c>
      <c r="D117" s="3231">
        <v>17040</v>
      </c>
      <c r="E117" s="3231"/>
      <c r="F117" s="3231"/>
      <c r="G117" s="3244">
        <v>11260</v>
      </c>
    </row>
    <row r="118" spans="1:7" s="3220" customFormat="1" ht="14.25" customHeight="1">
      <c r="A118" s="3231" t="s">
        <v>303</v>
      </c>
      <c r="B118" s="3231" t="s">
        <v>2982</v>
      </c>
      <c r="C118" s="3231">
        <v>14860</v>
      </c>
      <c r="D118" s="3231">
        <v>14790</v>
      </c>
      <c r="E118" s="3231"/>
      <c r="F118" s="3231"/>
      <c r="G118" s="3244">
        <v>9780</v>
      </c>
    </row>
    <row r="119" spans="1:7" s="3220" customFormat="1" ht="14.25" customHeight="1">
      <c r="A119" s="3231" t="s">
        <v>303</v>
      </c>
      <c r="B119" s="3231" t="s">
        <v>2986</v>
      </c>
      <c r="C119" s="3231">
        <v>16470</v>
      </c>
      <c r="D119" s="3231">
        <v>16400</v>
      </c>
      <c r="E119" s="3231"/>
      <c r="F119" s="3231"/>
      <c r="G119" s="3244">
        <v>10840</v>
      </c>
    </row>
    <row r="120" spans="1:7" s="3220" customFormat="1" ht="14.25" customHeight="1">
      <c r="A120" s="3231" t="s">
        <v>303</v>
      </c>
      <c r="B120" s="3231" t="s">
        <v>3072</v>
      </c>
      <c r="C120" s="3231"/>
      <c r="D120" s="3231"/>
      <c r="E120" s="3231"/>
      <c r="F120" s="3231">
        <v>4160</v>
      </c>
      <c r="G120" s="3244"/>
    </row>
    <row r="121" spans="1:7" s="3220" customFormat="1" ht="14.25" customHeight="1">
      <c r="A121" s="3231" t="s">
        <v>303</v>
      </c>
      <c r="B121" s="3231" t="s">
        <v>3073</v>
      </c>
      <c r="C121" s="3231"/>
      <c r="D121" s="3231"/>
      <c r="E121" s="3231"/>
      <c r="F121" s="3231">
        <v>3880</v>
      </c>
      <c r="G121" s="3244"/>
    </row>
    <row r="122" spans="1:7" s="3220" customFormat="1" ht="14.25" customHeight="1">
      <c r="A122" s="3231" t="s">
        <v>303</v>
      </c>
      <c r="B122" s="3231" t="s">
        <v>3074</v>
      </c>
      <c r="C122" s="3231">
        <v>13750</v>
      </c>
      <c r="D122" s="3231">
        <v>13680</v>
      </c>
      <c r="E122" s="3231">
        <v>16460</v>
      </c>
      <c r="F122" s="3231">
        <v>2880</v>
      </c>
      <c r="G122" s="3244">
        <v>9040</v>
      </c>
    </row>
    <row r="123" spans="1:7" s="3220" customFormat="1" ht="14.25" customHeight="1">
      <c r="A123" s="3231" t="s">
        <v>303</v>
      </c>
      <c r="B123" s="3231" t="s">
        <v>3005</v>
      </c>
      <c r="C123" s="3231">
        <v>13590</v>
      </c>
      <c r="D123" s="3231">
        <v>13520</v>
      </c>
      <c r="E123" s="3231">
        <v>16290</v>
      </c>
      <c r="F123" s="3231">
        <v>2790</v>
      </c>
      <c r="G123" s="3244">
        <v>8930</v>
      </c>
    </row>
    <row r="124" spans="1:7" s="3220" customFormat="1" ht="14.25" customHeight="1">
      <c r="A124" s="3231" t="s">
        <v>303</v>
      </c>
      <c r="B124" s="3231" t="s">
        <v>3010</v>
      </c>
      <c r="C124" s="3231">
        <v>13400</v>
      </c>
      <c r="D124" s="3231">
        <v>13320</v>
      </c>
      <c r="E124" s="3231">
        <v>16100</v>
      </c>
      <c r="F124" s="3231">
        <v>2320</v>
      </c>
      <c r="G124" s="3244">
        <v>8800</v>
      </c>
    </row>
    <row r="125" spans="1:7" s="3220" customFormat="1" ht="14.25" customHeight="1">
      <c r="A125" s="3231" t="s">
        <v>303</v>
      </c>
      <c r="B125" s="3231" t="s">
        <v>3015</v>
      </c>
      <c r="C125" s="3231">
        <v>12860</v>
      </c>
      <c r="D125" s="3231">
        <v>12790</v>
      </c>
      <c r="E125" s="3231">
        <v>15370</v>
      </c>
      <c r="F125" s="3231">
        <v>2280</v>
      </c>
      <c r="G125" s="3244">
        <v>8450</v>
      </c>
    </row>
    <row r="126" spans="1:7" s="3220" customFormat="1" ht="14.25" customHeight="1" thickBot="1">
      <c r="A126" s="3245" t="s">
        <v>303</v>
      </c>
      <c r="B126" s="3238" t="s">
        <v>3020</v>
      </c>
      <c r="C126" s="3238">
        <v>12960</v>
      </c>
      <c r="D126" s="3238">
        <v>12890</v>
      </c>
      <c r="E126" s="3238">
        <v>15530</v>
      </c>
      <c r="F126" s="3238">
        <v>2910</v>
      </c>
      <c r="G126" s="3246">
        <v>8520</v>
      </c>
    </row>
    <row r="127" spans="1:7" s="3220" customFormat="1" ht="14.25" customHeight="1">
      <c r="A127" s="3236" t="s">
        <v>29</v>
      </c>
      <c r="B127" s="3227" t="s">
        <v>3075</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3076</v>
      </c>
      <c r="C148" s="3231">
        <v>10370</v>
      </c>
      <c r="D148" s="3231">
        <v>10310</v>
      </c>
      <c r="E148" s="3231">
        <v>12970</v>
      </c>
      <c r="F148" s="3231"/>
      <c r="G148" s="3231">
        <v>6630</v>
      </c>
    </row>
    <row r="149" spans="1:7" s="3220" customFormat="1" ht="14.25" customHeight="1">
      <c r="A149" s="3231" t="s">
        <v>29</v>
      </c>
      <c r="B149" s="3231" t="s">
        <v>3077</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2951</v>
      </c>
      <c r="C153" s="3231">
        <v>10880</v>
      </c>
      <c r="D153" s="3231">
        <v>10820</v>
      </c>
      <c r="E153" s="3231">
        <v>13660</v>
      </c>
      <c r="F153" s="3231">
        <v>2260</v>
      </c>
      <c r="G153" s="3231">
        <v>6970</v>
      </c>
    </row>
    <row r="154" spans="1:7" s="3220" customFormat="1" ht="14.25" customHeight="1">
      <c r="A154" s="3231" t="s">
        <v>29</v>
      </c>
      <c r="B154" s="3231" t="s">
        <v>3078</v>
      </c>
      <c r="C154" s="3231">
        <v>11220</v>
      </c>
      <c r="D154" s="3231">
        <v>11160</v>
      </c>
      <c r="E154" s="3231">
        <v>14130</v>
      </c>
      <c r="F154" s="3231">
        <v>2230</v>
      </c>
      <c r="G154" s="3231">
        <v>7180</v>
      </c>
    </row>
    <row r="155" spans="1:7" s="3220" customFormat="1" ht="14.25" customHeight="1">
      <c r="A155" s="3231" t="s">
        <v>29</v>
      </c>
      <c r="B155" s="3231" t="s">
        <v>2964</v>
      </c>
      <c r="C155" s="3231">
        <v>10430</v>
      </c>
      <c r="D155" s="3231">
        <v>10380</v>
      </c>
      <c r="E155" s="3231">
        <v>13140</v>
      </c>
      <c r="F155" s="3231">
        <v>2080</v>
      </c>
      <c r="G155" s="3231">
        <v>6650</v>
      </c>
    </row>
    <row r="156" spans="1:7" s="3220" customFormat="1" ht="14.25" customHeight="1">
      <c r="A156" s="3231" t="s">
        <v>29</v>
      </c>
      <c r="B156" s="3231" t="s">
        <v>3079</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3080</v>
      </c>
      <c r="C160" s="3231">
        <v>11180</v>
      </c>
      <c r="D160" s="3231">
        <v>11140</v>
      </c>
      <c r="E160" s="3231">
        <v>14050</v>
      </c>
      <c r="F160" s="3231">
        <v>2270</v>
      </c>
      <c r="G160" s="3231">
        <v>7170</v>
      </c>
    </row>
    <row r="161" spans="1:7" s="3220" customFormat="1" ht="14.25" customHeight="1">
      <c r="A161" s="3231" t="s">
        <v>29</v>
      </c>
      <c r="B161" s="3231" t="s">
        <v>2996</v>
      </c>
      <c r="C161" s="3231">
        <v>11160</v>
      </c>
      <c r="D161" s="3231">
        <v>11120</v>
      </c>
      <c r="E161" s="3231">
        <v>14020</v>
      </c>
      <c r="F161" s="3231">
        <v>2150</v>
      </c>
      <c r="G161" s="3231">
        <v>7160</v>
      </c>
    </row>
    <row r="162" spans="1:7" s="3220" customFormat="1" ht="14.25" customHeight="1">
      <c r="A162" s="3231" t="s">
        <v>29</v>
      </c>
      <c r="B162" s="3231" t="s">
        <v>3001</v>
      </c>
      <c r="C162" s="3231">
        <v>9620</v>
      </c>
      <c r="D162" s="3231">
        <v>9570</v>
      </c>
      <c r="E162" s="3231">
        <v>12320</v>
      </c>
      <c r="F162" s="3231">
        <v>2010</v>
      </c>
      <c r="G162" s="3231">
        <v>6160</v>
      </c>
    </row>
    <row r="163" spans="1:7" s="3220" customFormat="1" ht="14.25" customHeight="1">
      <c r="A163" s="3231" t="s">
        <v>29</v>
      </c>
      <c r="B163" s="3231" t="s">
        <v>3006</v>
      </c>
      <c r="C163" s="3231">
        <v>9320</v>
      </c>
      <c r="D163" s="3231">
        <v>9270</v>
      </c>
      <c r="E163" s="3231">
        <v>11790</v>
      </c>
      <c r="F163" s="3231">
        <v>1920</v>
      </c>
      <c r="G163" s="3231">
        <v>5960</v>
      </c>
    </row>
    <row r="164" spans="1:7" s="3220" customFormat="1" ht="14.25" customHeight="1">
      <c r="A164" s="3231" t="s">
        <v>29</v>
      </c>
      <c r="B164" s="3231" t="s">
        <v>3011</v>
      </c>
      <c r="C164" s="3231"/>
      <c r="D164" s="3231"/>
      <c r="E164" s="3231"/>
      <c r="F164" s="3231">
        <v>1980</v>
      </c>
      <c r="G164" s="3231"/>
    </row>
    <row r="165" spans="1:7" s="3220" customFormat="1" ht="14.25" customHeight="1">
      <c r="A165" s="3231" t="s">
        <v>29</v>
      </c>
      <c r="B165" s="3231" t="s">
        <v>3081</v>
      </c>
      <c r="C165" s="3231">
        <v>11060</v>
      </c>
      <c r="D165" s="3231">
        <v>11030</v>
      </c>
      <c r="E165" s="3231">
        <v>13850</v>
      </c>
      <c r="F165" s="3231">
        <v>2170</v>
      </c>
      <c r="G165" s="3231">
        <v>7090</v>
      </c>
    </row>
    <row r="166" spans="1:7" s="3220" customFormat="1" ht="14.25" customHeight="1">
      <c r="A166" s="3231" t="s">
        <v>29</v>
      </c>
      <c r="B166" s="3231" t="s">
        <v>3021</v>
      </c>
      <c r="C166" s="3231">
        <v>11050</v>
      </c>
      <c r="D166" s="3231">
        <v>11010</v>
      </c>
      <c r="E166" s="3231">
        <v>13920</v>
      </c>
      <c r="F166" s="3231">
        <v>2140</v>
      </c>
      <c r="G166" s="3231">
        <v>7080</v>
      </c>
    </row>
    <row r="167" spans="1:7" s="3220" customFormat="1" ht="14.25" customHeight="1">
      <c r="A167" s="3231" t="s">
        <v>29</v>
      </c>
      <c r="B167" s="3231" t="s">
        <v>3025</v>
      </c>
      <c r="C167" s="3231">
        <v>10930</v>
      </c>
      <c r="D167" s="3231">
        <v>10890</v>
      </c>
      <c r="E167" s="3231">
        <v>13790</v>
      </c>
      <c r="F167" s="3231">
        <v>2010</v>
      </c>
      <c r="G167" s="3231">
        <v>7000</v>
      </c>
    </row>
    <row r="168" spans="1:7" s="3220" customFormat="1" ht="14.25" customHeight="1">
      <c r="A168" s="3231" t="s">
        <v>29</v>
      </c>
      <c r="B168" s="3231" t="s">
        <v>3030</v>
      </c>
      <c r="C168" s="3231">
        <v>9420</v>
      </c>
      <c r="D168" s="3231">
        <v>9380</v>
      </c>
      <c r="E168" s="3231">
        <v>11970</v>
      </c>
      <c r="F168" s="3231"/>
      <c r="G168" s="3231">
        <v>6040</v>
      </c>
    </row>
    <row r="169" spans="1:7" s="3220" customFormat="1" ht="14.25" customHeight="1">
      <c r="A169" s="3231" t="s">
        <v>29</v>
      </c>
      <c r="B169" s="3231" t="s">
        <v>3082</v>
      </c>
      <c r="C169" s="3231"/>
      <c r="D169" s="3231"/>
      <c r="E169" s="3231"/>
      <c r="F169" s="3231">
        <v>2880</v>
      </c>
      <c r="G169" s="3231"/>
    </row>
    <row r="170" spans="1:7" s="3220" customFormat="1" ht="14.25" customHeight="1">
      <c r="A170" s="3231" t="s">
        <v>29</v>
      </c>
      <c r="B170" s="3231" t="s">
        <v>3038</v>
      </c>
      <c r="C170" s="3231"/>
      <c r="D170" s="3231"/>
      <c r="E170" s="3231"/>
      <c r="F170" s="3231">
        <v>2880</v>
      </c>
      <c r="G170" s="3231"/>
    </row>
    <row r="171" spans="1:7" s="3220" customFormat="1" ht="14.25" customHeight="1">
      <c r="A171" s="3231" t="s">
        <v>29</v>
      </c>
      <c r="B171" s="3231" t="s">
        <v>3041</v>
      </c>
      <c r="C171" s="3231"/>
      <c r="D171" s="3231"/>
      <c r="E171" s="3231"/>
      <c r="F171" s="3231">
        <v>2880</v>
      </c>
      <c r="G171" s="3231"/>
    </row>
    <row r="172" spans="1:7" s="3220" customFormat="1" ht="14.25" customHeight="1">
      <c r="A172" s="3231" t="s">
        <v>29</v>
      </c>
      <c r="B172" s="3231" t="s">
        <v>3043</v>
      </c>
      <c r="C172" s="3231"/>
      <c r="D172" s="3231"/>
      <c r="E172" s="3231"/>
      <c r="F172" s="3231">
        <v>2880</v>
      </c>
      <c r="G172" s="3231"/>
    </row>
    <row r="173" spans="1:7" s="3220" customFormat="1" ht="14.25" customHeight="1">
      <c r="A173" s="3231" t="s">
        <v>29</v>
      </c>
      <c r="B173" s="3231" t="s">
        <v>3045</v>
      </c>
      <c r="C173" s="3231"/>
      <c r="D173" s="3231"/>
      <c r="E173" s="3231"/>
      <c r="F173" s="3231">
        <v>2150</v>
      </c>
      <c r="G173" s="3231"/>
    </row>
    <row r="174" spans="1:7" s="3220" customFormat="1" ht="14.25" customHeight="1">
      <c r="A174" s="3231" t="s">
        <v>29</v>
      </c>
      <c r="B174" s="3231" t="s">
        <v>3047</v>
      </c>
      <c r="C174" s="3231"/>
      <c r="D174" s="3231"/>
      <c r="E174" s="3231"/>
      <c r="F174" s="3231">
        <v>2030</v>
      </c>
      <c r="G174" s="3231"/>
    </row>
    <row r="175" spans="1:7" s="3220" customFormat="1" ht="14.25" customHeight="1">
      <c r="A175" s="3231" t="s">
        <v>29</v>
      </c>
      <c r="B175" s="3231" t="s">
        <v>3049</v>
      </c>
      <c r="C175" s="3231"/>
      <c r="D175" s="3231"/>
      <c r="E175" s="3231"/>
      <c r="F175" s="3231">
        <v>2780</v>
      </c>
      <c r="G175" s="3231"/>
    </row>
    <row r="176" spans="1:7" s="3220" customFormat="1" ht="14.25" customHeight="1">
      <c r="A176" s="3231" t="s">
        <v>29</v>
      </c>
      <c r="B176" s="3231" t="s">
        <v>3051</v>
      </c>
      <c r="C176" s="3231"/>
      <c r="D176" s="3231"/>
      <c r="E176" s="3231"/>
      <c r="F176" s="3231">
        <v>2780</v>
      </c>
      <c r="G176" s="3231"/>
    </row>
    <row r="177" spans="1:7" s="3220" customFormat="1" ht="14.25" customHeight="1">
      <c r="A177" s="3231" t="s">
        <v>29</v>
      </c>
      <c r="B177" s="3231" t="s">
        <v>3083</v>
      </c>
      <c r="C177" s="3231"/>
      <c r="D177" s="3231"/>
      <c r="E177" s="3231"/>
      <c r="F177" s="3231">
        <v>2780</v>
      </c>
      <c r="G177" s="3231"/>
    </row>
    <row r="178" spans="1:7" s="3220" customFormat="1" ht="14.25" customHeight="1">
      <c r="A178" s="3231" t="s">
        <v>29</v>
      </c>
      <c r="B178" s="3231" t="s">
        <v>3084</v>
      </c>
      <c r="C178" s="3231"/>
      <c r="D178" s="3231"/>
      <c r="E178" s="3231"/>
      <c r="F178" s="3231">
        <v>2060</v>
      </c>
      <c r="G178" s="3231"/>
    </row>
    <row r="179" spans="1:7" s="3220" customFormat="1" ht="14.25" customHeight="1">
      <c r="A179" s="3231" t="s">
        <v>29</v>
      </c>
      <c r="B179" s="3231" t="s">
        <v>3085</v>
      </c>
      <c r="C179" s="3231"/>
      <c r="D179" s="3231"/>
      <c r="E179" s="3231"/>
      <c r="F179" s="3231">
        <v>2120</v>
      </c>
      <c r="G179" s="3231"/>
    </row>
    <row r="180" spans="1:7" s="3220" customFormat="1" ht="14.25" customHeight="1">
      <c r="A180" s="3231" t="s">
        <v>29</v>
      </c>
      <c r="B180" s="3231" t="s">
        <v>3057</v>
      </c>
      <c r="C180" s="3231"/>
      <c r="D180" s="3231"/>
      <c r="E180" s="3231"/>
      <c r="F180" s="3231">
        <v>2340</v>
      </c>
      <c r="G180" s="3231"/>
    </row>
    <row r="181" spans="1:7" s="3220" customFormat="1" ht="14.25" customHeight="1">
      <c r="A181" s="3231" t="s">
        <v>29</v>
      </c>
      <c r="B181" s="3231" t="s">
        <v>3058</v>
      </c>
      <c r="C181" s="3231"/>
      <c r="D181" s="3231"/>
      <c r="E181" s="3231"/>
      <c r="F181" s="3231">
        <v>2340</v>
      </c>
      <c r="G181" s="3231"/>
    </row>
    <row r="182" spans="1:7" s="3220" customFormat="1" ht="14.25" customHeight="1">
      <c r="A182" s="3231" t="s">
        <v>29</v>
      </c>
      <c r="B182" s="3231" t="s">
        <v>3059</v>
      </c>
      <c r="C182" s="3231"/>
      <c r="D182" s="3231"/>
      <c r="E182" s="3231"/>
      <c r="F182" s="3231">
        <v>2340</v>
      </c>
      <c r="G182" s="3231"/>
    </row>
    <row r="183" spans="1:7" s="3220" customFormat="1" ht="14.25" customHeight="1">
      <c r="A183" s="3231" t="s">
        <v>29</v>
      </c>
      <c r="B183" s="3231" t="s">
        <v>3060</v>
      </c>
      <c r="C183" s="3231"/>
      <c r="D183" s="3231"/>
      <c r="E183" s="3231"/>
      <c r="F183" s="3231">
        <v>2340</v>
      </c>
      <c r="G183" s="3231"/>
    </row>
    <row r="184" spans="1:7" s="3220" customFormat="1" ht="14.25" customHeight="1">
      <c r="A184" s="3231" t="s">
        <v>29</v>
      </c>
      <c r="B184" s="3231" t="s">
        <v>3061</v>
      </c>
      <c r="C184" s="3231"/>
      <c r="D184" s="3231"/>
      <c r="E184" s="3231"/>
      <c r="F184" s="3231">
        <v>2340</v>
      </c>
      <c r="G184" s="3231"/>
    </row>
    <row r="185" spans="1:7" s="3220" customFormat="1" ht="14.25" customHeight="1">
      <c r="A185" s="3231" t="s">
        <v>29</v>
      </c>
      <c r="B185" s="3231" t="s">
        <v>3062</v>
      </c>
      <c r="C185" s="3231"/>
      <c r="D185" s="3231"/>
      <c r="E185" s="3231"/>
      <c r="F185" s="3231">
        <v>2530</v>
      </c>
      <c r="G185" s="3231"/>
    </row>
    <row r="186" spans="1:7" s="3220" customFormat="1" ht="14.25" customHeight="1">
      <c r="A186" s="3231" t="s">
        <v>29</v>
      </c>
      <c r="B186" s="3231" t="s">
        <v>3063</v>
      </c>
      <c r="C186" s="3231"/>
      <c r="D186" s="3231"/>
      <c r="E186" s="3231"/>
      <c r="F186" s="3231">
        <v>2550</v>
      </c>
      <c r="G186" s="3231"/>
    </row>
    <row r="187" spans="1:7" s="3220" customFormat="1" ht="14.25" customHeight="1">
      <c r="A187" s="3231" t="s">
        <v>29</v>
      </c>
      <c r="B187" s="3231" t="s">
        <v>3064</v>
      </c>
      <c r="C187" s="3231"/>
      <c r="D187" s="3231"/>
      <c r="E187" s="3231"/>
      <c r="F187" s="3231">
        <v>2070</v>
      </c>
      <c r="G187" s="3231"/>
    </row>
    <row r="188" spans="1:7" s="3220" customFormat="1" ht="14.25" customHeight="1">
      <c r="A188" s="3231" t="s">
        <v>29</v>
      </c>
      <c r="B188" s="3231" t="s">
        <v>3065</v>
      </c>
      <c r="C188" s="3231"/>
      <c r="D188" s="3231"/>
      <c r="E188" s="3231"/>
      <c r="F188" s="3231">
        <v>2340</v>
      </c>
      <c r="G188" s="3231"/>
    </row>
    <row r="189" spans="1:7" s="3220" customFormat="1" ht="14.25" customHeight="1" thickBot="1">
      <c r="A189" s="3239" t="s">
        <v>29</v>
      </c>
      <c r="B189" s="3242" t="s">
        <v>3066</v>
      </c>
      <c r="C189" s="3242"/>
      <c r="D189" s="3242"/>
      <c r="E189" s="3242"/>
      <c r="F189" s="3242">
        <v>2050</v>
      </c>
      <c r="G189" s="3242"/>
    </row>
    <row r="190" spans="1:7" s="3220" customFormat="1" ht="14.25" customHeight="1">
      <c r="A190" s="3236" t="s">
        <v>304</v>
      </c>
      <c r="B190" s="3227" t="s">
        <v>3086</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3087</v>
      </c>
      <c r="C199" s="3231">
        <v>8690</v>
      </c>
      <c r="D199" s="3231">
        <v>8630</v>
      </c>
      <c r="E199" s="3231">
        <v>11350</v>
      </c>
      <c r="F199" s="3231">
        <v>1600</v>
      </c>
      <c r="G199" s="3244">
        <v>5450</v>
      </c>
    </row>
    <row r="200" spans="1:7" s="3220" customFormat="1" ht="14.25" customHeight="1">
      <c r="A200" s="3231" t="s">
        <v>304</v>
      </c>
      <c r="B200" s="3231" t="s">
        <v>2898</v>
      </c>
      <c r="C200" s="3231"/>
      <c r="D200" s="3231"/>
      <c r="E200" s="3231"/>
      <c r="F200" s="3231">
        <v>1510</v>
      </c>
      <c r="G200" s="3244"/>
    </row>
    <row r="201" spans="1:7" s="3220" customFormat="1" ht="14.25" customHeight="1">
      <c r="A201" s="3231" t="s">
        <v>304</v>
      </c>
      <c r="B201" s="3231" t="s">
        <v>3088</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3089</v>
      </c>
      <c r="C203" s="3231">
        <v>8130</v>
      </c>
      <c r="D203" s="3231">
        <v>8070</v>
      </c>
      <c r="E203" s="3231">
        <v>10820</v>
      </c>
      <c r="F203" s="3231">
        <v>1690</v>
      </c>
      <c r="G203" s="3244">
        <v>5100</v>
      </c>
    </row>
    <row r="204" spans="1:7" s="3220" customFormat="1" ht="14.25" customHeight="1">
      <c r="A204" s="3231" t="s">
        <v>304</v>
      </c>
      <c r="B204" s="3231" t="s">
        <v>2909</v>
      </c>
      <c r="C204" s="3231">
        <v>8350</v>
      </c>
      <c r="D204" s="3231">
        <v>8290</v>
      </c>
      <c r="E204" s="3231">
        <v>11080</v>
      </c>
      <c r="F204" s="3231">
        <v>1450</v>
      </c>
      <c r="G204" s="3244">
        <v>5240</v>
      </c>
    </row>
    <row r="205" spans="1:7" s="3220" customFormat="1" ht="14.25" customHeight="1">
      <c r="A205" s="3231" t="s">
        <v>304</v>
      </c>
      <c r="B205" s="3231" t="s">
        <v>2911</v>
      </c>
      <c r="C205" s="3231">
        <v>7190</v>
      </c>
      <c r="D205" s="3231">
        <v>7130</v>
      </c>
      <c r="E205" s="3231">
        <v>9490</v>
      </c>
      <c r="F205" s="3231">
        <v>1470</v>
      </c>
      <c r="G205" s="3244">
        <v>4510</v>
      </c>
    </row>
    <row r="206" spans="1:7" s="3220" customFormat="1" ht="14.25" customHeight="1">
      <c r="A206" s="3231" t="s">
        <v>304</v>
      </c>
      <c r="B206" s="3231" t="s">
        <v>2914</v>
      </c>
      <c r="C206" s="3231">
        <v>7000</v>
      </c>
      <c r="D206" s="3231">
        <v>6950</v>
      </c>
      <c r="E206" s="3231">
        <v>9170</v>
      </c>
      <c r="F206" s="3231">
        <v>1400</v>
      </c>
      <c r="G206" s="3244">
        <v>4380</v>
      </c>
    </row>
    <row r="207" spans="1:7" s="3220" customFormat="1" ht="14.25" customHeight="1">
      <c r="A207" s="3231" t="s">
        <v>304</v>
      </c>
      <c r="B207" s="3231" t="s">
        <v>2916</v>
      </c>
      <c r="C207" s="3231">
        <v>6950</v>
      </c>
      <c r="D207" s="3231">
        <v>6900</v>
      </c>
      <c r="E207" s="3231">
        <v>9110</v>
      </c>
      <c r="F207" s="3231">
        <v>1790</v>
      </c>
      <c r="G207" s="3244">
        <v>4360</v>
      </c>
    </row>
    <row r="208" spans="1:7" s="3220" customFormat="1" ht="14.25" customHeight="1">
      <c r="A208" s="3231" t="s">
        <v>304</v>
      </c>
      <c r="B208" s="3231" t="s">
        <v>3090</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2926</v>
      </c>
      <c r="C210" s="3231">
        <v>8710</v>
      </c>
      <c r="D210" s="3231">
        <v>8660</v>
      </c>
      <c r="E210" s="3231">
        <v>11440</v>
      </c>
      <c r="F210" s="3231">
        <v>1740</v>
      </c>
      <c r="G210" s="3244">
        <v>5470</v>
      </c>
    </row>
    <row r="211" spans="1:7" s="3220" customFormat="1" ht="14.25" customHeight="1">
      <c r="A211" s="3231" t="s">
        <v>304</v>
      </c>
      <c r="B211" s="3231" t="s">
        <v>3091</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3092</v>
      </c>
      <c r="C214" s="3231">
        <v>8090</v>
      </c>
      <c r="D214" s="3231">
        <v>8030</v>
      </c>
      <c r="E214" s="3231">
        <v>10780</v>
      </c>
      <c r="F214" s="3231">
        <v>1570</v>
      </c>
      <c r="G214" s="3244">
        <v>5070</v>
      </c>
    </row>
    <row r="215" spans="1:7" s="3220" customFormat="1" ht="14.25" customHeight="1">
      <c r="A215" s="3231" t="s">
        <v>304</v>
      </c>
      <c r="B215" s="3231" t="s">
        <v>3093</v>
      </c>
      <c r="C215" s="3231">
        <v>7950</v>
      </c>
      <c r="D215" s="3231">
        <v>7900</v>
      </c>
      <c r="E215" s="3231">
        <v>10560</v>
      </c>
      <c r="F215" s="3231">
        <v>1630</v>
      </c>
      <c r="G215" s="3244">
        <v>4990</v>
      </c>
    </row>
    <row r="216" spans="1:7" s="3220" customFormat="1" ht="14.25" customHeight="1">
      <c r="A216" s="3231" t="s">
        <v>304</v>
      </c>
      <c r="B216" s="3231" t="s">
        <v>3094</v>
      </c>
      <c r="C216" s="3231">
        <v>8490</v>
      </c>
      <c r="D216" s="3231">
        <v>8440</v>
      </c>
      <c r="E216" s="3231">
        <v>11260</v>
      </c>
      <c r="F216" s="3231">
        <v>1690</v>
      </c>
      <c r="G216" s="3244">
        <v>5330</v>
      </c>
    </row>
    <row r="217" spans="1:7" s="3220" customFormat="1" ht="14.25" customHeight="1">
      <c r="A217" s="3231" t="s">
        <v>304</v>
      </c>
      <c r="B217" s="3231" t="s">
        <v>2959</v>
      </c>
      <c r="C217" s="3231">
        <v>8200</v>
      </c>
      <c r="D217" s="3231">
        <v>8150</v>
      </c>
      <c r="E217" s="3231">
        <v>10910</v>
      </c>
      <c r="F217" s="3231">
        <v>1670</v>
      </c>
      <c r="G217" s="3244">
        <v>5150</v>
      </c>
    </row>
    <row r="218" spans="1:7" s="3220" customFormat="1" ht="14.25" customHeight="1">
      <c r="A218" s="3231" t="s">
        <v>304</v>
      </c>
      <c r="B218" s="3231" t="s">
        <v>3095</v>
      </c>
      <c r="C218" s="3231"/>
      <c r="D218" s="3231"/>
      <c r="E218" s="3231"/>
      <c r="F218" s="3231">
        <v>2040</v>
      </c>
      <c r="G218" s="3244"/>
    </row>
    <row r="219" spans="1:7" s="3220" customFormat="1" ht="14.25" customHeight="1">
      <c r="A219" s="3231" t="s">
        <v>304</v>
      </c>
      <c r="B219" s="3231" t="s">
        <v>3096</v>
      </c>
      <c r="C219" s="3231"/>
      <c r="D219" s="3231"/>
      <c r="E219" s="3231"/>
      <c r="F219" s="3231">
        <v>2040</v>
      </c>
      <c r="G219" s="3244"/>
    </row>
    <row r="220" spans="1:7" s="3220" customFormat="1" ht="14.25" customHeight="1">
      <c r="A220" s="3231" t="s">
        <v>304</v>
      </c>
      <c r="B220" s="3231" t="s">
        <v>3097</v>
      </c>
      <c r="C220" s="3231"/>
      <c r="D220" s="3231"/>
      <c r="E220" s="3231"/>
      <c r="F220" s="3231">
        <v>2040</v>
      </c>
      <c r="G220" s="3244"/>
    </row>
    <row r="221" spans="1:7" s="3220" customFormat="1" ht="14.25" customHeight="1">
      <c r="A221" s="3231" t="s">
        <v>304</v>
      </c>
      <c r="B221" s="3231" t="s">
        <v>3098</v>
      </c>
      <c r="C221" s="3231"/>
      <c r="D221" s="3231"/>
      <c r="E221" s="3231"/>
      <c r="F221" s="3231">
        <v>2040</v>
      </c>
      <c r="G221" s="3244"/>
    </row>
    <row r="222" spans="1:7" s="3220" customFormat="1" ht="14.25" customHeight="1">
      <c r="A222" s="3231" t="s">
        <v>304</v>
      </c>
      <c r="B222" s="3231" t="s">
        <v>3099</v>
      </c>
      <c r="C222" s="3231"/>
      <c r="D222" s="3231"/>
      <c r="E222" s="3231"/>
      <c r="F222" s="3231">
        <v>2040</v>
      </c>
      <c r="G222" s="3244"/>
    </row>
    <row r="223" spans="1:7" s="3220" customFormat="1" ht="14.25" customHeight="1">
      <c r="A223" s="3231" t="s">
        <v>304</v>
      </c>
      <c r="B223" s="3231" t="s">
        <v>3100</v>
      </c>
      <c r="C223" s="3231"/>
      <c r="D223" s="3231"/>
      <c r="E223" s="3231"/>
      <c r="F223" s="3231">
        <v>1930</v>
      </c>
      <c r="G223" s="3244"/>
    </row>
    <row r="224" spans="1:7" s="3220" customFormat="1" ht="14.25" customHeight="1">
      <c r="A224" s="3231" t="s">
        <v>304</v>
      </c>
      <c r="B224" s="3231" t="s">
        <v>3101</v>
      </c>
      <c r="C224" s="3231"/>
      <c r="D224" s="3231"/>
      <c r="E224" s="3231"/>
      <c r="F224" s="3231">
        <v>1930</v>
      </c>
      <c r="G224" s="3244"/>
    </row>
    <row r="225" spans="1:7" s="3220" customFormat="1" ht="14.25" customHeight="1">
      <c r="A225" s="3231" t="s">
        <v>304</v>
      </c>
      <c r="B225" s="3231" t="s">
        <v>3102</v>
      </c>
      <c r="C225" s="3231"/>
      <c r="D225" s="3231"/>
      <c r="E225" s="3231"/>
      <c r="F225" s="3231">
        <v>1930</v>
      </c>
      <c r="G225" s="3244"/>
    </row>
    <row r="226" spans="1:7" s="3220" customFormat="1" ht="14.25" customHeight="1">
      <c r="A226" s="3231" t="s">
        <v>304</v>
      </c>
      <c r="B226" s="3231" t="s">
        <v>3103</v>
      </c>
      <c r="C226" s="3231"/>
      <c r="D226" s="3231"/>
      <c r="E226" s="3231"/>
      <c r="F226" s="3231">
        <v>1700</v>
      </c>
      <c r="G226" s="3244"/>
    </row>
    <row r="227" spans="1:7" s="3220" customFormat="1" ht="14.25" customHeight="1">
      <c r="A227" s="3231" t="s">
        <v>304</v>
      </c>
      <c r="B227" s="3231" t="s">
        <v>3104</v>
      </c>
      <c r="C227" s="3231"/>
      <c r="D227" s="3231"/>
      <c r="E227" s="3231"/>
      <c r="F227" s="3231">
        <v>1520</v>
      </c>
      <c r="G227" s="3244"/>
    </row>
    <row r="228" spans="1:7" s="3220" customFormat="1" ht="14.25" customHeight="1">
      <c r="A228" s="3231" t="s">
        <v>304</v>
      </c>
      <c r="B228" s="3231" t="s">
        <v>3105</v>
      </c>
      <c r="C228" s="3231"/>
      <c r="D228" s="3231"/>
      <c r="E228" s="3231"/>
      <c r="F228" s="3231">
        <v>1520</v>
      </c>
      <c r="G228" s="3244"/>
    </row>
    <row r="229" spans="1:7" s="3220" customFormat="1" ht="14.25" customHeight="1">
      <c r="A229" s="3231" t="s">
        <v>304</v>
      </c>
      <c r="B229" s="3231" t="s">
        <v>3022</v>
      </c>
      <c r="C229" s="3231"/>
      <c r="D229" s="3231"/>
      <c r="E229" s="3231"/>
      <c r="F229" s="3231">
        <v>1520</v>
      </c>
      <c r="G229" s="3244"/>
    </row>
    <row r="230" spans="1:7" s="3220" customFormat="1" ht="14.25" customHeight="1">
      <c r="A230" s="3231" t="s">
        <v>304</v>
      </c>
      <c r="B230" s="3231" t="s">
        <v>3106</v>
      </c>
      <c r="C230" s="3231"/>
      <c r="D230" s="3231"/>
      <c r="E230" s="3231"/>
      <c r="F230" s="3231">
        <v>1820</v>
      </c>
      <c r="G230" s="3244"/>
    </row>
    <row r="231" spans="1:7" s="3220" customFormat="1" ht="14.25" customHeight="1">
      <c r="A231" s="3231" t="s">
        <v>304</v>
      </c>
      <c r="B231" s="3231" t="s">
        <v>3107</v>
      </c>
      <c r="C231" s="3231"/>
      <c r="D231" s="3231"/>
      <c r="E231" s="3231"/>
      <c r="F231" s="3231">
        <v>1760</v>
      </c>
      <c r="G231" s="3244"/>
    </row>
    <row r="232" spans="1:7" s="3220" customFormat="1" ht="14.25" customHeight="1">
      <c r="A232" s="3231" t="s">
        <v>304</v>
      </c>
      <c r="B232" s="3231" t="s">
        <v>3108</v>
      </c>
      <c r="C232" s="3231"/>
      <c r="D232" s="3231"/>
      <c r="E232" s="3231"/>
      <c r="F232" s="3231">
        <v>1840</v>
      </c>
      <c r="G232" s="3244"/>
    </row>
    <row r="233" spans="1:7" s="3220" customFormat="1" ht="14.25" customHeight="1" thickBot="1">
      <c r="A233" s="3245" t="s">
        <v>304</v>
      </c>
      <c r="B233" s="3238" t="s">
        <v>3039</v>
      </c>
      <c r="C233" s="3238"/>
      <c r="D233" s="3238"/>
      <c r="E233" s="3238"/>
      <c r="F233" s="3238">
        <v>1770</v>
      </c>
      <c r="G233" s="3246"/>
    </row>
    <row r="234" spans="1:7" s="3220" customFormat="1" ht="14.25" customHeight="1">
      <c r="A234" s="3236" t="s">
        <v>305</v>
      </c>
      <c r="B234" s="3227" t="s">
        <v>3109</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2880</v>
      </c>
      <c r="C238" s="3231">
        <v>6920</v>
      </c>
      <c r="D238" s="3231">
        <v>6890</v>
      </c>
      <c r="E238" s="3231">
        <v>8640</v>
      </c>
      <c r="F238" s="3231">
        <v>1310</v>
      </c>
      <c r="G238" s="3231">
        <v>4230</v>
      </c>
    </row>
    <row r="239" spans="1:7" s="3220" customFormat="1" ht="14.25" customHeight="1">
      <c r="A239" s="3231" t="s">
        <v>305</v>
      </c>
      <c r="B239" s="3231" t="s">
        <v>3110</v>
      </c>
      <c r="C239" s="3231">
        <v>6780</v>
      </c>
      <c r="D239" s="3231">
        <v>6750</v>
      </c>
      <c r="E239" s="3231">
        <v>8440</v>
      </c>
      <c r="F239" s="3231">
        <v>1160</v>
      </c>
      <c r="G239" s="3231">
        <v>4140</v>
      </c>
    </row>
    <row r="240" spans="1:7" s="3220" customFormat="1" ht="14.25" customHeight="1">
      <c r="A240" s="3231" t="s">
        <v>305</v>
      </c>
      <c r="B240" s="3231" t="s">
        <v>3111</v>
      </c>
      <c r="C240" s="3231">
        <v>5420</v>
      </c>
      <c r="D240" s="3231">
        <v>5380</v>
      </c>
      <c r="E240" s="3231">
        <v>6640</v>
      </c>
      <c r="F240" s="3231">
        <v>1020</v>
      </c>
      <c r="G240" s="3231">
        <v>3300</v>
      </c>
    </row>
    <row r="241" spans="1:7" s="3220" customFormat="1" ht="14.25" customHeight="1">
      <c r="A241" s="3231" t="s">
        <v>305</v>
      </c>
      <c r="B241" s="3231" t="s">
        <v>3112</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3113</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3114</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3115</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3116</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3117</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2942</v>
      </c>
      <c r="C258" s="3231">
        <v>6190</v>
      </c>
      <c r="D258" s="3231">
        <v>6160</v>
      </c>
      <c r="E258" s="3231">
        <v>7680</v>
      </c>
      <c r="F258" s="3231">
        <v>1170</v>
      </c>
      <c r="G258" s="3231">
        <v>3780</v>
      </c>
    </row>
    <row r="259" spans="1:7" s="3220" customFormat="1" ht="14.25" customHeight="1">
      <c r="A259" s="3231" t="s">
        <v>305</v>
      </c>
      <c r="B259" s="3231" t="s">
        <v>3118</v>
      </c>
      <c r="C259" s="3231">
        <v>7610</v>
      </c>
      <c r="D259" s="3231">
        <v>7570</v>
      </c>
      <c r="E259" s="3231">
        <v>9350</v>
      </c>
      <c r="F259" s="3231">
        <v>1350</v>
      </c>
      <c r="G259" s="3231">
        <v>4650</v>
      </c>
    </row>
    <row r="260" spans="1:7" s="3220" customFormat="1" ht="14.25" customHeight="1">
      <c r="A260" s="3231" t="s">
        <v>305</v>
      </c>
      <c r="B260" s="3231" t="s">
        <v>3119</v>
      </c>
      <c r="C260" s="3231">
        <v>6920</v>
      </c>
      <c r="D260" s="3231">
        <v>6880</v>
      </c>
      <c r="E260" s="3231">
        <v>8380</v>
      </c>
      <c r="F260" s="3231">
        <v>1160</v>
      </c>
      <c r="G260" s="3231">
        <v>4220</v>
      </c>
    </row>
    <row r="261" spans="1:7" s="3220" customFormat="1" ht="14.25" customHeight="1">
      <c r="A261" s="3231" t="s">
        <v>305</v>
      </c>
      <c r="B261" s="3231" t="s">
        <v>3120</v>
      </c>
      <c r="C261" s="3231">
        <v>6850</v>
      </c>
      <c r="D261" s="3231">
        <v>6810</v>
      </c>
      <c r="E261" s="3231">
        <v>8290</v>
      </c>
      <c r="F261" s="3231">
        <v>1130</v>
      </c>
      <c r="G261" s="3231">
        <v>4180</v>
      </c>
    </row>
    <row r="262" spans="1:7" s="3220" customFormat="1" ht="14.25" customHeight="1">
      <c r="A262" s="3231" t="s">
        <v>305</v>
      </c>
      <c r="B262" s="3231" t="s">
        <v>3121</v>
      </c>
      <c r="C262" s="3231">
        <v>5860</v>
      </c>
      <c r="D262" s="3231">
        <v>5820</v>
      </c>
      <c r="E262" s="3231">
        <v>7640</v>
      </c>
      <c r="F262" s="3231">
        <v>1070</v>
      </c>
      <c r="G262" s="3231">
        <v>3570</v>
      </c>
    </row>
    <row r="263" spans="1:7" s="3220" customFormat="1" ht="14.25" customHeight="1">
      <c r="A263" s="3231" t="s">
        <v>305</v>
      </c>
      <c r="B263" s="3231" t="s">
        <v>3122</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3123</v>
      </c>
      <c r="C265" s="3231"/>
      <c r="D265" s="3231"/>
      <c r="E265" s="3231"/>
      <c r="F265" s="3231">
        <v>1500</v>
      </c>
      <c r="G265" s="3231"/>
    </row>
    <row r="266" spans="1:7" s="3220" customFormat="1" ht="14.25" customHeight="1">
      <c r="A266" s="3231" t="s">
        <v>305</v>
      </c>
      <c r="B266" s="3231" t="s">
        <v>3124</v>
      </c>
      <c r="C266" s="3231"/>
      <c r="D266" s="3231"/>
      <c r="E266" s="3231"/>
      <c r="F266" s="3231">
        <v>1500</v>
      </c>
      <c r="G266" s="3231"/>
    </row>
    <row r="267" spans="1:7" s="3220" customFormat="1" ht="14.25" customHeight="1">
      <c r="A267" s="3231" t="s">
        <v>305</v>
      </c>
      <c r="B267" s="3231" t="s">
        <v>3125</v>
      </c>
      <c r="C267" s="3231"/>
      <c r="D267" s="3231"/>
      <c r="E267" s="3231"/>
      <c r="F267" s="3231">
        <v>1500</v>
      </c>
      <c r="G267" s="3231"/>
    </row>
    <row r="268" spans="1:7" s="3220" customFormat="1" ht="14.25" customHeight="1">
      <c r="A268" s="3231" t="s">
        <v>305</v>
      </c>
      <c r="B268" s="3231" t="s">
        <v>3126</v>
      </c>
      <c r="C268" s="3231"/>
      <c r="D268" s="3231"/>
      <c r="E268" s="3231"/>
      <c r="F268" s="3231">
        <v>1290</v>
      </c>
      <c r="G268" s="3231"/>
    </row>
    <row r="269" spans="1:7" s="3220" customFormat="1" ht="14.25" customHeight="1">
      <c r="A269" s="3231" t="s">
        <v>305</v>
      </c>
      <c r="B269" s="3231" t="s">
        <v>3127</v>
      </c>
      <c r="C269" s="3231"/>
      <c r="D269" s="3231"/>
      <c r="E269" s="3231"/>
      <c r="F269" s="3231">
        <v>1150</v>
      </c>
      <c r="G269" s="3231"/>
    </row>
    <row r="270" spans="1:7" s="3220" customFormat="1" ht="14.25" customHeight="1">
      <c r="A270" s="3231" t="s">
        <v>305</v>
      </c>
      <c r="B270" s="3231" t="s">
        <v>3128</v>
      </c>
      <c r="C270" s="3231"/>
      <c r="D270" s="3231"/>
      <c r="E270" s="3231"/>
      <c r="F270" s="3231">
        <v>1380</v>
      </c>
      <c r="G270" s="3231"/>
    </row>
    <row r="271" spans="1:7" s="3220" customFormat="1" ht="14.25" customHeight="1">
      <c r="A271" s="3231" t="s">
        <v>305</v>
      </c>
      <c r="B271" s="3231" t="s">
        <v>3129</v>
      </c>
      <c r="C271" s="3231"/>
      <c r="D271" s="3231"/>
      <c r="E271" s="3231"/>
      <c r="F271" s="3231">
        <v>1460</v>
      </c>
      <c r="G271" s="3231"/>
    </row>
    <row r="272" spans="1:7" s="3220" customFormat="1" ht="14.25" customHeight="1">
      <c r="A272" s="3231" t="s">
        <v>305</v>
      </c>
      <c r="B272" s="3231" t="s">
        <v>3130</v>
      </c>
      <c r="C272" s="3231"/>
      <c r="D272" s="3231"/>
      <c r="E272" s="3231"/>
      <c r="F272" s="3231">
        <v>1460</v>
      </c>
      <c r="G272" s="3231"/>
    </row>
    <row r="273" spans="1:7" s="3220" customFormat="1" ht="14.25" customHeight="1">
      <c r="A273" s="3231" t="s">
        <v>305</v>
      </c>
      <c r="B273" s="3231" t="s">
        <v>3023</v>
      </c>
      <c r="C273" s="3231"/>
      <c r="D273" s="3231"/>
      <c r="E273" s="3231"/>
      <c r="F273" s="3231">
        <v>1490</v>
      </c>
      <c r="G273" s="3231"/>
    </row>
    <row r="274" spans="1:7" s="3220" customFormat="1" ht="14.25" customHeight="1">
      <c r="A274" s="3231" t="s">
        <v>305</v>
      </c>
      <c r="B274" s="3231" t="s">
        <v>3131</v>
      </c>
      <c r="C274" s="3231"/>
      <c r="D274" s="3231"/>
      <c r="E274" s="3231"/>
      <c r="F274" s="3231">
        <v>1490</v>
      </c>
      <c r="G274" s="3231"/>
    </row>
    <row r="275" spans="1:7" s="3220" customFormat="1" ht="14.25" customHeight="1">
      <c r="A275" s="3231" t="s">
        <v>305</v>
      </c>
      <c r="B275" s="3231" t="s">
        <v>3132</v>
      </c>
      <c r="C275" s="3231"/>
      <c r="D275" s="3231"/>
      <c r="E275" s="3231"/>
      <c r="F275" s="3231">
        <v>1220</v>
      </c>
      <c r="G275" s="3231"/>
    </row>
    <row r="276" spans="1:7" s="3220" customFormat="1" ht="14.25" customHeight="1" thickBot="1">
      <c r="A276" s="3239" t="s">
        <v>305</v>
      </c>
      <c r="B276" s="3241" t="s">
        <v>3133</v>
      </c>
      <c r="C276" s="3242"/>
      <c r="D276" s="3242"/>
      <c r="E276" s="3242"/>
      <c r="F276" s="3242">
        <v>1380</v>
      </c>
      <c r="G276" s="3242"/>
    </row>
    <row r="277" spans="1:7" s="3220" customFormat="1" ht="14.25" customHeight="1">
      <c r="A277" s="3236" t="s">
        <v>306</v>
      </c>
      <c r="B277" s="3227" t="s">
        <v>3134</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3135</v>
      </c>
      <c r="C279" s="3231">
        <v>4760</v>
      </c>
      <c r="D279" s="3231">
        <v>4720</v>
      </c>
      <c r="E279" s="3231">
        <v>5540</v>
      </c>
      <c r="F279" s="3231">
        <v>810</v>
      </c>
      <c r="G279" s="3244">
        <v>2850</v>
      </c>
    </row>
    <row r="280" spans="1:7" s="3220" customFormat="1" ht="14.25" customHeight="1">
      <c r="A280" s="3231" t="s">
        <v>306</v>
      </c>
      <c r="B280" s="3231" t="s">
        <v>3136</v>
      </c>
      <c r="C280" s="3231">
        <v>4010</v>
      </c>
      <c r="D280" s="3231">
        <v>3950</v>
      </c>
      <c r="E280" s="3231">
        <v>4710</v>
      </c>
      <c r="F280" s="3231">
        <v>800</v>
      </c>
      <c r="G280" s="3244">
        <v>2390</v>
      </c>
    </row>
    <row r="281" spans="1:7" s="3220" customFormat="1" ht="14.25" customHeight="1">
      <c r="A281" s="3231" t="s">
        <v>306</v>
      </c>
      <c r="B281" s="3231" t="s">
        <v>3137</v>
      </c>
      <c r="C281" s="3231">
        <v>4480</v>
      </c>
      <c r="D281" s="3231">
        <v>4420</v>
      </c>
      <c r="E281" s="3231">
        <v>5230</v>
      </c>
      <c r="F281" s="3231">
        <v>870</v>
      </c>
      <c r="G281" s="3244">
        <v>2660</v>
      </c>
    </row>
    <row r="282" spans="1:7" s="3220" customFormat="1" ht="14.25" customHeight="1">
      <c r="A282" s="3231" t="s">
        <v>306</v>
      </c>
      <c r="B282" s="3231" t="s">
        <v>3138</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3139</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3140</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2915</v>
      </c>
      <c r="C293" s="3231">
        <v>5320</v>
      </c>
      <c r="D293" s="3231">
        <v>5270</v>
      </c>
      <c r="E293" s="3231">
        <v>6160</v>
      </c>
      <c r="F293" s="3231">
        <v>990</v>
      </c>
      <c r="G293" s="3244">
        <v>3170</v>
      </c>
    </row>
    <row r="294" spans="1:7" s="3220" customFormat="1" ht="14.25" customHeight="1">
      <c r="A294" s="3231" t="s">
        <v>306</v>
      </c>
      <c r="B294" s="3231" t="s">
        <v>3141</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2934</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3142</v>
      </c>
      <c r="C302" s="3231">
        <v>5520</v>
      </c>
      <c r="D302" s="3231">
        <v>5470</v>
      </c>
      <c r="E302" s="3231">
        <v>6410</v>
      </c>
      <c r="F302" s="3231">
        <v>950</v>
      </c>
      <c r="G302" s="3244">
        <v>3300</v>
      </c>
    </row>
    <row r="303" spans="1:7" s="3220" customFormat="1" ht="14.25" customHeight="1">
      <c r="A303" s="3231" t="s">
        <v>306</v>
      </c>
      <c r="B303" s="3231" t="s">
        <v>2954</v>
      </c>
      <c r="C303" s="3231">
        <v>5630</v>
      </c>
      <c r="D303" s="3231">
        <v>5590</v>
      </c>
      <c r="E303" s="3231">
        <v>6550</v>
      </c>
      <c r="F303" s="3231">
        <v>1010</v>
      </c>
      <c r="G303" s="3244">
        <v>3370</v>
      </c>
    </row>
    <row r="304" spans="1:7" s="3220" customFormat="1" ht="14.25" customHeight="1">
      <c r="A304" s="3231" t="s">
        <v>306</v>
      </c>
      <c r="B304" s="3231" t="s">
        <v>2961</v>
      </c>
      <c r="C304" s="3231">
        <v>5680</v>
      </c>
      <c r="D304" s="3231">
        <v>5620</v>
      </c>
      <c r="E304" s="3231">
        <v>6620</v>
      </c>
      <c r="F304" s="3231">
        <v>1050</v>
      </c>
      <c r="G304" s="3244">
        <v>3390</v>
      </c>
    </row>
    <row r="305" spans="1:7" s="3220" customFormat="1" ht="14.25" customHeight="1">
      <c r="A305" s="3231" t="s">
        <v>306</v>
      </c>
      <c r="B305" s="3231" t="s">
        <v>2967</v>
      </c>
      <c r="C305" s="3231">
        <v>5590</v>
      </c>
      <c r="D305" s="3231">
        <v>5530</v>
      </c>
      <c r="E305" s="3231">
        <v>6460</v>
      </c>
      <c r="F305" s="3231">
        <v>900</v>
      </c>
      <c r="G305" s="3244">
        <v>3340</v>
      </c>
    </row>
    <row r="306" spans="1:7" s="3220" customFormat="1" ht="14.25" customHeight="1">
      <c r="A306" s="3231" t="s">
        <v>306</v>
      </c>
      <c r="B306" s="3231" t="s">
        <v>3143</v>
      </c>
      <c r="C306" s="3231">
        <v>5560</v>
      </c>
      <c r="D306" s="3231">
        <v>5510</v>
      </c>
      <c r="E306" s="3231">
        <v>6440</v>
      </c>
      <c r="F306" s="3231">
        <v>900</v>
      </c>
      <c r="G306" s="3244">
        <v>3320</v>
      </c>
    </row>
    <row r="307" spans="1:7" s="3220" customFormat="1" ht="14.25" customHeight="1">
      <c r="A307" s="3231" t="s">
        <v>306</v>
      </c>
      <c r="B307" s="3231" t="s">
        <v>2979</v>
      </c>
      <c r="C307" s="3231">
        <v>5650</v>
      </c>
      <c r="D307" s="3231">
        <v>5600</v>
      </c>
      <c r="E307" s="3231">
        <v>6590</v>
      </c>
      <c r="F307" s="3231">
        <v>930</v>
      </c>
      <c r="G307" s="3244">
        <v>3380</v>
      </c>
    </row>
    <row r="308" spans="1:7" s="3220" customFormat="1" ht="14.25" customHeight="1">
      <c r="A308" s="3231" t="s">
        <v>306</v>
      </c>
      <c r="B308" s="3231" t="s">
        <v>3144</v>
      </c>
      <c r="C308" s="3231">
        <v>5620</v>
      </c>
      <c r="D308" s="3231">
        <v>5580</v>
      </c>
      <c r="E308" s="3231">
        <v>6540</v>
      </c>
      <c r="F308" s="3231">
        <v>910</v>
      </c>
      <c r="G308" s="3244">
        <v>3370</v>
      </c>
    </row>
    <row r="309" spans="1:7" s="3220" customFormat="1" ht="14.25" customHeight="1">
      <c r="A309" s="3231" t="s">
        <v>306</v>
      </c>
      <c r="B309" s="3231" t="s">
        <v>3145</v>
      </c>
      <c r="C309" s="3231">
        <v>5060</v>
      </c>
      <c r="D309" s="3231">
        <v>5020</v>
      </c>
      <c r="E309" s="3231">
        <v>6370</v>
      </c>
      <c r="F309" s="3231">
        <v>800</v>
      </c>
      <c r="G309" s="3244">
        <v>3020</v>
      </c>
    </row>
    <row r="310" spans="1:7" s="3220" customFormat="1" ht="14.25" customHeight="1">
      <c r="A310" s="3231" t="s">
        <v>306</v>
      </c>
      <c r="B310" s="3231" t="s">
        <v>2994</v>
      </c>
      <c r="C310" s="3231">
        <v>5150</v>
      </c>
      <c r="D310" s="3231">
        <v>5110</v>
      </c>
      <c r="E310" s="3231">
        <v>6500</v>
      </c>
      <c r="F310" s="3231">
        <v>880</v>
      </c>
      <c r="G310" s="3244">
        <v>3080</v>
      </c>
    </row>
    <row r="311" spans="1:7" s="3220" customFormat="1" ht="14.25" customHeight="1">
      <c r="A311" s="3231" t="s">
        <v>306</v>
      </c>
      <c r="B311" s="3231" t="s">
        <v>3146</v>
      </c>
      <c r="C311" s="3231">
        <v>4750</v>
      </c>
      <c r="D311" s="3231">
        <v>4710</v>
      </c>
      <c r="E311" s="3231">
        <v>5510</v>
      </c>
      <c r="F311" s="3231">
        <v>880</v>
      </c>
      <c r="G311" s="3244">
        <v>2840</v>
      </c>
    </row>
    <row r="312" spans="1:7" s="3220" customFormat="1" ht="14.25" customHeight="1">
      <c r="A312" s="3231" t="s">
        <v>306</v>
      </c>
      <c r="B312" s="3231" t="s">
        <v>3004</v>
      </c>
      <c r="C312" s="3231">
        <v>4690</v>
      </c>
      <c r="D312" s="3231">
        <v>4640</v>
      </c>
      <c r="E312" s="3231">
        <v>5420</v>
      </c>
      <c r="F312" s="3231">
        <v>800</v>
      </c>
      <c r="G312" s="3244">
        <v>2800</v>
      </c>
    </row>
    <row r="313" spans="1:7" s="3220" customFormat="1" ht="14.25" customHeight="1">
      <c r="A313" s="3231" t="s">
        <v>306</v>
      </c>
      <c r="B313" s="3231" t="s">
        <v>3009</v>
      </c>
      <c r="C313" s="3231">
        <v>4810</v>
      </c>
      <c r="D313" s="3231">
        <v>4760</v>
      </c>
      <c r="E313" s="3231">
        <v>5550</v>
      </c>
      <c r="F313" s="3231">
        <v>920</v>
      </c>
      <c r="G313" s="3244">
        <v>2870</v>
      </c>
    </row>
    <row r="314" spans="1:7" s="3220" customFormat="1" ht="14.25" customHeight="1">
      <c r="A314" s="3231" t="s">
        <v>306</v>
      </c>
      <c r="B314" s="3231" t="s">
        <v>3147</v>
      </c>
      <c r="C314" s="3231"/>
      <c r="D314" s="3231"/>
      <c r="E314" s="3231"/>
      <c r="F314" s="3231">
        <v>1020</v>
      </c>
      <c r="G314" s="3244"/>
    </row>
    <row r="315" spans="1:7" s="3220" customFormat="1" ht="14.25" customHeight="1">
      <c r="A315" s="3231" t="s">
        <v>306</v>
      </c>
      <c r="B315" s="3231" t="s">
        <v>3148</v>
      </c>
      <c r="C315" s="3231"/>
      <c r="D315" s="3231"/>
      <c r="E315" s="3231"/>
      <c r="F315" s="3231">
        <v>1050</v>
      </c>
      <c r="G315" s="3244"/>
    </row>
    <row r="316" spans="1:7" s="3220" customFormat="1" ht="14.25" customHeight="1">
      <c r="A316" s="3231" t="s">
        <v>306</v>
      </c>
      <c r="B316" s="3231" t="s">
        <v>3024</v>
      </c>
      <c r="C316" s="3231"/>
      <c r="D316" s="3231"/>
      <c r="E316" s="3231"/>
      <c r="F316" s="3231">
        <v>900</v>
      </c>
      <c r="G316" s="3244"/>
    </row>
    <row r="317" spans="1:7" s="3220" customFormat="1" ht="14.25" customHeight="1">
      <c r="A317" s="3231" t="s">
        <v>306</v>
      </c>
      <c r="B317" s="3231" t="s">
        <v>3149</v>
      </c>
      <c r="C317" s="3231"/>
      <c r="D317" s="3231"/>
      <c r="E317" s="3231"/>
      <c r="F317" s="3231">
        <v>920</v>
      </c>
      <c r="G317" s="3244"/>
    </row>
    <row r="318" spans="1:7" s="3220" customFormat="1" ht="14.25" customHeight="1">
      <c r="A318" s="3231" t="s">
        <v>306</v>
      </c>
      <c r="B318" s="3231" t="s">
        <v>3150</v>
      </c>
      <c r="C318" s="3231"/>
      <c r="D318" s="3231"/>
      <c r="E318" s="3231"/>
      <c r="F318" s="3231">
        <v>1080</v>
      </c>
      <c r="G318" s="3244"/>
    </row>
    <row r="319" spans="1:7" s="3220" customFormat="1" ht="14.25" customHeight="1">
      <c r="A319" s="3231" t="s">
        <v>306</v>
      </c>
      <c r="B319" s="3231" t="s">
        <v>3037</v>
      </c>
      <c r="C319" s="3231"/>
      <c r="D319" s="3231"/>
      <c r="E319" s="3231"/>
      <c r="F319" s="3231">
        <v>1020</v>
      </c>
      <c r="G319" s="3244"/>
    </row>
    <row r="320" spans="1:7" s="3220" customFormat="1" ht="14.25" customHeight="1">
      <c r="A320" s="3231" t="s">
        <v>306</v>
      </c>
      <c r="B320" s="3231" t="s">
        <v>3040</v>
      </c>
      <c r="C320" s="3231"/>
      <c r="D320" s="3231"/>
      <c r="E320" s="3231"/>
      <c r="F320" s="3231">
        <v>1050</v>
      </c>
      <c r="G320" s="3244"/>
    </row>
    <row r="321" spans="1:7" s="3220" customFormat="1" ht="14.25" customHeight="1">
      <c r="A321" s="3231" t="s">
        <v>306</v>
      </c>
      <c r="B321" s="3231" t="s">
        <v>3042</v>
      </c>
      <c r="C321" s="3231"/>
      <c r="D321" s="3231"/>
      <c r="E321" s="3231"/>
      <c r="F321" s="3231">
        <v>960</v>
      </c>
      <c r="G321" s="3244"/>
    </row>
    <row r="322" spans="1:7" s="3220" customFormat="1" ht="14.25" customHeight="1">
      <c r="A322" s="3231" t="s">
        <v>306</v>
      </c>
      <c r="B322" s="3231" t="s">
        <v>3044</v>
      </c>
      <c r="C322" s="3231"/>
      <c r="D322" s="3231"/>
      <c r="E322" s="3231"/>
      <c r="F322" s="3231">
        <v>960</v>
      </c>
      <c r="G322" s="3244"/>
    </row>
    <row r="323" spans="1:7" s="3220" customFormat="1" ht="14.25" customHeight="1">
      <c r="A323" s="3231" t="s">
        <v>306</v>
      </c>
      <c r="B323" s="3231" t="s">
        <v>3046</v>
      </c>
      <c r="C323" s="3231"/>
      <c r="D323" s="3231"/>
      <c r="E323" s="3231"/>
      <c r="F323" s="3231">
        <v>880</v>
      </c>
      <c r="G323" s="3244"/>
    </row>
    <row r="324" spans="1:7" s="3220" customFormat="1" ht="14.25" customHeight="1">
      <c r="A324" s="3231" t="s">
        <v>306</v>
      </c>
      <c r="B324" s="3231" t="s">
        <v>3048</v>
      </c>
      <c r="C324" s="3231"/>
      <c r="D324" s="3231"/>
      <c r="E324" s="3231"/>
      <c r="F324" s="3231">
        <v>930</v>
      </c>
      <c r="G324" s="3244"/>
    </row>
    <row r="325" spans="1:7" s="3220" customFormat="1" ht="14.25" customHeight="1">
      <c r="A325" s="3231" t="s">
        <v>306</v>
      </c>
      <c r="B325" s="3232" t="s">
        <v>3050</v>
      </c>
      <c r="C325" s="3231"/>
      <c r="D325" s="3231"/>
      <c r="E325" s="3231"/>
      <c r="F325" s="3231">
        <v>900</v>
      </c>
      <c r="G325" s="3244"/>
    </row>
    <row r="326" spans="1:7" s="3220" customFormat="1" ht="14.25" customHeight="1" thickBot="1">
      <c r="A326" s="3245" t="s">
        <v>306</v>
      </c>
      <c r="B326" s="3238" t="s">
        <v>3052</v>
      </c>
      <c r="C326" s="3238"/>
      <c r="D326" s="3238"/>
      <c r="E326" s="3238"/>
      <c r="F326" s="3238">
        <v>790</v>
      </c>
      <c r="G326" s="3246"/>
    </row>
    <row r="327" spans="1:7" s="3220" customFormat="1" ht="14.25" customHeight="1">
      <c r="A327" s="3236" t="s">
        <v>307</v>
      </c>
      <c r="B327" s="3227" t="s">
        <v>3151</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3152</v>
      </c>
      <c r="C329" s="3231">
        <v>2730</v>
      </c>
      <c r="D329" s="3231">
        <v>2690</v>
      </c>
      <c r="E329" s="3231">
        <v>3100</v>
      </c>
      <c r="F329" s="3231">
        <v>660</v>
      </c>
      <c r="G329" s="3231">
        <v>1610</v>
      </c>
    </row>
    <row r="330" spans="1:7" s="3220" customFormat="1" ht="14.25" customHeight="1">
      <c r="A330" s="3231" t="s">
        <v>307</v>
      </c>
      <c r="B330" s="3231" t="s">
        <v>3153</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2886</v>
      </c>
      <c r="C332" s="3231">
        <v>3520</v>
      </c>
      <c r="D332" s="3231">
        <v>3480</v>
      </c>
      <c r="E332" s="3231">
        <v>3830</v>
      </c>
      <c r="F332" s="3231">
        <v>720</v>
      </c>
      <c r="G332" s="3231">
        <v>2090</v>
      </c>
    </row>
    <row r="333" spans="1:7" s="3220" customFormat="1" ht="14.25" customHeight="1">
      <c r="A333" s="3231" t="s">
        <v>307</v>
      </c>
      <c r="B333" s="3231" t="s">
        <v>3154</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2896</v>
      </c>
      <c r="C336" s="3231">
        <v>3570</v>
      </c>
      <c r="D336" s="3231">
        <v>3530</v>
      </c>
      <c r="E336" s="3231">
        <v>3880</v>
      </c>
      <c r="F336" s="3231">
        <v>770</v>
      </c>
      <c r="G336" s="3231">
        <v>2110</v>
      </c>
    </row>
    <row r="337" spans="1:10" s="3220" customFormat="1" ht="14.25" customHeight="1">
      <c r="A337" s="3231" t="s">
        <v>307</v>
      </c>
      <c r="B337" s="3231" t="s">
        <v>3155</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3156</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3157</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2921</v>
      </c>
      <c r="C345" s="3231">
        <v>3190</v>
      </c>
      <c r="D345" s="3231">
        <v>3140</v>
      </c>
      <c r="E345" s="3231">
        <v>3450</v>
      </c>
      <c r="F345" s="3231">
        <v>720</v>
      </c>
      <c r="G345" s="3231">
        <v>1880</v>
      </c>
      <c r="J345" s="3220"/>
    </row>
    <row r="346" spans="1:10">
      <c r="A346" s="3231" t="s">
        <v>307</v>
      </c>
      <c r="B346" s="3231" t="s">
        <v>3158</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2930</v>
      </c>
      <c r="C348" s="3231">
        <v>4000</v>
      </c>
      <c r="D348" s="3231">
        <v>3950</v>
      </c>
      <c r="E348" s="3231">
        <v>4430</v>
      </c>
      <c r="F348" s="3231">
        <v>760</v>
      </c>
      <c r="G348" s="3231">
        <v>2360</v>
      </c>
      <c r="J348" s="3220"/>
    </row>
    <row r="349" spans="1:10">
      <c r="A349" s="3231" t="s">
        <v>307</v>
      </c>
      <c r="B349" s="3231" t="s">
        <v>2935</v>
      </c>
      <c r="C349" s="3231">
        <v>3820</v>
      </c>
      <c r="D349" s="3231">
        <v>3780</v>
      </c>
      <c r="E349" s="3231">
        <v>4170</v>
      </c>
      <c r="F349" s="3231">
        <v>710</v>
      </c>
      <c r="G349" s="3231">
        <v>2260</v>
      </c>
      <c r="J349" s="3220"/>
    </row>
    <row r="350" spans="1:10">
      <c r="A350" s="3231" t="s">
        <v>307</v>
      </c>
      <c r="B350" s="3231" t="s">
        <v>3159</v>
      </c>
      <c r="C350" s="3231">
        <v>3760</v>
      </c>
      <c r="D350" s="3231">
        <v>3730</v>
      </c>
      <c r="E350" s="3231">
        <v>4100</v>
      </c>
      <c r="F350" s="3231">
        <v>800</v>
      </c>
      <c r="G350" s="3231">
        <v>2230</v>
      </c>
      <c r="J350" s="3220"/>
    </row>
    <row r="351" spans="1:10">
      <c r="A351" s="3231" t="s">
        <v>307</v>
      </c>
      <c r="B351" s="3231" t="s">
        <v>2943</v>
      </c>
      <c r="C351" s="3231">
        <v>3610</v>
      </c>
      <c r="D351" s="3231">
        <v>3580</v>
      </c>
      <c r="E351" s="3231">
        <v>3930</v>
      </c>
      <c r="F351" s="3231">
        <v>700</v>
      </c>
      <c r="G351" s="3231">
        <v>2140</v>
      </c>
      <c r="J351" s="3220"/>
    </row>
    <row r="352" spans="1:10">
      <c r="A352" s="3231" t="s">
        <v>307</v>
      </c>
      <c r="B352" s="3231" t="s">
        <v>2948</v>
      </c>
      <c r="C352" s="3231">
        <v>3670</v>
      </c>
      <c r="D352" s="3231">
        <v>3630</v>
      </c>
      <c r="E352" s="3231">
        <v>4000</v>
      </c>
      <c r="F352" s="3231">
        <v>750</v>
      </c>
      <c r="G352" s="3231">
        <v>2180</v>
      </c>
    </row>
    <row r="353" spans="1:7" s="3224" customFormat="1">
      <c r="A353" s="3231" t="s">
        <v>307</v>
      </c>
      <c r="B353" s="3231" t="s">
        <v>3160</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2968</v>
      </c>
      <c r="C355" s="3231">
        <v>3650</v>
      </c>
      <c r="D355" s="3231">
        <v>3610</v>
      </c>
      <c r="E355" s="3231">
        <v>4200</v>
      </c>
      <c r="F355" s="3231">
        <v>640</v>
      </c>
      <c r="G355" s="3231">
        <v>2160</v>
      </c>
    </row>
    <row r="356" spans="1:7" s="3224" customFormat="1">
      <c r="A356" s="3231" t="s">
        <v>307</v>
      </c>
      <c r="B356" s="3231" t="s">
        <v>2975</v>
      </c>
      <c r="C356" s="3231">
        <v>3260</v>
      </c>
      <c r="D356" s="3231">
        <v>3230</v>
      </c>
      <c r="E356" s="3231">
        <v>3740</v>
      </c>
      <c r="F356" s="3231">
        <v>600</v>
      </c>
      <c r="G356" s="3231">
        <v>1930</v>
      </c>
    </row>
    <row r="357" spans="1:7" s="3224" customFormat="1" ht="11.4" thickBot="1">
      <c r="A357" s="3239" t="s">
        <v>307</v>
      </c>
      <c r="B357" s="3242" t="s">
        <v>3161</v>
      </c>
      <c r="C357" s="3242">
        <v>3690</v>
      </c>
      <c r="D357" s="3242">
        <v>3650</v>
      </c>
      <c r="E357" s="3242">
        <v>4020</v>
      </c>
      <c r="F357" s="3242">
        <v>700</v>
      </c>
      <c r="G357" s="3242">
        <v>2190</v>
      </c>
    </row>
    <row r="358" spans="1:7" s="3224" customFormat="1">
      <c r="A358" s="3236" t="s">
        <v>3162</v>
      </c>
      <c r="B358" s="3227" t="s">
        <v>3163</v>
      </c>
      <c r="C358" s="3227">
        <v>2080</v>
      </c>
      <c r="D358" s="3227">
        <v>2040</v>
      </c>
      <c r="E358" s="3227">
        <v>2010</v>
      </c>
      <c r="F358" s="3227">
        <v>530</v>
      </c>
      <c r="G358" s="3243">
        <v>1230</v>
      </c>
    </row>
    <row r="359" spans="1:7" s="3224" customFormat="1">
      <c r="A359" s="3231" t="s">
        <v>3162</v>
      </c>
      <c r="B359" s="3231" t="s">
        <v>3164</v>
      </c>
      <c r="C359" s="3231">
        <v>1850</v>
      </c>
      <c r="D359" s="3231">
        <v>1820</v>
      </c>
      <c r="E359" s="3231">
        <v>1780</v>
      </c>
      <c r="F359" s="3231">
        <v>520</v>
      </c>
      <c r="G359" s="3244">
        <v>1100</v>
      </c>
    </row>
    <row r="360" spans="1:7" s="3224" customFormat="1">
      <c r="A360" s="3231" t="s">
        <v>3162</v>
      </c>
      <c r="B360" s="3231" t="s">
        <v>3165</v>
      </c>
      <c r="C360" s="3231">
        <v>2020</v>
      </c>
      <c r="D360" s="3231">
        <v>1990</v>
      </c>
      <c r="E360" s="3231">
        <v>1950</v>
      </c>
      <c r="F360" s="3231">
        <v>500</v>
      </c>
      <c r="G360" s="3244">
        <v>1200</v>
      </c>
    </row>
    <row r="361" spans="1:7" s="3224" customFormat="1">
      <c r="A361" s="3231" t="s">
        <v>3162</v>
      </c>
      <c r="B361" s="3231" t="s">
        <v>153</v>
      </c>
      <c r="C361" s="3231">
        <v>2260</v>
      </c>
      <c r="D361" s="3231">
        <v>2220</v>
      </c>
      <c r="E361" s="3231">
        <v>2180</v>
      </c>
      <c r="F361" s="3231">
        <v>580</v>
      </c>
      <c r="G361" s="3244">
        <v>1340</v>
      </c>
    </row>
    <row r="362" spans="1:7" s="3224" customFormat="1">
      <c r="A362" s="3231" t="s">
        <v>3162</v>
      </c>
      <c r="B362" s="3231" t="s">
        <v>3166</v>
      </c>
      <c r="C362" s="3231">
        <v>2650</v>
      </c>
      <c r="D362" s="3231">
        <v>2610</v>
      </c>
      <c r="E362" s="3231">
        <v>2570</v>
      </c>
      <c r="F362" s="3231">
        <v>630</v>
      </c>
      <c r="G362" s="3244">
        <v>1570</v>
      </c>
    </row>
    <row r="363" spans="1:7" s="3224" customFormat="1">
      <c r="A363" s="3231" t="s">
        <v>3162</v>
      </c>
      <c r="B363" s="3231" t="s">
        <v>2887</v>
      </c>
      <c r="C363" s="3231">
        <v>2390</v>
      </c>
      <c r="D363" s="3231">
        <v>2360</v>
      </c>
      <c r="E363" s="3231">
        <v>2320</v>
      </c>
      <c r="F363" s="3231">
        <v>600</v>
      </c>
      <c r="G363" s="3244">
        <v>1420</v>
      </c>
    </row>
    <row r="364" spans="1:7" s="3224" customFormat="1">
      <c r="A364" s="3231" t="s">
        <v>3162</v>
      </c>
      <c r="B364" s="3231" t="s">
        <v>3167</v>
      </c>
      <c r="C364" s="3231">
        <v>2050</v>
      </c>
      <c r="D364" s="3231">
        <v>2030</v>
      </c>
      <c r="E364" s="3231">
        <v>1990</v>
      </c>
      <c r="F364" s="3231">
        <v>550</v>
      </c>
      <c r="G364" s="3244">
        <v>1220</v>
      </c>
    </row>
    <row r="365" spans="1:7" s="3224" customFormat="1">
      <c r="A365" s="3231" t="s">
        <v>3162</v>
      </c>
      <c r="B365" s="3231" t="s">
        <v>200</v>
      </c>
      <c r="C365" s="3231">
        <v>2140</v>
      </c>
      <c r="D365" s="3231">
        <v>2100</v>
      </c>
      <c r="E365" s="3231">
        <v>2060</v>
      </c>
      <c r="F365" s="3231">
        <v>540</v>
      </c>
      <c r="G365" s="3244">
        <v>1270</v>
      </c>
    </row>
    <row r="366" spans="1:7" s="3224" customFormat="1">
      <c r="A366" s="3231" t="s">
        <v>3162</v>
      </c>
      <c r="B366" s="3231" t="s">
        <v>2894</v>
      </c>
      <c r="C366" s="3231">
        <v>2410</v>
      </c>
      <c r="D366" s="3231">
        <v>2370</v>
      </c>
      <c r="E366" s="3231">
        <v>2330</v>
      </c>
      <c r="F366" s="3231">
        <v>570</v>
      </c>
      <c r="G366" s="3244">
        <v>1440</v>
      </c>
    </row>
    <row r="367" spans="1:7" s="3224" customFormat="1">
      <c r="A367" s="3231" t="s">
        <v>3162</v>
      </c>
      <c r="B367" s="3231" t="s">
        <v>3168</v>
      </c>
      <c r="C367" s="3231">
        <v>2300</v>
      </c>
      <c r="D367" s="3231">
        <v>2260</v>
      </c>
      <c r="E367" s="3231">
        <v>2220</v>
      </c>
      <c r="F367" s="3231">
        <v>560</v>
      </c>
      <c r="G367" s="3244">
        <v>1370</v>
      </c>
    </row>
    <row r="368" spans="1:7" s="3224" customFormat="1">
      <c r="A368" s="3231" t="s">
        <v>3162</v>
      </c>
      <c r="B368" s="3231" t="s">
        <v>3169</v>
      </c>
      <c r="C368" s="3231">
        <v>2430</v>
      </c>
      <c r="D368" s="3231">
        <v>2390</v>
      </c>
      <c r="E368" s="3231">
        <v>2350</v>
      </c>
      <c r="F368" s="3231">
        <v>570</v>
      </c>
      <c r="G368" s="3244">
        <v>1450</v>
      </c>
    </row>
    <row r="369" spans="1:7" s="3224" customFormat="1">
      <c r="A369" s="3231" t="s">
        <v>3162</v>
      </c>
      <c r="B369" s="3231" t="s">
        <v>214</v>
      </c>
      <c r="C369" s="3231">
        <v>2320</v>
      </c>
      <c r="D369" s="3231">
        <v>2290</v>
      </c>
      <c r="E369" s="3231">
        <v>2250</v>
      </c>
      <c r="F369" s="3231">
        <v>550</v>
      </c>
      <c r="G369" s="3244">
        <v>1380</v>
      </c>
    </row>
    <row r="370" spans="1:7" s="3224" customFormat="1">
      <c r="A370" s="3231" t="s">
        <v>3162</v>
      </c>
      <c r="B370" s="3231" t="s">
        <v>221</v>
      </c>
      <c r="C370" s="3231">
        <v>2190</v>
      </c>
      <c r="D370" s="3231">
        <v>2170</v>
      </c>
      <c r="E370" s="3231">
        <v>2130</v>
      </c>
      <c r="F370" s="3231">
        <v>530</v>
      </c>
      <c r="G370" s="3244">
        <v>1310</v>
      </c>
    </row>
    <row r="371" spans="1:7" s="3224" customFormat="1">
      <c r="A371" s="3231" t="s">
        <v>3162</v>
      </c>
      <c r="B371" s="3231" t="s">
        <v>229</v>
      </c>
      <c r="C371" s="3231">
        <v>2460</v>
      </c>
      <c r="D371" s="3231">
        <v>2420</v>
      </c>
      <c r="E371" s="3231">
        <v>2370</v>
      </c>
      <c r="F371" s="3231">
        <v>560</v>
      </c>
      <c r="G371" s="3244">
        <v>1470</v>
      </c>
    </row>
    <row r="372" spans="1:7" s="3224" customFormat="1">
      <c r="A372" s="3231" t="s">
        <v>3162</v>
      </c>
      <c r="B372" s="3231" t="s">
        <v>3170</v>
      </c>
      <c r="C372" s="3231">
        <v>2250</v>
      </c>
      <c r="D372" s="3231">
        <v>2210</v>
      </c>
      <c r="E372" s="3231">
        <v>2180</v>
      </c>
      <c r="F372" s="3231">
        <v>550</v>
      </c>
      <c r="G372" s="3244">
        <v>1340</v>
      </c>
    </row>
    <row r="373" spans="1:7" s="3224" customFormat="1">
      <c r="A373" s="3231" t="s">
        <v>3162</v>
      </c>
      <c r="B373" s="3231" t="s">
        <v>258</v>
      </c>
      <c r="C373" s="3231">
        <v>2210</v>
      </c>
      <c r="D373" s="3231">
        <v>2190</v>
      </c>
      <c r="E373" s="3231">
        <v>2150</v>
      </c>
      <c r="F373" s="3231">
        <v>530</v>
      </c>
      <c r="G373" s="3244">
        <v>1320</v>
      </c>
    </row>
    <row r="374" spans="1:7" s="3224" customFormat="1">
      <c r="A374" s="3231" t="s">
        <v>3162</v>
      </c>
      <c r="B374" s="3231" t="s">
        <v>266</v>
      </c>
      <c r="C374" s="3231">
        <v>2320</v>
      </c>
      <c r="D374" s="3231">
        <v>2280</v>
      </c>
      <c r="E374" s="3231">
        <v>2230</v>
      </c>
      <c r="F374" s="3231">
        <v>580</v>
      </c>
      <c r="G374" s="3244">
        <v>1380</v>
      </c>
    </row>
    <row r="375" spans="1:7" s="3224" customFormat="1">
      <c r="A375" s="3231" t="s">
        <v>3162</v>
      </c>
      <c r="B375" s="3231" t="s">
        <v>3171</v>
      </c>
      <c r="C375" s="3231">
        <v>2090</v>
      </c>
      <c r="D375" s="3231">
        <v>2050</v>
      </c>
      <c r="E375" s="3231">
        <v>2020</v>
      </c>
      <c r="F375" s="3231">
        <v>520</v>
      </c>
      <c r="G375" s="3244">
        <v>1240</v>
      </c>
    </row>
    <row r="376" spans="1:7" s="3224" customFormat="1">
      <c r="A376" s="3231" t="s">
        <v>3162</v>
      </c>
      <c r="B376" s="3231" t="s">
        <v>277</v>
      </c>
      <c r="C376" s="3231">
        <v>2010</v>
      </c>
      <c r="D376" s="3231">
        <v>1980</v>
      </c>
      <c r="E376" s="3231">
        <v>1940</v>
      </c>
      <c r="F376" s="3231">
        <v>540</v>
      </c>
      <c r="G376" s="3244">
        <v>1190</v>
      </c>
    </row>
    <row r="377" spans="1:7" s="3224" customFormat="1" ht="11.4" thickBot="1">
      <c r="A377" s="3239" t="s">
        <v>3162</v>
      </c>
      <c r="B377" s="3242" t="s">
        <v>2924</v>
      </c>
      <c r="C377" s="3242">
        <v>1930</v>
      </c>
      <c r="D377" s="3242">
        <v>1890</v>
      </c>
      <c r="E377" s="3242">
        <v>1860</v>
      </c>
      <c r="F377" s="3242">
        <v>530</v>
      </c>
      <c r="G377" s="3247">
        <v>1150</v>
      </c>
    </row>
    <row r="378" spans="1:7" s="3224" customFormat="1">
      <c r="A378" s="3248" t="s">
        <v>3172</v>
      </c>
      <c r="B378" s="3227" t="s">
        <v>3173</v>
      </c>
      <c r="C378" s="3227">
        <v>1520</v>
      </c>
      <c r="D378" s="3227">
        <v>1490</v>
      </c>
      <c r="E378" s="3227">
        <v>1460</v>
      </c>
      <c r="F378" s="3227">
        <v>460</v>
      </c>
      <c r="G378" s="3243">
        <v>940</v>
      </c>
    </row>
    <row r="379" spans="1:7" s="3224" customFormat="1">
      <c r="A379" s="3249" t="s">
        <v>3172</v>
      </c>
      <c r="B379" s="3231" t="s">
        <v>3174</v>
      </c>
      <c r="C379" s="3231">
        <v>1500</v>
      </c>
      <c r="D379" s="3231">
        <v>1470</v>
      </c>
      <c r="E379" s="3231">
        <v>1430</v>
      </c>
      <c r="F379" s="3231">
        <v>460</v>
      </c>
      <c r="G379" s="3244">
        <v>920</v>
      </c>
    </row>
    <row r="380" spans="1:7" s="3224" customFormat="1">
      <c r="A380" s="3249" t="s">
        <v>3172</v>
      </c>
      <c r="B380" s="3231" t="s">
        <v>3175</v>
      </c>
      <c r="C380" s="3231">
        <v>1620</v>
      </c>
      <c r="D380" s="3231">
        <v>1590</v>
      </c>
      <c r="E380" s="3231">
        <v>1560</v>
      </c>
      <c r="F380" s="3231">
        <v>480</v>
      </c>
      <c r="G380" s="3244">
        <v>1000</v>
      </c>
    </row>
    <row r="381" spans="1:7" s="3224" customFormat="1">
      <c r="A381" s="3249" t="s">
        <v>3172</v>
      </c>
      <c r="B381" s="3231" t="s">
        <v>3176</v>
      </c>
      <c r="C381" s="3231">
        <v>1460</v>
      </c>
      <c r="D381" s="3231">
        <v>1430</v>
      </c>
      <c r="E381" s="3231">
        <v>1390</v>
      </c>
      <c r="F381" s="3231">
        <v>450</v>
      </c>
      <c r="G381" s="3244">
        <v>900</v>
      </c>
    </row>
    <row r="382" spans="1:7" s="3224" customFormat="1">
      <c r="A382" s="3249" t="s">
        <v>3172</v>
      </c>
      <c r="B382" s="3231" t="s">
        <v>3177</v>
      </c>
      <c r="C382" s="3231">
        <v>1310</v>
      </c>
      <c r="D382" s="3231">
        <v>1280</v>
      </c>
      <c r="E382" s="3231">
        <v>1250</v>
      </c>
      <c r="F382" s="3231">
        <v>440</v>
      </c>
      <c r="G382" s="3244">
        <v>800</v>
      </c>
    </row>
    <row r="383" spans="1:7" s="3224" customFormat="1">
      <c r="A383" s="3249" t="s">
        <v>3172</v>
      </c>
      <c r="B383" s="3231" t="s">
        <v>3178</v>
      </c>
      <c r="C383" s="3231">
        <v>1260</v>
      </c>
      <c r="D383" s="3231">
        <v>1230</v>
      </c>
      <c r="E383" s="3231">
        <v>1200</v>
      </c>
      <c r="F383" s="3231">
        <v>420</v>
      </c>
      <c r="G383" s="3244">
        <v>770</v>
      </c>
    </row>
    <row r="384" spans="1:7" s="3224" customFormat="1" ht="11.4" thickBot="1">
      <c r="A384" s="3250" t="s">
        <v>3172</v>
      </c>
      <c r="B384" s="3238" t="s">
        <v>3179</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789" t="s">
        <v>3180</v>
      </c>
      <c r="B1" s="3789"/>
    </row>
    <row r="2" spans="1:7" ht="15" thickBot="1">
      <c r="A2" s="3253"/>
      <c r="B2" s="3253"/>
    </row>
    <row r="3" spans="1:7" ht="15" thickBot="1">
      <c r="A3" s="3253"/>
      <c r="B3" s="3253"/>
      <c r="C3" s="3254" t="s">
        <v>2810</v>
      </c>
      <c r="D3" s="3254" t="s">
        <v>2866</v>
      </c>
      <c r="E3" s="3254" t="s">
        <v>2812</v>
      </c>
      <c r="F3" s="3254" t="s">
        <v>2867</v>
      </c>
      <c r="G3" s="3254" t="s">
        <v>2630</v>
      </c>
    </row>
    <row r="4" spans="1:7" ht="15" thickBot="1">
      <c r="A4" s="3255" t="s">
        <v>2865</v>
      </c>
      <c r="B4" s="3256" t="s">
        <v>2871</v>
      </c>
      <c r="C4" s="3254"/>
      <c r="D4" s="3254"/>
      <c r="E4" s="3254"/>
      <c r="F4" s="3254"/>
      <c r="G4" s="3254"/>
    </row>
    <row r="5" spans="1:7">
      <c r="A5" s="3257" t="s">
        <v>2839</v>
      </c>
      <c r="B5" s="3258" t="s">
        <v>2853</v>
      </c>
      <c r="C5" s="3259">
        <v>9.8000000000000004E-2</v>
      </c>
      <c r="D5" s="3259">
        <v>8.6999999999999994E-2</v>
      </c>
      <c r="E5" s="3259">
        <v>8.6999999999999994E-2</v>
      </c>
      <c r="F5" s="3259">
        <v>9.8000000000000004E-2</v>
      </c>
      <c r="G5" s="3260">
        <v>9.5000000000000001E-2</v>
      </c>
    </row>
    <row r="6" spans="1:7">
      <c r="A6" s="3261" t="s">
        <v>144</v>
      </c>
      <c r="B6" s="3262" t="s">
        <v>2868</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2854</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2904</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2922</v>
      </c>
      <c r="C29" s="3271"/>
      <c r="D29" s="3267">
        <v>5.1999999999999998E-2</v>
      </c>
      <c r="E29" s="3267">
        <v>7.0000000000000007E-2</v>
      </c>
      <c r="F29" s="3271"/>
      <c r="G29" s="3269">
        <v>7.0999999999999994E-2</v>
      </c>
    </row>
    <row r="30" spans="1:7">
      <c r="A30" s="3272" t="s">
        <v>296</v>
      </c>
      <c r="B30" s="3258" t="s">
        <v>2855</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2841</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2925</v>
      </c>
      <c r="C50" s="3263">
        <v>9.8000000000000004E-2</v>
      </c>
      <c r="D50" s="3263">
        <v>7.2999999999999995E-2</v>
      </c>
      <c r="E50" s="3263">
        <v>7.0999999999999994E-2</v>
      </c>
      <c r="F50" s="3274"/>
      <c r="G50" s="3264">
        <v>7.2999999999999995E-2</v>
      </c>
    </row>
    <row r="51" spans="1:7">
      <c r="A51" s="3273" t="s">
        <v>296</v>
      </c>
      <c r="B51" s="3262" t="s">
        <v>2927</v>
      </c>
      <c r="C51" s="3263">
        <v>9.9000000000000005E-2</v>
      </c>
      <c r="D51" s="3263">
        <v>8.5000000000000006E-2</v>
      </c>
      <c r="E51" s="3263">
        <v>6.3E-2</v>
      </c>
      <c r="F51" s="3274"/>
      <c r="G51" s="3264">
        <v>9.6000000000000002E-2</v>
      </c>
    </row>
    <row r="52" spans="1:7">
      <c r="A52" s="3273" t="s">
        <v>296</v>
      </c>
      <c r="B52" s="3262" t="s">
        <v>2931</v>
      </c>
      <c r="C52" s="3263">
        <v>7.3999999999999996E-2</v>
      </c>
      <c r="D52" s="3263">
        <v>9.6000000000000002E-2</v>
      </c>
      <c r="E52" s="3263">
        <v>0.05</v>
      </c>
      <c r="F52" s="3274"/>
      <c r="G52" s="3264">
        <v>9.8000000000000004E-2</v>
      </c>
    </row>
    <row r="53" spans="1:7">
      <c r="A53" s="3273" t="s">
        <v>296</v>
      </c>
      <c r="B53" s="3262" t="s">
        <v>2936</v>
      </c>
      <c r="C53" s="3263">
        <v>8.5999999999999993E-2</v>
      </c>
      <c r="D53" s="3274"/>
      <c r="E53" s="3263">
        <v>9.1999999999999998E-2</v>
      </c>
      <c r="F53" s="3274"/>
      <c r="G53" s="3275"/>
    </row>
    <row r="54" spans="1:7" ht="15" thickBot="1">
      <c r="A54" s="3276" t="s">
        <v>296</v>
      </c>
      <c r="B54" s="3266" t="s">
        <v>2939</v>
      </c>
      <c r="C54" s="3267">
        <v>9.6000000000000002E-2</v>
      </c>
      <c r="D54" s="3268"/>
      <c r="E54" s="3277"/>
      <c r="F54" s="3268"/>
      <c r="G54" s="3278"/>
    </row>
    <row r="55" spans="1:7">
      <c r="A55" s="3272" t="s">
        <v>110</v>
      </c>
      <c r="B55" s="3258" t="s">
        <v>2856</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2937</v>
      </c>
      <c r="C78" s="3263">
        <v>0.1</v>
      </c>
      <c r="D78" s="3263">
        <v>8.5000000000000006E-2</v>
      </c>
      <c r="E78" s="3263">
        <v>9.6000000000000002E-2</v>
      </c>
      <c r="F78" s="3274"/>
      <c r="G78" s="3264">
        <v>9.6000000000000002E-2</v>
      </c>
    </row>
    <row r="79" spans="1:7">
      <c r="A79" s="3273" t="s">
        <v>110</v>
      </c>
      <c r="B79" s="3262" t="s">
        <v>2940</v>
      </c>
      <c r="C79" s="3263">
        <v>0.05</v>
      </c>
      <c r="D79" s="3263">
        <v>9.6000000000000002E-2</v>
      </c>
      <c r="E79" s="3263">
        <v>9.5000000000000001E-2</v>
      </c>
      <c r="F79" s="3274"/>
      <c r="G79" s="3264">
        <v>9.8000000000000004E-2</v>
      </c>
    </row>
    <row r="80" spans="1:7">
      <c r="A80" s="3273" t="s">
        <v>110</v>
      </c>
      <c r="B80" s="3262" t="s">
        <v>2944</v>
      </c>
      <c r="C80" s="3263">
        <v>8.5999999999999993E-2</v>
      </c>
      <c r="D80" s="3279"/>
      <c r="E80" s="3263">
        <v>0.1</v>
      </c>
      <c r="F80" s="3274"/>
      <c r="G80" s="3275"/>
    </row>
    <row r="81" spans="1:7">
      <c r="A81" s="3273" t="s">
        <v>110</v>
      </c>
      <c r="B81" s="3262" t="s">
        <v>2949</v>
      </c>
      <c r="C81" s="3263">
        <v>9.6000000000000002E-2</v>
      </c>
      <c r="D81" s="3274"/>
      <c r="E81" s="3263">
        <v>9.8000000000000004E-2</v>
      </c>
      <c r="F81" s="3274"/>
      <c r="G81" s="3275"/>
    </row>
    <row r="82" spans="1:7">
      <c r="A82" s="3273" t="s">
        <v>110</v>
      </c>
      <c r="B82" s="3262" t="s">
        <v>2956</v>
      </c>
      <c r="C82" s="3279"/>
      <c r="D82" s="3274"/>
      <c r="E82" s="3263">
        <v>7.6999999999999999E-2</v>
      </c>
      <c r="F82" s="3274"/>
      <c r="G82" s="3275"/>
    </row>
    <row r="83" spans="1:7">
      <c r="A83" s="3273" t="s">
        <v>110</v>
      </c>
      <c r="B83" s="3262" t="s">
        <v>2962</v>
      </c>
      <c r="C83" s="3274"/>
      <c r="D83" s="3274"/>
      <c r="E83" s="3274"/>
      <c r="F83" s="3263">
        <v>0.1</v>
      </c>
      <c r="G83" s="3280"/>
    </row>
    <row r="84" spans="1:7">
      <c r="A84" s="3273" t="s">
        <v>110</v>
      </c>
      <c r="B84" s="3262" t="s">
        <v>2969</v>
      </c>
      <c r="C84" s="3274"/>
      <c r="D84" s="3274"/>
      <c r="E84" s="3274"/>
      <c r="F84" s="3263">
        <v>0.1</v>
      </c>
      <c r="G84" s="3280"/>
    </row>
    <row r="85" spans="1:7">
      <c r="A85" s="3273" t="s">
        <v>110</v>
      </c>
      <c r="B85" s="3262" t="s">
        <v>2976</v>
      </c>
      <c r="C85" s="3274"/>
      <c r="D85" s="3274"/>
      <c r="E85" s="3274"/>
      <c r="F85" s="3263">
        <v>0.1</v>
      </c>
      <c r="G85" s="3280"/>
    </row>
    <row r="86" spans="1:7" ht="15" thickBot="1">
      <c r="A86" s="3276" t="s">
        <v>110</v>
      </c>
      <c r="B86" s="3266" t="s">
        <v>2981</v>
      </c>
      <c r="C86" s="3267">
        <v>9.8000000000000004E-2</v>
      </c>
      <c r="D86" s="3267">
        <v>9.8000000000000004E-2</v>
      </c>
      <c r="E86" s="3267">
        <v>9.6000000000000002E-2</v>
      </c>
      <c r="F86" s="3277"/>
      <c r="G86" s="3269">
        <v>0.1</v>
      </c>
    </row>
    <row r="87" spans="1:7">
      <c r="A87" s="3272" t="s">
        <v>303</v>
      </c>
      <c r="B87" s="3258" t="s">
        <v>2857</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2950</v>
      </c>
      <c r="C113" s="3263">
        <v>0.1</v>
      </c>
      <c r="D113" s="3263">
        <v>0.1</v>
      </c>
      <c r="E113" s="3274"/>
      <c r="F113" s="3274"/>
      <c r="G113" s="3264">
        <v>0.1</v>
      </c>
    </row>
    <row r="114" spans="1:7">
      <c r="A114" s="3273" t="s">
        <v>303</v>
      </c>
      <c r="B114" s="3262" t="s">
        <v>2957</v>
      </c>
      <c r="C114" s="3263">
        <v>9.7000000000000003E-2</v>
      </c>
      <c r="D114" s="3263">
        <v>9.7000000000000003E-2</v>
      </c>
      <c r="E114" s="3274"/>
      <c r="F114" s="3274"/>
      <c r="G114" s="3264">
        <v>9.9000000000000005E-2</v>
      </c>
    </row>
    <row r="115" spans="1:7">
      <c r="A115" s="3273" t="s">
        <v>303</v>
      </c>
      <c r="B115" s="3262" t="s">
        <v>2963</v>
      </c>
      <c r="C115" s="3263">
        <v>0.1</v>
      </c>
      <c r="D115" s="3263">
        <v>0.1</v>
      </c>
      <c r="E115" s="3274"/>
      <c r="F115" s="3274"/>
      <c r="G115" s="3264">
        <v>0.1</v>
      </c>
    </row>
    <row r="116" spans="1:7">
      <c r="A116" s="3273" t="s">
        <v>303</v>
      </c>
      <c r="B116" s="3262" t="s">
        <v>2970</v>
      </c>
      <c r="C116" s="3263">
        <v>0.1</v>
      </c>
      <c r="D116" s="3263">
        <v>0.1</v>
      </c>
      <c r="E116" s="3274"/>
      <c r="F116" s="3274"/>
      <c r="G116" s="3264">
        <v>0.1</v>
      </c>
    </row>
    <row r="117" spans="1:7">
      <c r="A117" s="3273" t="s">
        <v>303</v>
      </c>
      <c r="B117" s="3262" t="s">
        <v>2977</v>
      </c>
      <c r="C117" s="3263">
        <v>9.7000000000000003E-2</v>
      </c>
      <c r="D117" s="3263">
        <v>9.7000000000000003E-2</v>
      </c>
      <c r="E117" s="3274"/>
      <c r="F117" s="3274"/>
      <c r="G117" s="3264">
        <v>9.7000000000000003E-2</v>
      </c>
    </row>
    <row r="118" spans="1:7">
      <c r="A118" s="3273" t="s">
        <v>303</v>
      </c>
      <c r="B118" s="3262" t="s">
        <v>2982</v>
      </c>
      <c r="C118" s="3263">
        <v>0.1</v>
      </c>
      <c r="D118" s="3263">
        <v>0.1</v>
      </c>
      <c r="E118" s="3274"/>
      <c r="F118" s="3274"/>
      <c r="G118" s="3264">
        <v>0.1</v>
      </c>
    </row>
    <row r="119" spans="1:7">
      <c r="A119" s="3273" t="s">
        <v>303</v>
      </c>
      <c r="B119" s="3262" t="s">
        <v>2986</v>
      </c>
      <c r="C119" s="3263">
        <v>5.0999999999999997E-2</v>
      </c>
      <c r="D119" s="3263">
        <v>5.1999999999999998E-2</v>
      </c>
      <c r="E119" s="3274"/>
      <c r="F119" s="3279"/>
      <c r="G119" s="3264">
        <v>0.06</v>
      </c>
    </row>
    <row r="120" spans="1:7">
      <c r="A120" s="3273" t="s">
        <v>303</v>
      </c>
      <c r="B120" s="3262" t="s">
        <v>2990</v>
      </c>
      <c r="C120" s="3274"/>
      <c r="D120" s="3274"/>
      <c r="E120" s="3274"/>
      <c r="F120" s="3263">
        <v>0.1</v>
      </c>
      <c r="G120" s="3280"/>
    </row>
    <row r="121" spans="1:7">
      <c r="A121" s="3273" t="s">
        <v>303</v>
      </c>
      <c r="B121" s="3262" t="s">
        <v>2995</v>
      </c>
      <c r="C121" s="3274"/>
      <c r="D121" s="3274"/>
      <c r="E121" s="3274"/>
      <c r="F121" s="3263">
        <v>0.1</v>
      </c>
      <c r="G121" s="3280"/>
    </row>
    <row r="122" spans="1:7">
      <c r="A122" s="3273" t="s">
        <v>303</v>
      </c>
      <c r="B122" s="3262" t="s">
        <v>3000</v>
      </c>
      <c r="C122" s="3263">
        <v>0.1</v>
      </c>
      <c r="D122" s="3263">
        <v>0.1</v>
      </c>
      <c r="E122" s="3263">
        <v>9.8000000000000004E-2</v>
      </c>
      <c r="F122" s="3263">
        <v>0.1</v>
      </c>
      <c r="G122" s="3264">
        <v>0.1</v>
      </c>
    </row>
    <row r="123" spans="1:7">
      <c r="A123" s="3273" t="s">
        <v>303</v>
      </c>
      <c r="B123" s="3262" t="s">
        <v>3005</v>
      </c>
      <c r="C123" s="3263">
        <v>0.1</v>
      </c>
      <c r="D123" s="3263">
        <v>0.1</v>
      </c>
      <c r="E123" s="3263">
        <v>9.8000000000000004E-2</v>
      </c>
      <c r="F123" s="3263">
        <v>0.1</v>
      </c>
      <c r="G123" s="3264">
        <v>0.1</v>
      </c>
    </row>
    <row r="124" spans="1:7">
      <c r="A124" s="3273" t="s">
        <v>303</v>
      </c>
      <c r="B124" s="3262" t="s">
        <v>3010</v>
      </c>
      <c r="C124" s="3263">
        <v>0.1</v>
      </c>
      <c r="D124" s="3263">
        <v>0.1</v>
      </c>
      <c r="E124" s="3263">
        <v>9.8000000000000004E-2</v>
      </c>
      <c r="F124" s="3279"/>
      <c r="G124" s="3264">
        <v>0.1</v>
      </c>
    </row>
    <row r="125" spans="1:7">
      <c r="A125" s="3273" t="s">
        <v>303</v>
      </c>
      <c r="B125" s="3262" t="s">
        <v>3015</v>
      </c>
      <c r="C125" s="3263">
        <v>9.8000000000000004E-2</v>
      </c>
      <c r="D125" s="3263">
        <v>9.8000000000000004E-2</v>
      </c>
      <c r="E125" s="3263">
        <v>9.6000000000000002E-2</v>
      </c>
      <c r="F125" s="3279"/>
      <c r="G125" s="3264">
        <v>0.1</v>
      </c>
    </row>
    <row r="126" spans="1:7" ht="15" thickBot="1">
      <c r="A126" s="3276" t="s">
        <v>303</v>
      </c>
      <c r="B126" s="3266" t="s">
        <v>3181</v>
      </c>
      <c r="C126" s="3267">
        <v>0.1</v>
      </c>
      <c r="D126" s="3267">
        <v>0.1</v>
      </c>
      <c r="E126" s="3267">
        <v>9.8000000000000004E-2</v>
      </c>
      <c r="F126" s="3267">
        <v>0.1</v>
      </c>
      <c r="G126" s="3269">
        <v>0.1</v>
      </c>
    </row>
    <row r="127" spans="1:7">
      <c r="A127" s="3272" t="s">
        <v>29</v>
      </c>
      <c r="B127" s="3258" t="s">
        <v>2858</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2928</v>
      </c>
      <c r="C148" s="3263">
        <v>0.13</v>
      </c>
      <c r="D148" s="3263">
        <v>0.13</v>
      </c>
      <c r="E148" s="3263">
        <v>0.13</v>
      </c>
      <c r="F148" s="3274"/>
      <c r="G148" s="3264">
        <v>0.13</v>
      </c>
    </row>
    <row r="149" spans="1:7">
      <c r="A149" s="3273" t="s">
        <v>29</v>
      </c>
      <c r="B149" s="3262" t="s">
        <v>2932</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2951</v>
      </c>
      <c r="C153" s="3263">
        <v>0.13</v>
      </c>
      <c r="D153" s="3263">
        <v>0.13</v>
      </c>
      <c r="E153" s="3263">
        <v>0.13</v>
      </c>
      <c r="F153" s="3263">
        <v>0.13</v>
      </c>
      <c r="G153" s="3264">
        <v>0.13</v>
      </c>
    </row>
    <row r="154" spans="1:7">
      <c r="A154" s="3273" t="s">
        <v>29</v>
      </c>
      <c r="B154" s="3262" t="s">
        <v>2958</v>
      </c>
      <c r="C154" s="3263">
        <v>0.121</v>
      </c>
      <c r="D154" s="3263">
        <v>0.121</v>
      </c>
      <c r="E154" s="3263">
        <v>0.105</v>
      </c>
      <c r="F154" s="3263">
        <v>0.121</v>
      </c>
      <c r="G154" s="3264">
        <v>0.123</v>
      </c>
    </row>
    <row r="155" spans="1:7">
      <c r="A155" s="3273" t="s">
        <v>29</v>
      </c>
      <c r="B155" s="3262" t="s">
        <v>2964</v>
      </c>
      <c r="C155" s="3263">
        <v>0.1</v>
      </c>
      <c r="D155" s="3263">
        <v>0.1</v>
      </c>
      <c r="E155" s="3263">
        <v>0.1</v>
      </c>
      <c r="F155" s="3263">
        <v>0.1</v>
      </c>
      <c r="G155" s="3264">
        <v>0.1</v>
      </c>
    </row>
    <row r="156" spans="1:7">
      <c r="A156" s="3273" t="s">
        <v>29</v>
      </c>
      <c r="B156" s="3262" t="s">
        <v>2971</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2991</v>
      </c>
      <c r="C160" s="3263">
        <v>0.13</v>
      </c>
      <c r="D160" s="3263">
        <v>0.13</v>
      </c>
      <c r="E160" s="3263">
        <v>0.124</v>
      </c>
      <c r="F160" s="3263">
        <v>0.126</v>
      </c>
      <c r="G160" s="3264">
        <v>0.13</v>
      </c>
    </row>
    <row r="161" spans="1:7">
      <c r="A161" s="3273" t="s">
        <v>29</v>
      </c>
      <c r="B161" s="3262" t="s">
        <v>2996</v>
      </c>
      <c r="C161" s="3263">
        <v>0.13</v>
      </c>
      <c r="D161" s="3263">
        <v>0.13</v>
      </c>
      <c r="E161" s="3263">
        <v>0.124</v>
      </c>
      <c r="F161" s="3263">
        <v>0.127</v>
      </c>
      <c r="G161" s="3264">
        <v>0.13</v>
      </c>
    </row>
    <row r="162" spans="1:7">
      <c r="A162" s="3273" t="s">
        <v>29</v>
      </c>
      <c r="B162" s="3262" t="s">
        <v>3001</v>
      </c>
      <c r="C162" s="3263">
        <v>0.1</v>
      </c>
      <c r="D162" s="3263">
        <v>0.1</v>
      </c>
      <c r="E162" s="3263">
        <v>0.1</v>
      </c>
      <c r="F162" s="3263">
        <v>0.121</v>
      </c>
      <c r="G162" s="3264">
        <v>0.105</v>
      </c>
    </row>
    <row r="163" spans="1:7">
      <c r="A163" s="3273" t="s">
        <v>29</v>
      </c>
      <c r="B163" s="3262" t="s">
        <v>3006</v>
      </c>
      <c r="C163" s="3263">
        <v>0.1</v>
      </c>
      <c r="D163" s="3263">
        <v>0.1</v>
      </c>
      <c r="E163" s="3263">
        <v>0.1</v>
      </c>
      <c r="F163" s="3263">
        <v>0.1</v>
      </c>
      <c r="G163" s="3264">
        <v>0.1</v>
      </c>
    </row>
    <row r="164" spans="1:7">
      <c r="A164" s="3273" t="s">
        <v>29</v>
      </c>
      <c r="B164" s="3262" t="s">
        <v>3011</v>
      </c>
      <c r="C164" s="3279"/>
      <c r="D164" s="3279"/>
      <c r="E164" s="3279"/>
      <c r="F164" s="3263">
        <v>0.1</v>
      </c>
      <c r="G164" s="3275"/>
    </row>
    <row r="165" spans="1:7">
      <c r="A165" s="3273" t="s">
        <v>29</v>
      </c>
      <c r="B165" s="3262" t="s">
        <v>3182</v>
      </c>
      <c r="C165" s="3263">
        <v>0.126</v>
      </c>
      <c r="D165" s="3263">
        <v>0.126</v>
      </c>
      <c r="E165" s="3263">
        <v>0.11899999999999999</v>
      </c>
      <c r="F165" s="3263">
        <v>0.13</v>
      </c>
      <c r="G165" s="3264">
        <v>0.128</v>
      </c>
    </row>
    <row r="166" spans="1:7">
      <c r="A166" s="3273" t="s">
        <v>29</v>
      </c>
      <c r="B166" s="3262" t="s">
        <v>3021</v>
      </c>
      <c r="C166" s="3263">
        <v>0.129</v>
      </c>
      <c r="D166" s="3263">
        <v>0.129</v>
      </c>
      <c r="E166" s="3263">
        <v>0.123</v>
      </c>
      <c r="F166" s="3263">
        <v>0.128</v>
      </c>
      <c r="G166" s="3264">
        <v>0.13</v>
      </c>
    </row>
    <row r="167" spans="1:7">
      <c r="A167" s="3273" t="s">
        <v>29</v>
      </c>
      <c r="B167" s="3262" t="s">
        <v>3025</v>
      </c>
      <c r="C167" s="3263">
        <v>0.125</v>
      </c>
      <c r="D167" s="3263">
        <v>0.125</v>
      </c>
      <c r="E167" s="3263">
        <v>0.11700000000000001</v>
      </c>
      <c r="F167" s="3263">
        <v>0.13</v>
      </c>
      <c r="G167" s="3264">
        <v>0.126</v>
      </c>
    </row>
    <row r="168" spans="1:7">
      <c r="A168" s="3273" t="s">
        <v>29</v>
      </c>
      <c r="B168" s="3262" t="s">
        <v>3030</v>
      </c>
      <c r="C168" s="3263">
        <v>0.128</v>
      </c>
      <c r="D168" s="3263">
        <v>0.128</v>
      </c>
      <c r="E168" s="3263">
        <v>0.123</v>
      </c>
      <c r="F168" s="3274"/>
      <c r="G168" s="3264">
        <v>0.13</v>
      </c>
    </row>
    <row r="169" spans="1:7">
      <c r="A169" s="3273" t="s">
        <v>29</v>
      </c>
      <c r="B169" s="3262" t="s">
        <v>3183</v>
      </c>
      <c r="C169" s="3279"/>
      <c r="D169" s="3279"/>
      <c r="E169" s="3279"/>
      <c r="F169" s="3263">
        <v>0.05</v>
      </c>
      <c r="G169" s="3275"/>
    </row>
    <row r="170" spans="1:7">
      <c r="A170" s="3273" t="s">
        <v>29</v>
      </c>
      <c r="B170" s="3262" t="s">
        <v>3184</v>
      </c>
      <c r="C170" s="3279"/>
      <c r="D170" s="3279"/>
      <c r="E170" s="3279"/>
      <c r="F170" s="3263">
        <v>0.05</v>
      </c>
      <c r="G170" s="3275"/>
    </row>
    <row r="171" spans="1:7">
      <c r="A171" s="3273" t="s">
        <v>29</v>
      </c>
      <c r="B171" s="3262" t="s">
        <v>3185</v>
      </c>
      <c r="C171" s="3279"/>
      <c r="D171" s="3279"/>
      <c r="E171" s="3279"/>
      <c r="F171" s="3263">
        <v>0.05</v>
      </c>
      <c r="G171" s="3280"/>
    </row>
    <row r="172" spans="1:7">
      <c r="A172" s="3273" t="s">
        <v>29</v>
      </c>
      <c r="B172" s="3262" t="s">
        <v>3186</v>
      </c>
      <c r="C172" s="3279"/>
      <c r="D172" s="3279"/>
      <c r="E172" s="3279"/>
      <c r="F172" s="3263">
        <v>0.05</v>
      </c>
      <c r="G172" s="3280"/>
    </row>
    <row r="173" spans="1:7">
      <c r="A173" s="3273" t="s">
        <v>29</v>
      </c>
      <c r="B173" s="3262" t="s">
        <v>3187</v>
      </c>
      <c r="C173" s="3279"/>
      <c r="D173" s="3279"/>
      <c r="E173" s="3279"/>
      <c r="F173" s="3263">
        <v>0.05</v>
      </c>
      <c r="G173" s="3275"/>
    </row>
    <row r="174" spans="1:7">
      <c r="A174" s="3273" t="s">
        <v>29</v>
      </c>
      <c r="B174" s="3262" t="s">
        <v>3188</v>
      </c>
      <c r="C174" s="3279"/>
      <c r="D174" s="3279"/>
      <c r="E174" s="3279"/>
      <c r="F174" s="3263">
        <v>0.05</v>
      </c>
      <c r="G174" s="3275"/>
    </row>
    <row r="175" spans="1:7">
      <c r="A175" s="3273" t="s">
        <v>29</v>
      </c>
      <c r="B175" s="3262" t="s">
        <v>3189</v>
      </c>
      <c r="C175" s="3279"/>
      <c r="D175" s="3279"/>
      <c r="E175" s="3279"/>
      <c r="F175" s="3263">
        <v>0.05</v>
      </c>
      <c r="G175" s="3275"/>
    </row>
    <row r="176" spans="1:7">
      <c r="A176" s="3273" t="s">
        <v>29</v>
      </c>
      <c r="B176" s="3262" t="s">
        <v>3190</v>
      </c>
      <c r="C176" s="3279"/>
      <c r="D176" s="3279"/>
      <c r="E176" s="3279"/>
      <c r="F176" s="3263">
        <v>0.05</v>
      </c>
      <c r="G176" s="3275"/>
    </row>
    <row r="177" spans="1:7">
      <c r="A177" s="3273" t="s">
        <v>29</v>
      </c>
      <c r="B177" s="3262" t="s">
        <v>3191</v>
      </c>
      <c r="C177" s="3274"/>
      <c r="D177" s="3274"/>
      <c r="E177" s="3274"/>
      <c r="F177" s="3263">
        <v>0.05</v>
      </c>
      <c r="G177" s="3280"/>
    </row>
    <row r="178" spans="1:7">
      <c r="A178" s="3273" t="s">
        <v>29</v>
      </c>
      <c r="B178" s="3262" t="s">
        <v>3192</v>
      </c>
      <c r="C178" s="3274"/>
      <c r="D178" s="3274"/>
      <c r="E178" s="3274"/>
      <c r="F178" s="3263">
        <v>0.05</v>
      </c>
      <c r="G178" s="3280"/>
    </row>
    <row r="179" spans="1:7">
      <c r="A179" s="3273" t="s">
        <v>29</v>
      </c>
      <c r="B179" s="3262" t="s">
        <v>3193</v>
      </c>
      <c r="C179" s="3274"/>
      <c r="D179" s="3274"/>
      <c r="E179" s="3274"/>
      <c r="F179" s="3263">
        <v>0.05</v>
      </c>
      <c r="G179" s="3280"/>
    </row>
    <row r="180" spans="1:7">
      <c r="A180" s="3273" t="s">
        <v>29</v>
      </c>
      <c r="B180" s="3262" t="s">
        <v>3194</v>
      </c>
      <c r="C180" s="3274"/>
      <c r="D180" s="3274"/>
      <c r="E180" s="3274"/>
      <c r="F180" s="3263">
        <v>0.05</v>
      </c>
      <c r="G180" s="3280"/>
    </row>
    <row r="181" spans="1:7">
      <c r="A181" s="3273" t="s">
        <v>29</v>
      </c>
      <c r="B181" s="3262" t="s">
        <v>3195</v>
      </c>
      <c r="C181" s="3274"/>
      <c r="D181" s="3274"/>
      <c r="E181" s="3274"/>
      <c r="F181" s="3263">
        <v>0.05</v>
      </c>
      <c r="G181" s="3280"/>
    </row>
    <row r="182" spans="1:7">
      <c r="A182" s="3273" t="s">
        <v>29</v>
      </c>
      <c r="B182" s="3262" t="s">
        <v>3196</v>
      </c>
      <c r="C182" s="3274"/>
      <c r="D182" s="3274"/>
      <c r="E182" s="3274"/>
      <c r="F182" s="3263">
        <v>0.05</v>
      </c>
      <c r="G182" s="3280"/>
    </row>
    <row r="183" spans="1:7">
      <c r="A183" s="3273" t="s">
        <v>29</v>
      </c>
      <c r="B183" s="3262" t="s">
        <v>3197</v>
      </c>
      <c r="C183" s="3274"/>
      <c r="D183" s="3274"/>
      <c r="E183" s="3274"/>
      <c r="F183" s="3263">
        <v>0.05</v>
      </c>
      <c r="G183" s="3280"/>
    </row>
    <row r="184" spans="1:7">
      <c r="A184" s="3273" t="s">
        <v>29</v>
      </c>
      <c r="B184" s="3262" t="s">
        <v>3198</v>
      </c>
      <c r="C184" s="3274"/>
      <c r="D184" s="3274"/>
      <c r="E184" s="3274"/>
      <c r="F184" s="3263">
        <v>0.05</v>
      </c>
      <c r="G184" s="3280"/>
    </row>
    <row r="185" spans="1:7">
      <c r="A185" s="3273" t="s">
        <v>29</v>
      </c>
      <c r="B185" s="3262" t="s">
        <v>3199</v>
      </c>
      <c r="C185" s="3274"/>
      <c r="D185" s="3274"/>
      <c r="E185" s="3274"/>
      <c r="F185" s="3263">
        <v>0.05</v>
      </c>
      <c r="G185" s="3280"/>
    </row>
    <row r="186" spans="1:7">
      <c r="A186" s="3273" t="s">
        <v>29</v>
      </c>
      <c r="B186" s="3262" t="s">
        <v>3200</v>
      </c>
      <c r="C186" s="3274"/>
      <c r="D186" s="3274"/>
      <c r="E186" s="3274"/>
      <c r="F186" s="3263">
        <v>0.05</v>
      </c>
      <c r="G186" s="3280"/>
    </row>
    <row r="187" spans="1:7">
      <c r="A187" s="3273" t="s">
        <v>29</v>
      </c>
      <c r="B187" s="3262" t="s">
        <v>3201</v>
      </c>
      <c r="C187" s="3274"/>
      <c r="D187" s="3274"/>
      <c r="E187" s="3274"/>
      <c r="F187" s="3263">
        <v>0.05</v>
      </c>
      <c r="G187" s="3280"/>
    </row>
    <row r="188" spans="1:7">
      <c r="A188" s="3273" t="s">
        <v>29</v>
      </c>
      <c r="B188" s="3262" t="s">
        <v>3202</v>
      </c>
      <c r="C188" s="3274"/>
      <c r="D188" s="3274"/>
      <c r="E188" s="3274"/>
      <c r="F188" s="3263">
        <v>0.05</v>
      </c>
      <c r="G188" s="3280"/>
    </row>
    <row r="189" spans="1:7" ht="15" thickBot="1">
      <c r="A189" s="3276" t="s">
        <v>29</v>
      </c>
      <c r="B189" s="3266" t="s">
        <v>3203</v>
      </c>
      <c r="C189" s="3268"/>
      <c r="D189" s="3268"/>
      <c r="E189" s="3268"/>
      <c r="F189" s="3267">
        <v>0.05</v>
      </c>
      <c r="G189" s="3281"/>
    </row>
    <row r="190" spans="1:7">
      <c r="A190" s="3272" t="s">
        <v>304</v>
      </c>
      <c r="B190" s="3258" t="s">
        <v>2859</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2895</v>
      </c>
      <c r="C199" s="3263">
        <v>0.13</v>
      </c>
      <c r="D199" s="3263">
        <v>0.13</v>
      </c>
      <c r="E199" s="3263">
        <v>0.13</v>
      </c>
      <c r="F199" s="3263">
        <v>0.13</v>
      </c>
      <c r="G199" s="3264">
        <v>0.13</v>
      </c>
    </row>
    <row r="200" spans="1:7">
      <c r="A200" s="3273" t="s">
        <v>304</v>
      </c>
      <c r="B200" s="3262" t="s">
        <v>2898</v>
      </c>
      <c r="C200" s="3279"/>
      <c r="D200" s="3279"/>
      <c r="E200" s="3279"/>
      <c r="F200" s="3263">
        <v>0.13</v>
      </c>
      <c r="G200" s="3275"/>
    </row>
    <row r="201" spans="1:7">
      <c r="A201" s="3273" t="s">
        <v>304</v>
      </c>
      <c r="B201" s="3262" t="s">
        <v>2903</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2906</v>
      </c>
      <c r="C203" s="3263">
        <v>0.129</v>
      </c>
      <c r="D203" s="3263">
        <v>0.129</v>
      </c>
      <c r="E203" s="3263">
        <v>0.13</v>
      </c>
      <c r="F203" s="3263">
        <v>0.13</v>
      </c>
      <c r="G203" s="3264">
        <v>0.13</v>
      </c>
    </row>
    <row r="204" spans="1:7">
      <c r="A204" s="3273" t="s">
        <v>304</v>
      </c>
      <c r="B204" s="3262" t="s">
        <v>2909</v>
      </c>
      <c r="C204" s="3263">
        <v>0.129</v>
      </c>
      <c r="D204" s="3263">
        <v>0.129</v>
      </c>
      <c r="E204" s="3263">
        <v>0.123</v>
      </c>
      <c r="F204" s="3263">
        <v>0.13</v>
      </c>
      <c r="G204" s="3264">
        <v>0.13</v>
      </c>
    </row>
    <row r="205" spans="1:7">
      <c r="A205" s="3273" t="s">
        <v>304</v>
      </c>
      <c r="B205" s="3262" t="s">
        <v>2911</v>
      </c>
      <c r="C205" s="3263">
        <v>0.13</v>
      </c>
      <c r="D205" s="3263">
        <v>0.13</v>
      </c>
      <c r="E205" s="3263">
        <v>0.13</v>
      </c>
      <c r="F205" s="3263">
        <v>0.13</v>
      </c>
      <c r="G205" s="3264">
        <v>0.13</v>
      </c>
    </row>
    <row r="206" spans="1:7">
      <c r="A206" s="3273" t="s">
        <v>304</v>
      </c>
      <c r="B206" s="3262" t="s">
        <v>2914</v>
      </c>
      <c r="C206" s="3263">
        <v>0.13</v>
      </c>
      <c r="D206" s="3263">
        <v>0.13</v>
      </c>
      <c r="E206" s="3263">
        <v>0.13</v>
      </c>
      <c r="F206" s="3263">
        <v>0.128</v>
      </c>
      <c r="G206" s="3264">
        <v>0.13</v>
      </c>
    </row>
    <row r="207" spans="1:7">
      <c r="A207" s="3273" t="s">
        <v>304</v>
      </c>
      <c r="B207" s="3262" t="s">
        <v>2916</v>
      </c>
      <c r="C207" s="3263">
        <v>0.13</v>
      </c>
      <c r="D207" s="3263">
        <v>0.13</v>
      </c>
      <c r="E207" s="3263">
        <v>0.13</v>
      </c>
      <c r="F207" s="3263">
        <v>0.13</v>
      </c>
      <c r="G207" s="3264">
        <v>0.13</v>
      </c>
    </row>
    <row r="208" spans="1:7">
      <c r="A208" s="3273" t="s">
        <v>304</v>
      </c>
      <c r="B208" s="3262" t="s">
        <v>2919</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2926</v>
      </c>
      <c r="C210" s="3263">
        <v>0.121</v>
      </c>
      <c r="D210" s="3263">
        <v>0.121</v>
      </c>
      <c r="E210" s="3263">
        <v>0.125</v>
      </c>
      <c r="F210" s="3263">
        <v>0.13</v>
      </c>
      <c r="G210" s="3264">
        <v>0.123</v>
      </c>
    </row>
    <row r="211" spans="1:7">
      <c r="A211" s="3273" t="s">
        <v>304</v>
      </c>
      <c r="B211" s="3262" t="s">
        <v>2929</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2941</v>
      </c>
      <c r="C214" s="3263">
        <v>0.128</v>
      </c>
      <c r="D214" s="3263">
        <v>0.128</v>
      </c>
      <c r="E214" s="3263">
        <v>0.13</v>
      </c>
      <c r="F214" s="3263">
        <v>0.13</v>
      </c>
      <c r="G214" s="3264">
        <v>0.13</v>
      </c>
    </row>
    <row r="215" spans="1:7">
      <c r="A215" s="3273" t="s">
        <v>304</v>
      </c>
      <c r="B215" s="3262" t="s">
        <v>2945</v>
      </c>
      <c r="C215" s="3263">
        <v>0.13</v>
      </c>
      <c r="D215" s="3263">
        <v>0.13</v>
      </c>
      <c r="E215" s="3263">
        <v>0.13</v>
      </c>
      <c r="F215" s="3263">
        <v>0.129</v>
      </c>
      <c r="G215" s="3264">
        <v>0.13</v>
      </c>
    </row>
    <row r="216" spans="1:7">
      <c r="A216" s="3273" t="s">
        <v>304</v>
      </c>
      <c r="B216" s="3262" t="s">
        <v>2952</v>
      </c>
      <c r="C216" s="3263">
        <v>0.13</v>
      </c>
      <c r="D216" s="3263">
        <v>0.13</v>
      </c>
      <c r="E216" s="3263">
        <v>0.13</v>
      </c>
      <c r="F216" s="3263">
        <v>0.13</v>
      </c>
      <c r="G216" s="3264">
        <v>0.13</v>
      </c>
    </row>
    <row r="217" spans="1:7">
      <c r="A217" s="3273" t="s">
        <v>304</v>
      </c>
      <c r="B217" s="3262" t="s">
        <v>2959</v>
      </c>
      <c r="C217" s="3263">
        <v>0.129</v>
      </c>
      <c r="D217" s="3263">
        <v>0.129</v>
      </c>
      <c r="E217" s="3263">
        <v>0.13</v>
      </c>
      <c r="F217" s="3263">
        <v>0.13</v>
      </c>
      <c r="G217" s="3264">
        <v>0.13</v>
      </c>
    </row>
    <row r="218" spans="1:7">
      <c r="A218" s="3273" t="s">
        <v>304</v>
      </c>
      <c r="B218" s="3262" t="s">
        <v>2965</v>
      </c>
      <c r="C218" s="3274"/>
      <c r="D218" s="3274"/>
      <c r="E218" s="3274"/>
      <c r="F218" s="3263">
        <v>0.05</v>
      </c>
      <c r="G218" s="3280"/>
    </row>
    <row r="219" spans="1:7">
      <c r="A219" s="3273" t="s">
        <v>304</v>
      </c>
      <c r="B219" s="3262" t="s">
        <v>2972</v>
      </c>
      <c r="C219" s="3274"/>
      <c r="D219" s="3274"/>
      <c r="E219" s="3274"/>
      <c r="F219" s="3263">
        <v>0.05</v>
      </c>
      <c r="G219" s="3280"/>
    </row>
    <row r="220" spans="1:7">
      <c r="A220" s="3273" t="s">
        <v>304</v>
      </c>
      <c r="B220" s="3262" t="s">
        <v>2978</v>
      </c>
      <c r="C220" s="3274"/>
      <c r="D220" s="3274"/>
      <c r="E220" s="3274"/>
      <c r="F220" s="3263">
        <v>0.05</v>
      </c>
      <c r="G220" s="3280"/>
    </row>
    <row r="221" spans="1:7">
      <c r="A221" s="3273" t="s">
        <v>304</v>
      </c>
      <c r="B221" s="3262" t="s">
        <v>2983</v>
      </c>
      <c r="C221" s="3274"/>
      <c r="D221" s="3274"/>
      <c r="E221" s="3274"/>
      <c r="F221" s="3263">
        <v>0.05</v>
      </c>
      <c r="G221" s="3280"/>
    </row>
    <row r="222" spans="1:7">
      <c r="A222" s="3273" t="s">
        <v>304</v>
      </c>
      <c r="B222" s="3262" t="s">
        <v>2987</v>
      </c>
      <c r="C222" s="3274"/>
      <c r="D222" s="3274"/>
      <c r="E222" s="3274"/>
      <c r="F222" s="3263">
        <v>0.05</v>
      </c>
      <c r="G222" s="3280"/>
    </row>
    <row r="223" spans="1:7">
      <c r="A223" s="3273" t="s">
        <v>304</v>
      </c>
      <c r="B223" s="3262" t="s">
        <v>2992</v>
      </c>
      <c r="C223" s="3274"/>
      <c r="D223" s="3274"/>
      <c r="E223" s="3274"/>
      <c r="F223" s="3263">
        <v>0.05</v>
      </c>
      <c r="G223" s="3280"/>
    </row>
    <row r="224" spans="1:7">
      <c r="A224" s="3273" t="s">
        <v>304</v>
      </c>
      <c r="B224" s="3262" t="s">
        <v>2997</v>
      </c>
      <c r="C224" s="3274"/>
      <c r="D224" s="3274"/>
      <c r="E224" s="3274"/>
      <c r="F224" s="3263">
        <v>0.05</v>
      </c>
      <c r="G224" s="3280"/>
    </row>
    <row r="225" spans="1:7">
      <c r="A225" s="3273" t="s">
        <v>304</v>
      </c>
      <c r="B225" s="3262" t="s">
        <v>3002</v>
      </c>
      <c r="C225" s="3274"/>
      <c r="D225" s="3274"/>
      <c r="E225" s="3274"/>
      <c r="F225" s="3263">
        <v>0.05</v>
      </c>
      <c r="G225" s="3280"/>
    </row>
    <row r="226" spans="1:7">
      <c r="A226" s="3273" t="s">
        <v>304</v>
      </c>
      <c r="B226" s="3262" t="s">
        <v>3204</v>
      </c>
      <c r="C226" s="3274"/>
      <c r="D226" s="3274"/>
      <c r="E226" s="3274"/>
      <c r="F226" s="3263">
        <v>0.05</v>
      </c>
      <c r="G226" s="3280"/>
    </row>
    <row r="227" spans="1:7">
      <c r="A227" s="3273" t="s">
        <v>304</v>
      </c>
      <c r="B227" s="3262" t="s">
        <v>3205</v>
      </c>
      <c r="C227" s="3274"/>
      <c r="D227" s="3274"/>
      <c r="E227" s="3274"/>
      <c r="F227" s="3263">
        <v>0.05</v>
      </c>
      <c r="G227" s="3280"/>
    </row>
    <row r="228" spans="1:7">
      <c r="A228" s="3273" t="s">
        <v>304</v>
      </c>
      <c r="B228" s="3262" t="s">
        <v>3206</v>
      </c>
      <c r="C228" s="3274"/>
      <c r="D228" s="3274"/>
      <c r="E228" s="3274"/>
      <c r="F228" s="3263">
        <v>0.05</v>
      </c>
      <c r="G228" s="3280"/>
    </row>
    <row r="229" spans="1:7">
      <c r="A229" s="3273" t="s">
        <v>304</v>
      </c>
      <c r="B229" s="3262" t="s">
        <v>3207</v>
      </c>
      <c r="C229" s="3274"/>
      <c r="D229" s="3274"/>
      <c r="E229" s="3274"/>
      <c r="F229" s="3263">
        <v>0.05</v>
      </c>
      <c r="G229" s="3280"/>
    </row>
    <row r="230" spans="1:7">
      <c r="A230" s="3273" t="s">
        <v>304</v>
      </c>
      <c r="B230" s="3262" t="s">
        <v>3208</v>
      </c>
      <c r="C230" s="3274"/>
      <c r="D230" s="3274"/>
      <c r="E230" s="3274"/>
      <c r="F230" s="3263">
        <v>0.05</v>
      </c>
      <c r="G230" s="3280"/>
    </row>
    <row r="231" spans="1:7">
      <c r="A231" s="3273" t="s">
        <v>304</v>
      </c>
      <c r="B231" s="3262" t="s">
        <v>3209</v>
      </c>
      <c r="C231" s="3274"/>
      <c r="D231" s="3274"/>
      <c r="E231" s="3274"/>
      <c r="F231" s="3263">
        <v>0.05</v>
      </c>
      <c r="G231" s="3280"/>
    </row>
    <row r="232" spans="1:7">
      <c r="A232" s="3273" t="s">
        <v>304</v>
      </c>
      <c r="B232" s="3262" t="s">
        <v>3210</v>
      </c>
      <c r="C232" s="3274"/>
      <c r="D232" s="3274"/>
      <c r="E232" s="3274"/>
      <c r="F232" s="3263">
        <v>0.05</v>
      </c>
      <c r="G232" s="3280"/>
    </row>
    <row r="233" spans="1:7" ht="15" thickBot="1">
      <c r="A233" s="3276" t="s">
        <v>304</v>
      </c>
      <c r="B233" s="3266" t="s">
        <v>3211</v>
      </c>
      <c r="C233" s="3268"/>
      <c r="D233" s="3268"/>
      <c r="E233" s="3268"/>
      <c r="F233" s="3267">
        <v>0.05</v>
      </c>
      <c r="G233" s="3281"/>
    </row>
    <row r="234" spans="1:7">
      <c r="A234" s="3272" t="s">
        <v>305</v>
      </c>
      <c r="B234" s="3258" t="s">
        <v>2860</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2880</v>
      </c>
      <c r="C238" s="3263">
        <v>0.14899999999999999</v>
      </c>
      <c r="D238" s="3263">
        <v>0.14899999999999999</v>
      </c>
      <c r="E238" s="3263">
        <v>0.15</v>
      </c>
      <c r="F238" s="3263">
        <v>0.15</v>
      </c>
      <c r="G238" s="3264">
        <v>0.15</v>
      </c>
    </row>
    <row r="239" spans="1:7">
      <c r="A239" s="3273" t="s">
        <v>305</v>
      </c>
      <c r="B239" s="3262" t="s">
        <v>2884</v>
      </c>
      <c r="C239" s="3263">
        <v>0.15</v>
      </c>
      <c r="D239" s="3263">
        <v>0.15</v>
      </c>
      <c r="E239" s="3263">
        <v>0.15</v>
      </c>
      <c r="F239" s="3263">
        <v>0.15</v>
      </c>
      <c r="G239" s="3264">
        <v>0.15</v>
      </c>
    </row>
    <row r="240" spans="1:7">
      <c r="A240" s="3273" t="s">
        <v>305</v>
      </c>
      <c r="B240" s="3262" t="s">
        <v>2889</v>
      </c>
      <c r="C240" s="3263">
        <v>0.15</v>
      </c>
      <c r="D240" s="3263">
        <v>0.15</v>
      </c>
      <c r="E240" s="3263">
        <v>0.15</v>
      </c>
      <c r="F240" s="3263">
        <v>0.15</v>
      </c>
      <c r="G240" s="3264">
        <v>0.15</v>
      </c>
    </row>
    <row r="241" spans="1:7">
      <c r="A241" s="3273" t="s">
        <v>305</v>
      </c>
      <c r="B241" s="3262" t="s">
        <v>2893</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2899</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2907</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2912</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2920</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2933</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2942</v>
      </c>
      <c r="C258" s="3263">
        <v>0.14299999999999999</v>
      </c>
      <c r="D258" s="3263">
        <v>0.14299999999999999</v>
      </c>
      <c r="E258" s="3263">
        <v>0.15</v>
      </c>
      <c r="F258" s="3263">
        <v>0.14799999999999999</v>
      </c>
      <c r="G258" s="3264">
        <v>0.14599999999999999</v>
      </c>
    </row>
    <row r="259" spans="1:7">
      <c r="A259" s="3273" t="s">
        <v>305</v>
      </c>
      <c r="B259" s="3262" t="s">
        <v>2946</v>
      </c>
      <c r="C259" s="3263">
        <v>0.14399999999999999</v>
      </c>
      <c r="D259" s="3263">
        <v>0.14399999999999999</v>
      </c>
      <c r="E259" s="3263">
        <v>0.14899999999999999</v>
      </c>
      <c r="F259" s="3263">
        <v>0.14699999999999999</v>
      </c>
      <c r="G259" s="3264">
        <v>0.14599999999999999</v>
      </c>
    </row>
    <row r="260" spans="1:7">
      <c r="A260" s="3273" t="s">
        <v>305</v>
      </c>
      <c r="B260" s="3262" t="s">
        <v>2953</v>
      </c>
      <c r="C260" s="3263">
        <v>0.109</v>
      </c>
      <c r="D260" s="3263">
        <v>0.111</v>
      </c>
      <c r="E260" s="3263">
        <v>0.13100000000000001</v>
      </c>
      <c r="F260" s="3263">
        <v>0.126</v>
      </c>
      <c r="G260" s="3264">
        <v>0.11899999999999999</v>
      </c>
    </row>
    <row r="261" spans="1:7">
      <c r="A261" s="3273" t="s">
        <v>305</v>
      </c>
      <c r="B261" s="3262" t="s">
        <v>2960</v>
      </c>
      <c r="C261" s="3263">
        <v>0.1</v>
      </c>
      <c r="D261" s="3263">
        <v>0.1</v>
      </c>
      <c r="E261" s="3263">
        <v>0.11799999999999999</v>
      </c>
      <c r="F261" s="3263">
        <v>0.108</v>
      </c>
      <c r="G261" s="3264">
        <v>0.107</v>
      </c>
    </row>
    <row r="262" spans="1:7">
      <c r="A262" s="3273" t="s">
        <v>305</v>
      </c>
      <c r="B262" s="3262" t="s">
        <v>2966</v>
      </c>
      <c r="C262" s="3263">
        <v>0.1</v>
      </c>
      <c r="D262" s="3263">
        <v>0.1</v>
      </c>
      <c r="E262" s="3263">
        <v>0.1</v>
      </c>
      <c r="F262" s="3263">
        <v>0.14099999999999999</v>
      </c>
      <c r="G262" s="3264">
        <v>0.1</v>
      </c>
    </row>
    <row r="263" spans="1:7">
      <c r="A263" s="3273" t="s">
        <v>305</v>
      </c>
      <c r="B263" s="3262" t="s">
        <v>2973</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2984</v>
      </c>
      <c r="C265" s="3274"/>
      <c r="D265" s="3274"/>
      <c r="E265" s="3274"/>
      <c r="F265" s="3263">
        <v>0.05</v>
      </c>
      <c r="G265" s="3280"/>
    </row>
    <row r="266" spans="1:7">
      <c r="A266" s="3273" t="s">
        <v>305</v>
      </c>
      <c r="B266" s="3262" t="s">
        <v>2988</v>
      </c>
      <c r="C266" s="3274"/>
      <c r="D266" s="3274"/>
      <c r="E266" s="3274"/>
      <c r="F266" s="3263">
        <v>0.05</v>
      </c>
      <c r="G266" s="3280"/>
    </row>
    <row r="267" spans="1:7">
      <c r="A267" s="3273" t="s">
        <v>305</v>
      </c>
      <c r="B267" s="3262" t="s">
        <v>2993</v>
      </c>
      <c r="C267" s="3274"/>
      <c r="D267" s="3274"/>
      <c r="E267" s="3274"/>
      <c r="F267" s="3263">
        <v>0.05</v>
      </c>
      <c r="G267" s="3280"/>
    </row>
    <row r="268" spans="1:7">
      <c r="A268" s="3273" t="s">
        <v>305</v>
      </c>
      <c r="B268" s="3262" t="s">
        <v>2998</v>
      </c>
      <c r="C268" s="3274"/>
      <c r="D268" s="3274"/>
      <c r="E268" s="3274"/>
      <c r="F268" s="3263">
        <v>0.05</v>
      </c>
      <c r="G268" s="3280"/>
    </row>
    <row r="269" spans="1:7">
      <c r="A269" s="3273" t="s">
        <v>305</v>
      </c>
      <c r="B269" s="3262" t="s">
        <v>3003</v>
      </c>
      <c r="C269" s="3274"/>
      <c r="D269" s="3274"/>
      <c r="E269" s="3274"/>
      <c r="F269" s="3263">
        <v>0.05</v>
      </c>
      <c r="G269" s="3280"/>
    </row>
    <row r="270" spans="1:7">
      <c r="A270" s="3273" t="s">
        <v>305</v>
      </c>
      <c r="B270" s="3262" t="s">
        <v>3008</v>
      </c>
      <c r="C270" s="3274"/>
      <c r="D270" s="3274"/>
      <c r="E270" s="3274"/>
      <c r="F270" s="3263">
        <v>0.05</v>
      </c>
      <c r="G270" s="3280"/>
    </row>
    <row r="271" spans="1:7">
      <c r="A271" s="3273" t="s">
        <v>305</v>
      </c>
      <c r="B271" s="3262" t="s">
        <v>3212</v>
      </c>
      <c r="C271" s="3274"/>
      <c r="D271" s="3274"/>
      <c r="E271" s="3274"/>
      <c r="F271" s="3263">
        <v>0.05</v>
      </c>
      <c r="G271" s="3280"/>
    </row>
    <row r="272" spans="1:7">
      <c r="A272" s="3273" t="s">
        <v>305</v>
      </c>
      <c r="B272" s="3262" t="s">
        <v>3213</v>
      </c>
      <c r="C272" s="3274"/>
      <c r="D272" s="3274"/>
      <c r="E272" s="3274"/>
      <c r="F272" s="3263">
        <v>0.05</v>
      </c>
      <c r="G272" s="3280"/>
    </row>
    <row r="273" spans="1:7">
      <c r="A273" s="3273" t="s">
        <v>305</v>
      </c>
      <c r="B273" s="3262" t="s">
        <v>3214</v>
      </c>
      <c r="C273" s="3274"/>
      <c r="D273" s="3274"/>
      <c r="E273" s="3274"/>
      <c r="F273" s="3263">
        <v>0.05</v>
      </c>
      <c r="G273" s="3280"/>
    </row>
    <row r="274" spans="1:7">
      <c r="A274" s="3273" t="s">
        <v>305</v>
      </c>
      <c r="B274" s="3262" t="s">
        <v>3215</v>
      </c>
      <c r="C274" s="3274"/>
      <c r="D274" s="3274"/>
      <c r="E274" s="3274"/>
      <c r="F274" s="3263">
        <v>0.05</v>
      </c>
      <c r="G274" s="3280"/>
    </row>
    <row r="275" spans="1:7">
      <c r="A275" s="3273" t="s">
        <v>305</v>
      </c>
      <c r="B275" s="3262" t="s">
        <v>3216</v>
      </c>
      <c r="C275" s="3274"/>
      <c r="D275" s="3274"/>
      <c r="E275" s="3274"/>
      <c r="F275" s="3263">
        <v>0.05</v>
      </c>
      <c r="G275" s="3280"/>
    </row>
    <row r="276" spans="1:7" ht="15" thickBot="1">
      <c r="A276" s="3276" t="s">
        <v>305</v>
      </c>
      <c r="B276" s="3266" t="s">
        <v>3217</v>
      </c>
      <c r="C276" s="3268"/>
      <c r="D276" s="3268"/>
      <c r="E276" s="3268"/>
      <c r="F276" s="3267">
        <v>0.05</v>
      </c>
      <c r="G276" s="3281"/>
    </row>
    <row r="277" spans="1:7">
      <c r="A277" s="3272" t="s">
        <v>306</v>
      </c>
      <c r="B277" s="3258" t="s">
        <v>2861</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2873</v>
      </c>
      <c r="C279" s="3263">
        <v>0.15</v>
      </c>
      <c r="D279" s="3263">
        <v>0.15</v>
      </c>
      <c r="E279" s="3263">
        <v>0.15</v>
      </c>
      <c r="F279" s="3263">
        <v>0.15</v>
      </c>
      <c r="G279" s="3264">
        <v>0.15</v>
      </c>
    </row>
    <row r="280" spans="1:7">
      <c r="A280" s="3273" t="s">
        <v>306</v>
      </c>
      <c r="B280" s="3262" t="s">
        <v>2877</v>
      </c>
      <c r="C280" s="3263">
        <v>0.15</v>
      </c>
      <c r="D280" s="3263">
        <v>0.15</v>
      </c>
      <c r="E280" s="3263">
        <v>0.15</v>
      </c>
      <c r="F280" s="3263">
        <v>0.15</v>
      </c>
      <c r="G280" s="3264">
        <v>0.15</v>
      </c>
    </row>
    <row r="281" spans="1:7">
      <c r="A281" s="3273" t="s">
        <v>306</v>
      </c>
      <c r="B281" s="3262" t="s">
        <v>2881</v>
      </c>
      <c r="C281" s="3263">
        <v>0.15</v>
      </c>
      <c r="D281" s="3263">
        <v>0.15</v>
      </c>
      <c r="E281" s="3263">
        <v>0.15</v>
      </c>
      <c r="F281" s="3263">
        <v>0.15</v>
      </c>
      <c r="G281" s="3264">
        <v>0.15</v>
      </c>
    </row>
    <row r="282" spans="1:7">
      <c r="A282" s="3273" t="s">
        <v>306</v>
      </c>
      <c r="B282" s="3262" t="s">
        <v>2885</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2900</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2905</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2915</v>
      </c>
      <c r="C293" s="3263">
        <v>0.15</v>
      </c>
      <c r="D293" s="3263">
        <v>0.15</v>
      </c>
      <c r="E293" s="3263">
        <v>0.15</v>
      </c>
      <c r="F293" s="3263">
        <v>0.14499999999999999</v>
      </c>
      <c r="G293" s="3264">
        <v>0.15</v>
      </c>
    </row>
    <row r="294" spans="1:7">
      <c r="A294" s="3273" t="s">
        <v>306</v>
      </c>
      <c r="B294" s="3262" t="s">
        <v>2917</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2934</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2947</v>
      </c>
      <c r="C302" s="3263">
        <v>0.15</v>
      </c>
      <c r="D302" s="3263">
        <v>0.15</v>
      </c>
      <c r="E302" s="3263">
        <v>0.15</v>
      </c>
      <c r="F302" s="3263">
        <v>0.14699999999999999</v>
      </c>
      <c r="G302" s="3264">
        <v>0.15</v>
      </c>
    </row>
    <row r="303" spans="1:7">
      <c r="A303" s="3273" t="s">
        <v>306</v>
      </c>
      <c r="B303" s="3262" t="s">
        <v>2954</v>
      </c>
      <c r="C303" s="3263">
        <v>0.15</v>
      </c>
      <c r="D303" s="3263">
        <v>0.15</v>
      </c>
      <c r="E303" s="3263">
        <v>0.15</v>
      </c>
      <c r="F303" s="3263">
        <v>0.14199999999999999</v>
      </c>
      <c r="G303" s="3264">
        <v>0.15</v>
      </c>
    </row>
    <row r="304" spans="1:7">
      <c r="A304" s="3273" t="s">
        <v>306</v>
      </c>
      <c r="B304" s="3262" t="s">
        <v>2961</v>
      </c>
      <c r="C304" s="3263">
        <v>0.15</v>
      </c>
      <c r="D304" s="3263">
        <v>0.15</v>
      </c>
      <c r="E304" s="3263">
        <v>0.15</v>
      </c>
      <c r="F304" s="3263">
        <v>0.14499999999999999</v>
      </c>
      <c r="G304" s="3264">
        <v>0.15</v>
      </c>
    </row>
    <row r="305" spans="1:7">
      <c r="A305" s="3273" t="s">
        <v>306</v>
      </c>
      <c r="B305" s="3262" t="s">
        <v>2967</v>
      </c>
      <c r="C305" s="3263">
        <v>0.15</v>
      </c>
      <c r="D305" s="3263">
        <v>0.15</v>
      </c>
      <c r="E305" s="3263">
        <v>0.15</v>
      </c>
      <c r="F305" s="3263">
        <v>0.111</v>
      </c>
      <c r="G305" s="3264">
        <v>0.15</v>
      </c>
    </row>
    <row r="306" spans="1:7">
      <c r="A306" s="3273" t="s">
        <v>306</v>
      </c>
      <c r="B306" s="3262" t="s">
        <v>2974</v>
      </c>
      <c r="C306" s="3263">
        <v>0.15</v>
      </c>
      <c r="D306" s="3263">
        <v>0.15</v>
      </c>
      <c r="E306" s="3263">
        <v>0.15</v>
      </c>
      <c r="F306" s="3263">
        <v>0.126</v>
      </c>
      <c r="G306" s="3264">
        <v>0.15</v>
      </c>
    </row>
    <row r="307" spans="1:7">
      <c r="A307" s="3273" t="s">
        <v>306</v>
      </c>
      <c r="B307" s="3262" t="s">
        <v>2979</v>
      </c>
      <c r="C307" s="3263">
        <v>0.15</v>
      </c>
      <c r="D307" s="3263">
        <v>0.15</v>
      </c>
      <c r="E307" s="3263">
        <v>0.15</v>
      </c>
      <c r="F307" s="3263">
        <v>0.12</v>
      </c>
      <c r="G307" s="3264">
        <v>0.15</v>
      </c>
    </row>
    <row r="308" spans="1:7">
      <c r="A308" s="3273" t="s">
        <v>306</v>
      </c>
      <c r="B308" s="3262" t="s">
        <v>2985</v>
      </c>
      <c r="C308" s="3263">
        <v>0.15</v>
      </c>
      <c r="D308" s="3263">
        <v>0.15</v>
      </c>
      <c r="E308" s="3263">
        <v>0.15</v>
      </c>
      <c r="F308" s="3263">
        <v>0.13</v>
      </c>
      <c r="G308" s="3264">
        <v>0.15</v>
      </c>
    </row>
    <row r="309" spans="1:7">
      <c r="A309" s="3273" t="s">
        <v>306</v>
      </c>
      <c r="B309" s="3262" t="s">
        <v>2989</v>
      </c>
      <c r="C309" s="3263">
        <v>0.15</v>
      </c>
      <c r="D309" s="3263">
        <v>0.15</v>
      </c>
      <c r="E309" s="3263">
        <v>0.15</v>
      </c>
      <c r="F309" s="3263">
        <v>0.14099999999999999</v>
      </c>
      <c r="G309" s="3264">
        <v>0.15</v>
      </c>
    </row>
    <row r="310" spans="1:7">
      <c r="A310" s="3273" t="s">
        <v>306</v>
      </c>
      <c r="B310" s="3262" t="s">
        <v>2994</v>
      </c>
      <c r="C310" s="3263">
        <v>0.15</v>
      </c>
      <c r="D310" s="3263">
        <v>0.15</v>
      </c>
      <c r="E310" s="3263">
        <v>0.15</v>
      </c>
      <c r="F310" s="3263">
        <v>0.15</v>
      </c>
      <c r="G310" s="3264">
        <v>0.15</v>
      </c>
    </row>
    <row r="311" spans="1:7">
      <c r="A311" s="3273" t="s">
        <v>306</v>
      </c>
      <c r="B311" s="3262" t="s">
        <v>2999</v>
      </c>
      <c r="C311" s="3263">
        <v>0.13200000000000001</v>
      </c>
      <c r="D311" s="3263">
        <v>0.13300000000000001</v>
      </c>
      <c r="E311" s="3263">
        <v>0.14499999999999999</v>
      </c>
      <c r="F311" s="3263">
        <v>0.14199999999999999</v>
      </c>
      <c r="G311" s="3264">
        <v>0.14000000000000001</v>
      </c>
    </row>
    <row r="312" spans="1:7">
      <c r="A312" s="3273" t="s">
        <v>306</v>
      </c>
      <c r="B312" s="3262" t="s">
        <v>3004</v>
      </c>
      <c r="C312" s="3263">
        <v>0.13800000000000001</v>
      </c>
      <c r="D312" s="3263">
        <v>0.14000000000000001</v>
      </c>
      <c r="E312" s="3263">
        <v>0.14599999999999999</v>
      </c>
      <c r="F312" s="3263">
        <v>0.14899999999999999</v>
      </c>
      <c r="G312" s="3264">
        <v>0.14199999999999999</v>
      </c>
    </row>
    <row r="313" spans="1:7">
      <c r="A313" s="3273" t="s">
        <v>306</v>
      </c>
      <c r="B313" s="3262" t="s">
        <v>3009</v>
      </c>
      <c r="C313" s="3263">
        <v>0.125</v>
      </c>
      <c r="D313" s="3263">
        <v>0.127</v>
      </c>
      <c r="E313" s="3263">
        <v>0.14399999999999999</v>
      </c>
      <c r="F313" s="3263">
        <v>0.115</v>
      </c>
      <c r="G313" s="3264">
        <v>0.13600000000000001</v>
      </c>
    </row>
    <row r="314" spans="1:7">
      <c r="A314" s="3273" t="s">
        <v>306</v>
      </c>
      <c r="B314" s="3262" t="s">
        <v>3218</v>
      </c>
      <c r="C314" s="3279"/>
      <c r="D314" s="3279"/>
      <c r="E314" s="3279"/>
      <c r="F314" s="3263">
        <v>0.05</v>
      </c>
      <c r="G314" s="3280"/>
    </row>
    <row r="315" spans="1:7">
      <c r="A315" s="3273" t="s">
        <v>306</v>
      </c>
      <c r="B315" s="3262" t="s">
        <v>3219</v>
      </c>
      <c r="C315" s="3279"/>
      <c r="D315" s="3279"/>
      <c r="E315" s="3279"/>
      <c r="F315" s="3263">
        <v>0.05</v>
      </c>
      <c r="G315" s="3280"/>
    </row>
    <row r="316" spans="1:7">
      <c r="A316" s="3273" t="s">
        <v>306</v>
      </c>
      <c r="B316" s="3262" t="s">
        <v>3220</v>
      </c>
      <c r="C316" s="3274"/>
      <c r="D316" s="3274"/>
      <c r="E316" s="3274"/>
      <c r="F316" s="3263">
        <v>0.05</v>
      </c>
      <c r="G316" s="3280"/>
    </row>
    <row r="317" spans="1:7">
      <c r="A317" s="3273" t="s">
        <v>306</v>
      </c>
      <c r="B317" s="3262" t="s">
        <v>3221</v>
      </c>
      <c r="C317" s="3274"/>
      <c r="D317" s="3274"/>
      <c r="E317" s="3274"/>
      <c r="F317" s="3263">
        <v>0.05</v>
      </c>
      <c r="G317" s="3280"/>
    </row>
    <row r="318" spans="1:7">
      <c r="A318" s="3273" t="s">
        <v>306</v>
      </c>
      <c r="B318" s="3262" t="s">
        <v>3222</v>
      </c>
      <c r="C318" s="3274"/>
      <c r="D318" s="3274"/>
      <c r="E318" s="3274"/>
      <c r="F318" s="3263">
        <v>0.05</v>
      </c>
      <c r="G318" s="3280"/>
    </row>
    <row r="319" spans="1:7">
      <c r="A319" s="3273" t="s">
        <v>306</v>
      </c>
      <c r="B319" s="3262" t="s">
        <v>3223</v>
      </c>
      <c r="C319" s="3274"/>
      <c r="D319" s="3274"/>
      <c r="E319" s="3274"/>
      <c r="F319" s="3263">
        <v>0.05</v>
      </c>
      <c r="G319" s="3280"/>
    </row>
    <row r="320" spans="1:7">
      <c r="A320" s="3273" t="s">
        <v>306</v>
      </c>
      <c r="B320" s="3262" t="s">
        <v>3224</v>
      </c>
      <c r="C320" s="3274"/>
      <c r="D320" s="3274"/>
      <c r="E320" s="3274"/>
      <c r="F320" s="3263">
        <v>0.05</v>
      </c>
      <c r="G320" s="3280"/>
    </row>
    <row r="321" spans="1:7">
      <c r="A321" s="3273" t="s">
        <v>306</v>
      </c>
      <c r="B321" s="3262" t="s">
        <v>3225</v>
      </c>
      <c r="C321" s="3274"/>
      <c r="D321" s="3274"/>
      <c r="E321" s="3274"/>
      <c r="F321" s="3263">
        <v>0.05</v>
      </c>
      <c r="G321" s="3280"/>
    </row>
    <row r="322" spans="1:7">
      <c r="A322" s="3273" t="s">
        <v>306</v>
      </c>
      <c r="B322" s="3262" t="s">
        <v>3226</v>
      </c>
      <c r="C322" s="3274"/>
      <c r="D322" s="3274"/>
      <c r="E322" s="3274"/>
      <c r="F322" s="3263">
        <v>0.05</v>
      </c>
      <c r="G322" s="3280"/>
    </row>
    <row r="323" spans="1:7">
      <c r="A323" s="3273" t="s">
        <v>306</v>
      </c>
      <c r="B323" s="3262" t="s">
        <v>3227</v>
      </c>
      <c r="C323" s="3274"/>
      <c r="D323" s="3274"/>
      <c r="E323" s="3274"/>
      <c r="F323" s="3263">
        <v>0.05</v>
      </c>
      <c r="G323" s="3280"/>
    </row>
    <row r="324" spans="1:7">
      <c r="A324" s="3273" t="s">
        <v>306</v>
      </c>
      <c r="B324" s="3262" t="s">
        <v>3228</v>
      </c>
      <c r="C324" s="3274"/>
      <c r="D324" s="3274"/>
      <c r="E324" s="3274"/>
      <c r="F324" s="3263">
        <v>0.05</v>
      </c>
      <c r="G324" s="3280"/>
    </row>
    <row r="325" spans="1:7">
      <c r="A325" s="3273" t="s">
        <v>306</v>
      </c>
      <c r="B325" s="3262" t="s">
        <v>3229</v>
      </c>
      <c r="C325" s="3274"/>
      <c r="D325" s="3274"/>
      <c r="E325" s="3274"/>
      <c r="F325" s="3263">
        <v>0.05</v>
      </c>
      <c r="G325" s="3280"/>
    </row>
    <row r="326" spans="1:7" ht="15" thickBot="1">
      <c r="A326" s="3276" t="s">
        <v>306</v>
      </c>
      <c r="B326" s="3266" t="s">
        <v>3230</v>
      </c>
      <c r="C326" s="3268"/>
      <c r="D326" s="3268"/>
      <c r="E326" s="3268"/>
      <c r="F326" s="3267">
        <v>0.05</v>
      </c>
      <c r="G326" s="3281"/>
    </row>
    <row r="327" spans="1:7">
      <c r="A327" s="3272" t="s">
        <v>307</v>
      </c>
      <c r="B327" s="3258" t="s">
        <v>2862</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2874</v>
      </c>
      <c r="C329" s="3263">
        <v>0.15</v>
      </c>
      <c r="D329" s="3263">
        <v>0.15</v>
      </c>
      <c r="E329" s="3263">
        <v>0.15</v>
      </c>
      <c r="F329" s="3263">
        <v>0.15</v>
      </c>
      <c r="G329" s="3264">
        <v>0.15</v>
      </c>
    </row>
    <row r="330" spans="1:7">
      <c r="A330" s="3273" t="s">
        <v>307</v>
      </c>
      <c r="B330" s="3262" t="s">
        <v>2878</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2886</v>
      </c>
      <c r="C332" s="3263">
        <v>0.15</v>
      </c>
      <c r="D332" s="3263">
        <v>0.15</v>
      </c>
      <c r="E332" s="3263">
        <v>0.15</v>
      </c>
      <c r="F332" s="3263">
        <v>0.15</v>
      </c>
      <c r="G332" s="3264">
        <v>0.15</v>
      </c>
    </row>
    <row r="333" spans="1:7">
      <c r="A333" s="3273" t="s">
        <v>307</v>
      </c>
      <c r="B333" s="3262" t="s">
        <v>2890</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2896</v>
      </c>
      <c r="C336" s="3263">
        <v>0.15</v>
      </c>
      <c r="D336" s="3263">
        <v>0.15</v>
      </c>
      <c r="E336" s="3263">
        <v>0.15</v>
      </c>
      <c r="F336" s="3263">
        <v>0.14199999999999999</v>
      </c>
      <c r="G336" s="3264">
        <v>0.15</v>
      </c>
    </row>
    <row r="337" spans="1:7">
      <c r="A337" s="3273" t="s">
        <v>307</v>
      </c>
      <c r="B337" s="3262" t="s">
        <v>2901</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2908</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2913</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2921</v>
      </c>
      <c r="C345" s="3263">
        <v>0.15</v>
      </c>
      <c r="D345" s="3263">
        <v>0.15</v>
      </c>
      <c r="E345" s="3263">
        <v>0.15</v>
      </c>
      <c r="F345" s="3263">
        <v>0.13800000000000001</v>
      </c>
      <c r="G345" s="3264">
        <v>0.15</v>
      </c>
    </row>
    <row r="346" spans="1:7">
      <c r="A346" s="3273" t="s">
        <v>307</v>
      </c>
      <c r="B346" s="3262" t="s">
        <v>2923</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2930</v>
      </c>
      <c r="C348" s="3263">
        <v>0.15</v>
      </c>
      <c r="D348" s="3263">
        <v>0.15</v>
      </c>
      <c r="E348" s="3263">
        <v>0.15</v>
      </c>
      <c r="F348" s="3263">
        <v>0.14399999999999999</v>
      </c>
      <c r="G348" s="3264">
        <v>0.15</v>
      </c>
    </row>
    <row r="349" spans="1:7">
      <c r="A349" s="3273" t="s">
        <v>307</v>
      </c>
      <c r="B349" s="3262" t="s">
        <v>2935</v>
      </c>
      <c r="C349" s="3263">
        <v>0.15</v>
      </c>
      <c r="D349" s="3263">
        <v>0.15</v>
      </c>
      <c r="E349" s="3263">
        <v>0.15</v>
      </c>
      <c r="F349" s="3263">
        <v>0.15</v>
      </c>
      <c r="G349" s="3264">
        <v>0.15</v>
      </c>
    </row>
    <row r="350" spans="1:7">
      <c r="A350" s="3273" t="s">
        <v>307</v>
      </c>
      <c r="B350" s="3262" t="s">
        <v>2938</v>
      </c>
      <c r="C350" s="3263">
        <v>0.15</v>
      </c>
      <c r="D350" s="3263">
        <v>0.15</v>
      </c>
      <c r="E350" s="3263">
        <v>0.15</v>
      </c>
      <c r="F350" s="3263">
        <v>0.14699999999999999</v>
      </c>
      <c r="G350" s="3264">
        <v>0.15</v>
      </c>
    </row>
    <row r="351" spans="1:7">
      <c r="A351" s="3273" t="s">
        <v>307</v>
      </c>
      <c r="B351" s="3262" t="s">
        <v>2943</v>
      </c>
      <c r="C351" s="3263">
        <v>0.15</v>
      </c>
      <c r="D351" s="3263">
        <v>0.15</v>
      </c>
      <c r="E351" s="3263">
        <v>0.15</v>
      </c>
      <c r="F351" s="3263">
        <v>0.13</v>
      </c>
      <c r="G351" s="3264">
        <v>0.15</v>
      </c>
    </row>
    <row r="352" spans="1:7">
      <c r="A352" s="3273" t="s">
        <v>307</v>
      </c>
      <c r="B352" s="3262" t="s">
        <v>2948</v>
      </c>
      <c r="C352" s="3263">
        <v>0.15</v>
      </c>
      <c r="D352" s="3263">
        <v>0.15</v>
      </c>
      <c r="E352" s="3263">
        <v>0.15</v>
      </c>
      <c r="F352" s="3263">
        <v>0.14599999999999999</v>
      </c>
      <c r="G352" s="3264">
        <v>0.15</v>
      </c>
    </row>
    <row r="353" spans="1:7">
      <c r="A353" s="3273" t="s">
        <v>307</v>
      </c>
      <c r="B353" s="3262" t="s">
        <v>2955</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2968</v>
      </c>
      <c r="C355" s="3263">
        <v>0.15</v>
      </c>
      <c r="D355" s="3263">
        <v>0.15</v>
      </c>
      <c r="E355" s="3263">
        <v>0.15</v>
      </c>
      <c r="F355" s="3263">
        <v>0.15</v>
      </c>
      <c r="G355" s="3264">
        <v>0.15</v>
      </c>
    </row>
    <row r="356" spans="1:7">
      <c r="A356" s="3273" t="s">
        <v>307</v>
      </c>
      <c r="B356" s="3262" t="s">
        <v>2975</v>
      </c>
      <c r="C356" s="3263">
        <v>0.15</v>
      </c>
      <c r="D356" s="3263">
        <v>0.15</v>
      </c>
      <c r="E356" s="3263">
        <v>0.15</v>
      </c>
      <c r="F356" s="3263">
        <v>0.15</v>
      </c>
      <c r="G356" s="3264">
        <v>0.15</v>
      </c>
    </row>
    <row r="357" spans="1:7" ht="15" thickBot="1">
      <c r="A357" s="3276" t="s">
        <v>307</v>
      </c>
      <c r="B357" s="3266" t="s">
        <v>2980</v>
      </c>
      <c r="C357" s="3267">
        <v>0.126</v>
      </c>
      <c r="D357" s="3267">
        <v>0.127</v>
      </c>
      <c r="E357" s="3267">
        <v>0.14299999999999999</v>
      </c>
      <c r="F357" s="3267">
        <v>0.125</v>
      </c>
      <c r="G357" s="3269">
        <v>0.129</v>
      </c>
    </row>
    <row r="358" spans="1:7">
      <c r="A358" s="3272" t="s">
        <v>2849</v>
      </c>
      <c r="B358" s="3258" t="s">
        <v>2863</v>
      </c>
      <c r="C358" s="3259">
        <v>0.15</v>
      </c>
      <c r="D358" s="3259">
        <v>0.15</v>
      </c>
      <c r="E358" s="3259">
        <v>0.15</v>
      </c>
      <c r="F358" s="3259">
        <v>0.15</v>
      </c>
      <c r="G358" s="3260">
        <v>0.15</v>
      </c>
    </row>
    <row r="359" spans="1:7">
      <c r="A359" s="3273" t="s">
        <v>2849</v>
      </c>
      <c r="B359" s="3262" t="s">
        <v>2869</v>
      </c>
      <c r="C359" s="3263">
        <v>0.1</v>
      </c>
      <c r="D359" s="3263">
        <v>0.1</v>
      </c>
      <c r="E359" s="3263">
        <v>0.1</v>
      </c>
      <c r="F359" s="3263">
        <v>0.1</v>
      </c>
      <c r="G359" s="3264">
        <v>0.1</v>
      </c>
    </row>
    <row r="360" spans="1:7">
      <c r="A360" s="3273" t="s">
        <v>2849</v>
      </c>
      <c r="B360" s="3262" t="s">
        <v>2875</v>
      </c>
      <c r="C360" s="3263">
        <v>0.15</v>
      </c>
      <c r="D360" s="3263">
        <v>0.15</v>
      </c>
      <c r="E360" s="3263">
        <v>0.15</v>
      </c>
      <c r="F360" s="3263">
        <v>0.14899999999999999</v>
      </c>
      <c r="G360" s="3264">
        <v>0.15</v>
      </c>
    </row>
    <row r="361" spans="1:7">
      <c r="A361" s="3273" t="s">
        <v>2849</v>
      </c>
      <c r="B361" s="3262" t="s">
        <v>153</v>
      </c>
      <c r="C361" s="3263">
        <v>0.15</v>
      </c>
      <c r="D361" s="3263">
        <v>0.15</v>
      </c>
      <c r="E361" s="3263">
        <v>0.15</v>
      </c>
      <c r="F361" s="3263">
        <v>0.115</v>
      </c>
      <c r="G361" s="3264">
        <v>0.15</v>
      </c>
    </row>
    <row r="362" spans="1:7">
      <c r="A362" s="3273" t="s">
        <v>2849</v>
      </c>
      <c r="B362" s="3262" t="s">
        <v>2882</v>
      </c>
      <c r="C362" s="3263">
        <v>0.15</v>
      </c>
      <c r="D362" s="3263">
        <v>0.15</v>
      </c>
      <c r="E362" s="3263">
        <v>0.15</v>
      </c>
      <c r="F362" s="3263">
        <v>0.106</v>
      </c>
      <c r="G362" s="3264">
        <v>0.15</v>
      </c>
    </row>
    <row r="363" spans="1:7">
      <c r="A363" s="3273" t="s">
        <v>2849</v>
      </c>
      <c r="B363" s="3262" t="s">
        <v>2887</v>
      </c>
      <c r="C363" s="3263">
        <v>0.15</v>
      </c>
      <c r="D363" s="3263">
        <v>0.15</v>
      </c>
      <c r="E363" s="3263">
        <v>0.15</v>
      </c>
      <c r="F363" s="3263">
        <v>0.14699999999999999</v>
      </c>
      <c r="G363" s="3264">
        <v>0.15</v>
      </c>
    </row>
    <row r="364" spans="1:7">
      <c r="A364" s="3273" t="s">
        <v>2849</v>
      </c>
      <c r="B364" s="3262" t="s">
        <v>2891</v>
      </c>
      <c r="C364" s="3263">
        <v>0.15</v>
      </c>
      <c r="D364" s="3263">
        <v>0.15</v>
      </c>
      <c r="E364" s="3263">
        <v>0.15</v>
      </c>
      <c r="F364" s="3263">
        <v>0.14799999999999999</v>
      </c>
      <c r="G364" s="3264">
        <v>0.15</v>
      </c>
    </row>
    <row r="365" spans="1:7">
      <c r="A365" s="3273" t="s">
        <v>2849</v>
      </c>
      <c r="B365" s="3262" t="s">
        <v>200</v>
      </c>
      <c r="C365" s="3263">
        <v>0.15</v>
      </c>
      <c r="D365" s="3263">
        <v>0.15</v>
      </c>
      <c r="E365" s="3263">
        <v>0.15</v>
      </c>
      <c r="F365" s="3263">
        <v>0.15</v>
      </c>
      <c r="G365" s="3264">
        <v>0.15</v>
      </c>
    </row>
    <row r="366" spans="1:7">
      <c r="A366" s="3273" t="s">
        <v>2849</v>
      </c>
      <c r="B366" s="3262" t="s">
        <v>2894</v>
      </c>
      <c r="C366" s="3263">
        <v>0.15</v>
      </c>
      <c r="D366" s="3263">
        <v>0.15</v>
      </c>
      <c r="E366" s="3263">
        <v>0.15</v>
      </c>
      <c r="F366" s="3263">
        <v>0.15</v>
      </c>
      <c r="G366" s="3264">
        <v>0.15</v>
      </c>
    </row>
    <row r="367" spans="1:7">
      <c r="A367" s="3273" t="s">
        <v>2849</v>
      </c>
      <c r="B367" s="3262" t="s">
        <v>2897</v>
      </c>
      <c r="C367" s="3263">
        <v>0.15</v>
      </c>
      <c r="D367" s="3263">
        <v>0.15</v>
      </c>
      <c r="E367" s="3263">
        <v>0.15</v>
      </c>
      <c r="F367" s="3263">
        <v>0.14699999999999999</v>
      </c>
      <c r="G367" s="3264">
        <v>0.15</v>
      </c>
    </row>
    <row r="368" spans="1:7">
      <c r="A368" s="3273" t="s">
        <v>2849</v>
      </c>
      <c r="B368" s="3262" t="s">
        <v>2902</v>
      </c>
      <c r="C368" s="3263">
        <v>0.15</v>
      </c>
      <c r="D368" s="3263">
        <v>0.15</v>
      </c>
      <c r="E368" s="3263">
        <v>0.15</v>
      </c>
      <c r="F368" s="3263">
        <v>0.13600000000000001</v>
      </c>
      <c r="G368" s="3264">
        <v>0.15</v>
      </c>
    </row>
    <row r="369" spans="1:7">
      <c r="A369" s="3273" t="s">
        <v>2849</v>
      </c>
      <c r="B369" s="3262" t="s">
        <v>214</v>
      </c>
      <c r="C369" s="3263">
        <v>0.15</v>
      </c>
      <c r="D369" s="3263">
        <v>0.15</v>
      </c>
      <c r="E369" s="3263">
        <v>0.15</v>
      </c>
      <c r="F369" s="3263">
        <v>0.14399999999999999</v>
      </c>
      <c r="G369" s="3264">
        <v>0.15</v>
      </c>
    </row>
    <row r="370" spans="1:7">
      <c r="A370" s="3273" t="s">
        <v>2849</v>
      </c>
      <c r="B370" s="3262" t="s">
        <v>221</v>
      </c>
      <c r="C370" s="3263">
        <v>0.15</v>
      </c>
      <c r="D370" s="3263">
        <v>0.15</v>
      </c>
      <c r="E370" s="3263">
        <v>0.15</v>
      </c>
      <c r="F370" s="3263">
        <v>0.14599999999999999</v>
      </c>
      <c r="G370" s="3264">
        <v>0.15</v>
      </c>
    </row>
    <row r="371" spans="1:7">
      <c r="A371" s="3273" t="s">
        <v>2849</v>
      </c>
      <c r="B371" s="3262" t="s">
        <v>229</v>
      </c>
      <c r="C371" s="3263">
        <v>0.15</v>
      </c>
      <c r="D371" s="3263">
        <v>0.15</v>
      </c>
      <c r="E371" s="3263">
        <v>0.15</v>
      </c>
      <c r="F371" s="3263">
        <v>0.12</v>
      </c>
      <c r="G371" s="3264">
        <v>0.15</v>
      </c>
    </row>
    <row r="372" spans="1:7">
      <c r="A372" s="3273" t="s">
        <v>2849</v>
      </c>
      <c r="B372" s="3262" t="s">
        <v>2910</v>
      </c>
      <c r="C372" s="3263">
        <v>0.15</v>
      </c>
      <c r="D372" s="3263">
        <v>0.15</v>
      </c>
      <c r="E372" s="3263">
        <v>0.15</v>
      </c>
      <c r="F372" s="3263">
        <v>0.14299999999999999</v>
      </c>
      <c r="G372" s="3264">
        <v>0.15</v>
      </c>
    </row>
    <row r="373" spans="1:7">
      <c r="A373" s="3273" t="s">
        <v>2849</v>
      </c>
      <c r="B373" s="3262" t="s">
        <v>258</v>
      </c>
      <c r="C373" s="3263">
        <v>0.15</v>
      </c>
      <c r="D373" s="3263">
        <v>0.15</v>
      </c>
      <c r="E373" s="3263">
        <v>0.15</v>
      </c>
      <c r="F373" s="3263">
        <v>0.14599999999999999</v>
      </c>
      <c r="G373" s="3264">
        <v>0.15</v>
      </c>
    </row>
    <row r="374" spans="1:7">
      <c r="A374" s="3273" t="s">
        <v>2849</v>
      </c>
      <c r="B374" s="3262" t="s">
        <v>266</v>
      </c>
      <c r="C374" s="3263">
        <v>0.15</v>
      </c>
      <c r="D374" s="3263">
        <v>0.15</v>
      </c>
      <c r="E374" s="3263">
        <v>0.15</v>
      </c>
      <c r="F374" s="3263">
        <v>0.14399999999999999</v>
      </c>
      <c r="G374" s="3264">
        <v>0.15</v>
      </c>
    </row>
    <row r="375" spans="1:7">
      <c r="A375" s="3273" t="s">
        <v>2849</v>
      </c>
      <c r="B375" s="3262" t="s">
        <v>2918</v>
      </c>
      <c r="C375" s="3263">
        <v>0.15</v>
      </c>
      <c r="D375" s="3263">
        <v>0.15</v>
      </c>
      <c r="E375" s="3263">
        <v>0.15</v>
      </c>
      <c r="F375" s="3263">
        <v>0.13</v>
      </c>
      <c r="G375" s="3264">
        <v>0.15</v>
      </c>
    </row>
    <row r="376" spans="1:7">
      <c r="A376" s="3273" t="s">
        <v>2849</v>
      </c>
      <c r="B376" s="3262" t="s">
        <v>277</v>
      </c>
      <c r="C376" s="3263">
        <v>0.15</v>
      </c>
      <c r="D376" s="3263">
        <v>0.15</v>
      </c>
      <c r="E376" s="3263">
        <v>0.15</v>
      </c>
      <c r="F376" s="3263">
        <v>0.14199999999999999</v>
      </c>
      <c r="G376" s="3264">
        <v>0.15</v>
      </c>
    </row>
    <row r="377" spans="1:7" ht="15" thickBot="1">
      <c r="A377" s="3276" t="s">
        <v>2849</v>
      </c>
      <c r="B377" s="3266" t="s">
        <v>2924</v>
      </c>
      <c r="C377" s="3267">
        <v>0.15</v>
      </c>
      <c r="D377" s="3267">
        <v>0.15</v>
      </c>
      <c r="E377" s="3267">
        <v>0.15</v>
      </c>
      <c r="F377" s="3267">
        <v>0.14000000000000001</v>
      </c>
      <c r="G377" s="3269">
        <v>0.15</v>
      </c>
    </row>
    <row r="378" spans="1:7">
      <c r="A378" s="3272" t="s">
        <v>2850</v>
      </c>
      <c r="B378" s="3258" t="s">
        <v>2864</v>
      </c>
      <c r="C378" s="3259">
        <v>0.15</v>
      </c>
      <c r="D378" s="3259">
        <v>0.15</v>
      </c>
      <c r="E378" s="3259">
        <v>0.15</v>
      </c>
      <c r="F378" s="3259">
        <v>0.107</v>
      </c>
      <c r="G378" s="3260">
        <v>0.15</v>
      </c>
    </row>
    <row r="379" spans="1:7">
      <c r="A379" s="3273" t="s">
        <v>2850</v>
      </c>
      <c r="B379" s="3262" t="s">
        <v>2870</v>
      </c>
      <c r="C379" s="3263">
        <v>0.15</v>
      </c>
      <c r="D379" s="3263">
        <v>0.15</v>
      </c>
      <c r="E379" s="3263">
        <v>0.15</v>
      </c>
      <c r="F379" s="3263">
        <v>0.115</v>
      </c>
      <c r="G379" s="3264">
        <v>0.14899999999999999</v>
      </c>
    </row>
    <row r="380" spans="1:7">
      <c r="A380" s="3273" t="s">
        <v>2850</v>
      </c>
      <c r="B380" s="3262" t="s">
        <v>2876</v>
      </c>
      <c r="C380" s="3263">
        <v>0.15</v>
      </c>
      <c r="D380" s="3263">
        <v>0.15</v>
      </c>
      <c r="E380" s="3263">
        <v>0.15</v>
      </c>
      <c r="F380" s="3263">
        <v>0.1</v>
      </c>
      <c r="G380" s="3264">
        <v>0.14799999999999999</v>
      </c>
    </row>
    <row r="381" spans="1:7">
      <c r="A381" s="3273" t="s">
        <v>2850</v>
      </c>
      <c r="B381" s="3262" t="s">
        <v>2879</v>
      </c>
      <c r="C381" s="3263">
        <v>0.15</v>
      </c>
      <c r="D381" s="3263">
        <v>0.15</v>
      </c>
      <c r="E381" s="3263">
        <v>0.15</v>
      </c>
      <c r="F381" s="3263">
        <v>0.126</v>
      </c>
      <c r="G381" s="3264">
        <v>0.15</v>
      </c>
    </row>
    <row r="382" spans="1:7">
      <c r="A382" s="3273" t="s">
        <v>2850</v>
      </c>
      <c r="B382" s="3262" t="s">
        <v>2883</v>
      </c>
      <c r="C382" s="3263">
        <v>0.15</v>
      </c>
      <c r="D382" s="3263">
        <v>0.15</v>
      </c>
      <c r="E382" s="3263">
        <v>0.15</v>
      </c>
      <c r="F382" s="3263">
        <v>0.15</v>
      </c>
      <c r="G382" s="3264">
        <v>0.15</v>
      </c>
    </row>
    <row r="383" spans="1:7">
      <c r="A383" s="3273" t="s">
        <v>2850</v>
      </c>
      <c r="B383" s="3262" t="s">
        <v>2888</v>
      </c>
      <c r="C383" s="3263">
        <v>0.15</v>
      </c>
      <c r="D383" s="3263">
        <v>0.15</v>
      </c>
      <c r="E383" s="3263">
        <v>0.15</v>
      </c>
      <c r="F383" s="3263">
        <v>0.14699999999999999</v>
      </c>
      <c r="G383" s="3264">
        <v>0.15</v>
      </c>
    </row>
    <row r="384" spans="1:7" ht="15" thickBot="1">
      <c r="A384" s="3283" t="s">
        <v>2850</v>
      </c>
      <c r="B384" s="3284" t="s">
        <v>2892</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8"/>
  </cols>
  <sheetData>
    <row r="1" spans="1:6">
      <c r="A1" s="3790" t="s">
        <v>3231</v>
      </c>
      <c r="B1" s="3790"/>
      <c r="C1" s="3790"/>
      <c r="D1" s="3790"/>
      <c r="E1" s="3790"/>
      <c r="F1" s="3791"/>
    </row>
    <row r="2" spans="1:6">
      <c r="A2" s="3289" t="s">
        <v>3232</v>
      </c>
      <c r="B2" s="3290"/>
      <c r="C2" s="3290"/>
      <c r="D2" s="3290"/>
      <c r="E2" s="3290"/>
      <c r="F2" s="3290"/>
    </row>
    <row r="3" spans="1:6">
      <c r="A3" s="3289" t="s">
        <v>3233</v>
      </c>
      <c r="B3" s="3290"/>
      <c r="C3" s="3290"/>
      <c r="D3" s="3290"/>
      <c r="E3" s="3290"/>
      <c r="F3" s="3291" t="s">
        <v>3234</v>
      </c>
    </row>
    <row r="4" spans="1:6">
      <c r="A4" s="3292" t="s">
        <v>672</v>
      </c>
      <c r="B4" s="3292" t="s">
        <v>673</v>
      </c>
      <c r="C4" s="3292" t="s">
        <v>21</v>
      </c>
      <c r="D4" s="3292" t="s">
        <v>674</v>
      </c>
      <c r="E4" s="3292" t="s">
        <v>3</v>
      </c>
      <c r="F4" s="3292" t="s">
        <v>3235</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19">
        <f>基准地价修正!G23</f>
        <v>45322</v>
      </c>
      <c r="B1" s="3208" t="s">
        <v>3370</v>
      </c>
      <c r="C1" s="3209"/>
      <c r="D1" s="3209"/>
      <c r="E1" s="3209"/>
      <c r="F1" s="3209"/>
      <c r="G1" s="3209"/>
      <c r="H1" s="3209"/>
      <c r="I1" s="3209"/>
      <c r="J1" s="3163"/>
      <c r="K1" s="3209" t="s">
        <v>454</v>
      </c>
      <c r="L1" s="3209"/>
      <c r="M1" s="3209"/>
      <c r="N1" s="3209"/>
      <c r="O1" s="3209"/>
      <c r="P1" s="3209"/>
      <c r="Q1" s="3163"/>
      <c r="R1" s="3792" t="s">
        <v>456</v>
      </c>
      <c r="S1" s="3793"/>
      <c r="T1" s="3793"/>
      <c r="U1" s="3793"/>
      <c r="V1" s="3793"/>
      <c r="W1" s="3793"/>
      <c r="X1" s="3163"/>
      <c r="Y1" s="3792" t="s">
        <v>457</v>
      </c>
      <c r="Z1" s="3793"/>
      <c r="AA1" s="3793"/>
      <c r="AB1" s="3793"/>
      <c r="AC1" s="3793"/>
      <c r="AD1" s="3793"/>
    </row>
    <row r="2" spans="1:30" s="3141" customFormat="1" ht="1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row>
    <row r="3" spans="1:30" s="3159" customFormat="1" ht="13.2">
      <c r="A3" s="3147" t="s">
        <v>2818</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3" t="s">
        <v>3373</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3.2">
      <c r="A6" s="2203" t="s">
        <v>3374</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3.2">
      <c r="A7" s="3184" t="s">
        <v>3376</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3.2">
      <c r="A8" s="3174" t="s">
        <v>3377</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3.2">
      <c r="A9" s="3174" t="s">
        <v>3369</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3.2">
      <c r="A10" s="3174" t="s">
        <v>3368</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3.2">
      <c r="A11" s="3174" t="s">
        <v>3367</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3.2">
      <c r="A12" s="3174" t="s">
        <v>3363</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3.2">
      <c r="A13" s="3174" t="s">
        <v>3354</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3.2">
      <c r="A14" s="3174" t="s">
        <v>2819</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3.2">
      <c r="A15" s="3174" t="s">
        <v>2820</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3.2">
      <c r="A16" s="3174" t="s">
        <v>2821</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3.2">
      <c r="A17" s="3174" t="s">
        <v>2822</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ht="13.8" thickBot="1">
      <c r="A18" s="3195" t="s">
        <v>2823</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5" thickTop="1"/>
    <row r="20" spans="1:30" s="3007" customFormat="1">
      <c r="A20" s="3446" t="s">
        <v>3365</v>
      </c>
    </row>
    <row r="21" spans="1:30" s="3007" customFormat="1">
      <c r="I21" s="3206" t="s">
        <v>2824</v>
      </c>
    </row>
    <row r="22" spans="1:30" s="3007" customFormat="1"/>
    <row r="23" spans="1:30" s="3207" customFormat="1" ht="13.2">
      <c r="B23" s="3208" t="s">
        <v>3371</v>
      </c>
      <c r="C23" s="3209"/>
      <c r="D23" s="3209"/>
      <c r="E23" s="3209"/>
      <c r="F23" s="3209"/>
      <c r="G23" s="3209"/>
      <c r="H23" s="3209"/>
      <c r="I23" s="3209"/>
      <c r="J23" s="3163"/>
      <c r="K23" s="3209" t="s">
        <v>2825</v>
      </c>
      <c r="L23" s="3209"/>
      <c r="M23" s="3209"/>
      <c r="N23" s="3209"/>
      <c r="O23" s="3209"/>
      <c r="P23" s="3209"/>
      <c r="Q23" s="3163"/>
      <c r="R23" s="3792" t="s">
        <v>2826</v>
      </c>
      <c r="S23" s="3793"/>
      <c r="T23" s="3793"/>
      <c r="U23" s="3793"/>
      <c r="V23" s="3793"/>
      <c r="W23" s="3793"/>
      <c r="X23" s="3163"/>
      <c r="Y23" s="3792" t="s">
        <v>2827</v>
      </c>
      <c r="Z23" s="3793"/>
      <c r="AA23" s="3793"/>
      <c r="AB23" s="3793"/>
      <c r="AC23" s="3793"/>
      <c r="AD23" s="3793"/>
    </row>
    <row r="24" spans="1:30" s="3141" customFormat="1" ht="15" thickBot="1">
      <c r="B24" s="3142"/>
      <c r="C24" s="3143"/>
      <c r="D24" s="3144" t="s">
        <v>2828</v>
      </c>
      <c r="E24" s="3145" t="s">
        <v>2829</v>
      </c>
      <c r="F24" s="3145" t="s">
        <v>2830</v>
      </c>
      <c r="G24" s="3145" t="s">
        <v>2831</v>
      </c>
      <c r="H24" s="3145"/>
      <c r="I24" s="3145" t="s">
        <v>2832</v>
      </c>
      <c r="J24" s="3146"/>
      <c r="K24" s="3144" t="s">
        <v>2828</v>
      </c>
      <c r="L24" s="3145" t="s">
        <v>2829</v>
      </c>
      <c r="M24" s="3145" t="s">
        <v>2830</v>
      </c>
      <c r="N24" s="3145" t="s">
        <v>2831</v>
      </c>
      <c r="O24" s="3145"/>
      <c r="P24" s="3145" t="s">
        <v>2832</v>
      </c>
      <c r="Q24" s="3146"/>
      <c r="R24" s="3144" t="s">
        <v>2828</v>
      </c>
      <c r="S24" s="3145" t="s">
        <v>2829</v>
      </c>
      <c r="T24" s="3145" t="s">
        <v>2830</v>
      </c>
      <c r="U24" s="3145" t="s">
        <v>2831</v>
      </c>
      <c r="V24" s="3145"/>
      <c r="W24" s="3145" t="s">
        <v>2832</v>
      </c>
      <c r="X24" s="3146"/>
      <c r="Y24" s="3144" t="s">
        <v>2828</v>
      </c>
      <c r="Z24" s="3145" t="s">
        <v>2829</v>
      </c>
      <c r="AA24" s="3145" t="s">
        <v>2830</v>
      </c>
      <c r="AB24" s="3145" t="s">
        <v>2831</v>
      </c>
      <c r="AC24" s="3145"/>
      <c r="AD24" s="3145" t="s">
        <v>2832</v>
      </c>
    </row>
    <row r="25" spans="1:30" s="3159" customFormat="1" ht="13.2">
      <c r="A25" s="3147" t="s">
        <v>2833</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3.2">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3.2">
      <c r="A27" s="2203" t="s">
        <v>3373</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3.2">
      <c r="A28" s="2203" t="s">
        <v>3374</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3.2">
      <c r="A29" s="3184" t="s">
        <v>3378</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3.2">
      <c r="A30" s="3174" t="s">
        <v>3377</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3.2">
      <c r="A31" s="3174" t="s">
        <v>3372</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3.2">
      <c r="A32" s="3174" t="s">
        <v>3368</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3.2">
      <c r="A33" s="3174" t="s">
        <v>3367</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3.2">
      <c r="A34" s="3174" t="s">
        <v>3364</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3.2">
      <c r="A35" s="3174" t="s">
        <v>3354</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3.2">
      <c r="A36" s="3174" t="s">
        <v>2834</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3.2">
      <c r="A37" s="3174" t="s">
        <v>2835</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3.2">
      <c r="A38" s="3174" t="s">
        <v>2836</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3.2">
      <c r="A39" s="3174" t="s">
        <v>2837</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ht="13.8" thickBot="1">
      <c r="A40" s="3195" t="s">
        <v>2823</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5" thickTop="1"/>
    <row r="42" spans="1:30">
      <c r="A42" s="3446"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799" t="s">
        <v>452</v>
      </c>
      <c r="C1" s="3799"/>
      <c r="D1" s="3799"/>
      <c r="E1" s="3799"/>
      <c r="F1" s="3799"/>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0" customFormat="1" ht="1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2109</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2110</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2125</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2123</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2122</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2121</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2119</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2118</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2120</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2116</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2115</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2108</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2106</v>
      </c>
      <c r="B25" s="2218">
        <v>439</v>
      </c>
      <c r="C25" s="2218">
        <v>327</v>
      </c>
      <c r="D25" s="2218">
        <f>C25</f>
        <v>327</v>
      </c>
      <c r="E25" s="2218">
        <v>627</v>
      </c>
      <c r="F25" s="2219">
        <v>283</v>
      </c>
      <c r="G25" s="380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2107</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79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79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80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79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79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79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79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79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79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79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79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79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79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79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5">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796">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79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5">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796">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45322</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21"/>
      <c r="B23" s="2814" t="s">
        <v>2308</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5.6">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5" customWidth="1"/>
    <col min="2" max="9" width="12.109375" style="1475" customWidth="1"/>
    <col min="10" max="16384" width="9" style="1475"/>
  </cols>
  <sheetData>
    <row r="1" spans="1:9" ht="18"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6">
      <c r="A3" s="3478"/>
      <c r="B3" s="3478"/>
      <c r="C3" s="3478"/>
      <c r="D3" s="854" t="s">
        <v>925</v>
      </c>
      <c r="E3" s="854" t="s">
        <v>931</v>
      </c>
      <c r="F3" s="854" t="s">
        <v>925</v>
      </c>
      <c r="G3" s="854" t="s">
        <v>926</v>
      </c>
      <c r="H3" s="854" t="s">
        <v>925</v>
      </c>
      <c r="I3" s="854" t="s">
        <v>926</v>
      </c>
    </row>
    <row r="4" spans="1:9" ht="15">
      <c r="A4" s="1503" t="str">
        <f>项目基本情况!S2</f>
        <v>北京市房地产</v>
      </c>
      <c r="B4" s="854">
        <f>项目基本情况!C17</f>
        <v>87.01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8" t="s">
        <v>927</v>
      </c>
      <c r="B5" s="3478"/>
      <c r="C5" s="3478"/>
      <c r="D5" s="3478" t="e">
        <f ca="1">结果表!D119</f>
        <v>#REF!</v>
      </c>
      <c r="E5" s="3478"/>
      <c r="F5" s="3478" t="e">
        <f ca="1">结果表!F119</f>
        <v>#REF!</v>
      </c>
      <c r="G5" s="3478"/>
      <c r="H5" s="3478" t="e">
        <f ca="1">结果表!H119</f>
        <v>#REF!</v>
      </c>
      <c r="I5" s="3478"/>
    </row>
    <row r="6" spans="1:9" ht="15.6">
      <c r="A6" s="3477" t="str">
        <f>结果表!A120</f>
        <v>估价师知悉的法定优先受偿款</v>
      </c>
      <c r="B6" s="3477"/>
      <c r="C6" s="3477"/>
      <c r="D6" s="3477">
        <f>结果表!D120</f>
        <v>0</v>
      </c>
      <c r="E6" s="3477"/>
      <c r="F6" s="3477"/>
      <c r="G6" s="3477"/>
      <c r="H6" s="3477"/>
      <c r="I6" s="3477"/>
    </row>
    <row r="7" spans="1:9" ht="15">
      <c r="A7" s="3478" t="s">
        <v>927</v>
      </c>
      <c r="B7" s="3478"/>
      <c r="C7" s="3478"/>
      <c r="D7" s="3479" t="str">
        <f>结果表!D121</f>
        <v>零元整</v>
      </c>
      <c r="E7" s="3480"/>
      <c r="F7" s="3480"/>
      <c r="G7" s="3480"/>
      <c r="H7" s="3480"/>
      <c r="I7" s="3481"/>
    </row>
    <row r="8" spans="1:9" ht="15.6">
      <c r="A8" s="3477" t="str">
        <f>结果表!A122</f>
        <v>房地产抵押价值</v>
      </c>
      <c r="B8" s="3477"/>
      <c r="C8" s="3477"/>
      <c r="D8" s="3477" t="e">
        <f ca="1">结果表!D122</f>
        <v>#REF!</v>
      </c>
      <c r="E8" s="3477"/>
      <c r="F8" s="3477"/>
      <c r="G8" s="3477"/>
      <c r="H8" s="3477"/>
      <c r="I8" s="3477"/>
    </row>
    <row r="9" spans="1:9" ht="15">
      <c r="A9" s="3478" t="s">
        <v>927</v>
      </c>
      <c r="B9" s="3478"/>
      <c r="C9" s="3478"/>
      <c r="D9" s="3478" t="e">
        <f ca="1">结果表!D123</f>
        <v>#REF!</v>
      </c>
      <c r="E9" s="3478"/>
      <c r="F9" s="3478"/>
      <c r="G9" s="3478"/>
      <c r="H9" s="3478"/>
      <c r="I9" s="3478"/>
    </row>
    <row r="10" spans="1:9" ht="15.6">
      <c r="A10" s="3477" t="str">
        <f>结果表!A124</f>
        <v/>
      </c>
      <c r="B10" s="3477"/>
      <c r="C10" s="3477"/>
      <c r="D10" s="3477" t="str">
        <f>结果表!D124</f>
        <v>——</v>
      </c>
      <c r="E10" s="3477"/>
      <c r="F10" s="3477"/>
      <c r="G10" s="3477"/>
      <c r="H10" s="3477"/>
      <c r="I10" s="3477"/>
    </row>
    <row r="11" spans="1:9" ht="15">
      <c r="A11" s="3478" t="s">
        <v>927</v>
      </c>
      <c r="B11" s="3478"/>
      <c r="C11" s="3478"/>
      <c r="D11" s="3478" t="e">
        <f>结果表!D125</f>
        <v>#VALUE!</v>
      </c>
      <c r="E11" s="3478"/>
      <c r="F11" s="3478"/>
      <c r="G11" s="3478"/>
      <c r="H11" s="3478"/>
      <c r="I11" s="3478"/>
    </row>
    <row r="12" spans="1:9" ht="15.6">
      <c r="A12" s="3477" t="str">
        <f>结果表!A126</f>
        <v/>
      </c>
      <c r="B12" s="3477"/>
      <c r="C12" s="3477"/>
      <c r="D12" s="3477" t="str">
        <f>结果表!D126</f>
        <v>——</v>
      </c>
      <c r="E12" s="3477"/>
      <c r="F12" s="3477"/>
      <c r="G12" s="3477"/>
      <c r="H12" s="3477"/>
      <c r="I12" s="3477"/>
    </row>
    <row r="13" spans="1:9" ht="15.6" thickBot="1">
      <c r="A13" s="3475" t="s">
        <v>927</v>
      </c>
      <c r="B13" s="3475"/>
      <c r="C13" s="3475"/>
      <c r="D13" s="3475" t="e">
        <f>结果表!D127</f>
        <v>#VALUE!</v>
      </c>
      <c r="E13" s="3475"/>
      <c r="F13" s="3475"/>
      <c r="G13" s="3475"/>
      <c r="H13" s="3475"/>
      <c r="I13" s="3475"/>
    </row>
    <row r="14" spans="1:9" ht="14.4" thickTop="1">
      <c r="A14" s="3476" t="s">
        <v>932</v>
      </c>
      <c r="B14" s="3476"/>
      <c r="C14" s="3476"/>
      <c r="D14" s="3476"/>
      <c r="E14" s="3476"/>
      <c r="F14" s="3476"/>
      <c r="G14" s="3476"/>
      <c r="H14" s="3476"/>
      <c r="I14" s="3476"/>
    </row>
    <row r="16" spans="1:9" ht="17.399999999999999">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5" customWidth="1"/>
    <col min="2" max="3" width="22.33203125" style="1475" customWidth="1"/>
    <col min="4" max="4" width="23" style="1475" customWidth="1"/>
    <col min="5" max="16384" width="9" style="1475"/>
  </cols>
  <sheetData>
    <row r="1" spans="1:4" ht="17.399999999999999">
      <c r="A1" s="3490" t="s">
        <v>949</v>
      </c>
      <c r="B1" s="3490"/>
      <c r="C1" s="3490"/>
      <c r="D1" s="3490"/>
    </row>
    <row r="2" spans="1:4" ht="17.399999999999999">
      <c r="A2" s="3491" t="s">
        <v>933</v>
      </c>
      <c r="B2" s="3491"/>
      <c r="C2" s="3491"/>
      <c r="D2" s="3491"/>
    </row>
    <row r="3" spans="1:4" ht="17.399999999999999">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7.399999999999999">
      <c r="A6" s="3491" t="s">
        <v>939</v>
      </c>
      <c r="B6" s="3491"/>
      <c r="C6" s="3491"/>
      <c r="D6" s="3491"/>
    </row>
    <row r="7" spans="1:4" ht="17.399999999999999">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7.399999999999999">
      <c r="A10" s="1514" t="s">
        <v>941</v>
      </c>
      <c r="B10" s="675"/>
      <c r="C10" s="675"/>
      <c r="D10" s="675"/>
    </row>
    <row r="11" spans="1:4" ht="30" customHeight="1">
      <c r="A11" s="3492" t="s">
        <v>942</v>
      </c>
      <c r="B11" s="3484"/>
      <c r="C11" s="3484"/>
      <c r="D11" s="3484"/>
    </row>
    <row r="12" spans="1:4" ht="15.6">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4" t="str">
        <f>IF(项目基本情况!B8="抵押","4.本次评估估价师所知悉的法定优先受偿款情况说明如下：","——")</f>
        <v>4.本次评估估价师所知悉的法定优先受偿款情况说明如下：</v>
      </c>
      <c r="B14" s="3489"/>
      <c r="C14" s="3489"/>
      <c r="D14" s="3489"/>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943</v>
      </c>
      <c r="B16" s="3486"/>
      <c r="C16" s="3486"/>
      <c r="D16" s="3486"/>
    </row>
    <row r="17" spans="1:4" ht="144" customHeight="1">
      <c r="A17" s="3486" t="s">
        <v>944</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5"/>
      <c r="B23" s="1487"/>
      <c r="C23" s="1487"/>
      <c r="D23" s="1487"/>
    </row>
    <row r="24" spans="1:4">
      <c r="A24" s="1515"/>
      <c r="B24" s="1487"/>
      <c r="C24" s="1487"/>
      <c r="D24" s="1487"/>
    </row>
    <row r="25" spans="1:4" ht="17.399999999999999">
      <c r="A25" s="1516" t="s">
        <v>946</v>
      </c>
    </row>
    <row r="26" spans="1:4" ht="17.399999999999999">
      <c r="A26" s="1485"/>
    </row>
    <row r="27" spans="1:4" ht="17.399999999999999">
      <c r="A27" s="1485" t="s">
        <v>947</v>
      </c>
    </row>
    <row r="30" spans="1:4" ht="17.399999999999999">
      <c r="D30" s="1516" t="s">
        <v>948</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3" customWidth="1"/>
    <col min="3" max="10" width="12.44140625" style="1473" customWidth="1"/>
    <col min="11" max="16384" width="9" style="1473"/>
  </cols>
  <sheetData>
    <row r="1" spans="1:10" ht="17.399999999999999">
      <c r="A1" s="1506" t="s">
        <v>391</v>
      </c>
      <c r="B1" s="1517"/>
      <c r="C1" s="1517"/>
      <c r="D1" s="1517"/>
      <c r="E1" s="1517"/>
      <c r="F1" s="1517"/>
      <c r="G1" s="1517"/>
      <c r="H1" s="1517"/>
      <c r="I1" s="1517"/>
      <c r="J1" s="1517"/>
    </row>
    <row r="2" spans="1:10" ht="17.399999999999999">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3" customWidth="1"/>
    <col min="2" max="16384" width="14.44140625" style="1505"/>
  </cols>
  <sheetData>
    <row r="1" spans="1:7" s="1520" customFormat="1" ht="17.399999999999999">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4.4">
      <c r="A15" s="3498" t="s">
        <v>956</v>
      </c>
      <c r="B15" s="3493" t="s">
        <v>109</v>
      </c>
      <c r="C15" s="3494"/>
    </row>
    <row r="16" spans="1:7" ht="14.4">
      <c r="A16" s="3499"/>
      <c r="B16" s="3493" t="s">
        <v>42</v>
      </c>
      <c r="C16" s="3494"/>
    </row>
    <row r="17" spans="1:3" ht="14.4">
      <c r="A17" s="3499"/>
      <c r="B17" s="3496" t="s">
        <v>957</v>
      </c>
      <c r="C17" s="1530" t="s">
        <v>956</v>
      </c>
    </row>
    <row r="18" spans="1:3" ht="14.4">
      <c r="A18" s="3499"/>
      <c r="B18" s="3496"/>
      <c r="C18" s="1530" t="s">
        <v>958</v>
      </c>
    </row>
    <row r="19" spans="1:3" ht="14.4">
      <c r="A19" s="3499"/>
      <c r="B19" s="3496"/>
      <c r="C19" s="1530" t="s">
        <v>959</v>
      </c>
    </row>
    <row r="20" spans="1:3" ht="14.4">
      <c r="A20" s="3500"/>
      <c r="B20" s="3495" t="s">
        <v>960</v>
      </c>
      <c r="C20" s="3494"/>
    </row>
    <row r="21" spans="1:3" ht="14.4">
      <c r="A21" s="1531" t="s">
        <v>961</v>
      </c>
      <c r="B21" s="1532"/>
      <c r="C21" s="1533"/>
    </row>
    <row r="22" spans="1:3" ht="14.4">
      <c r="A22" s="3497" t="s">
        <v>962</v>
      </c>
      <c r="B22" s="3495" t="s">
        <v>963</v>
      </c>
      <c r="C22" s="3494"/>
    </row>
    <row r="23" spans="1:3" ht="14.4">
      <c r="A23" s="3497"/>
      <c r="B23" s="3495" t="s">
        <v>964</v>
      </c>
      <c r="C23" s="3494"/>
    </row>
    <row r="24" spans="1:3" ht="14.4">
      <c r="A24" s="3497"/>
      <c r="B24" s="3495" t="s">
        <v>965</v>
      </c>
      <c r="C24" s="3494"/>
    </row>
    <row r="25" spans="1:3" ht="14.4">
      <c r="A25" s="3497"/>
      <c r="B25" s="3496" t="s">
        <v>966</v>
      </c>
      <c r="C25" s="1530" t="s">
        <v>967</v>
      </c>
    </row>
    <row r="26" spans="1:3" ht="14.4">
      <c r="A26" s="3497"/>
      <c r="B26" s="3496"/>
      <c r="C26" s="1530" t="s">
        <v>968</v>
      </c>
    </row>
    <row r="27" spans="1:3" ht="14.4">
      <c r="A27" s="3497"/>
      <c r="B27" s="3496"/>
      <c r="C27" s="1530" t="s">
        <v>969</v>
      </c>
    </row>
    <row r="28" spans="1:3" ht="14.4">
      <c r="A28" s="3497"/>
      <c r="B28" s="3496"/>
      <c r="C28" s="1530" t="s">
        <v>970</v>
      </c>
    </row>
    <row r="29" spans="1:3" ht="14.4">
      <c r="A29" s="3497"/>
      <c r="B29" s="3496"/>
      <c r="C29" s="1530" t="s">
        <v>971</v>
      </c>
    </row>
    <row r="30" spans="1:3" ht="14.4">
      <c r="A30" s="3497"/>
      <c r="B30" s="3496"/>
      <c r="C30" s="1530" t="s">
        <v>972</v>
      </c>
    </row>
    <row r="31" spans="1:3" ht="14.4">
      <c r="A31" s="3497"/>
      <c r="B31" s="3496"/>
      <c r="C31" s="1530" t="s">
        <v>973</v>
      </c>
    </row>
    <row r="32" spans="1:3" ht="14.4">
      <c r="A32" s="3497"/>
      <c r="B32" s="3496"/>
      <c r="C32" s="1530" t="s">
        <v>974</v>
      </c>
    </row>
    <row r="33" spans="1:3" ht="14.4">
      <c r="A33" s="3497"/>
      <c r="B33" s="3496"/>
      <c r="C33" s="1530" t="s">
        <v>975</v>
      </c>
    </row>
    <row r="34" spans="1:3">
      <c r="A34" s="1534" t="s">
        <v>49</v>
      </c>
    </row>
    <row r="37" spans="1:3">
      <c r="A37" s="1534" t="s">
        <v>976</v>
      </c>
    </row>
    <row r="38" spans="1:3" ht="14.4">
      <c r="A38" s="1535" t="s">
        <v>50</v>
      </c>
    </row>
    <row r="39" spans="1:3" ht="14.4">
      <c r="A39" s="1535" t="s">
        <v>51</v>
      </c>
    </row>
    <row r="40" spans="1:3" ht="14.4">
      <c r="A40" s="1535" t="s">
        <v>52</v>
      </c>
    </row>
    <row r="41" spans="1:3" ht="14.4">
      <c r="A41" s="1536" t="s">
        <v>53</v>
      </c>
    </row>
    <row r="42" spans="1:3" ht="14.4">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2134</v>
      </c>
      <c r="B2" s="2337">
        <f ca="1">TODAY()</f>
        <v>45323</v>
      </c>
      <c r="C2" s="2338" t="s">
        <v>2135</v>
      </c>
      <c r="D2" s="2338"/>
      <c r="E2" s="2338"/>
      <c r="F2" s="2334"/>
      <c r="G2" s="2334"/>
      <c r="H2" s="2334"/>
    </row>
    <row r="3" spans="1:8" ht="24" customHeight="1">
      <c r="A3" s="2339" t="s">
        <v>2136</v>
      </c>
      <c r="B3" s="2340" t="s">
        <v>2137</v>
      </c>
      <c r="C3" s="2340" t="s">
        <v>2138</v>
      </c>
      <c r="D3" s="2341" t="s">
        <v>2139</v>
      </c>
      <c r="E3" s="2342" t="s">
        <v>2140</v>
      </c>
      <c r="F3" s="1303" t="s">
        <v>2141</v>
      </c>
      <c r="G3" s="2340" t="s">
        <v>2138</v>
      </c>
      <c r="H3" s="2341" t="s">
        <v>2142</v>
      </c>
    </row>
    <row r="4" spans="1:8" ht="24" customHeight="1">
      <c r="A4" s="1303" t="s">
        <v>2143</v>
      </c>
      <c r="B4" s="1303">
        <f ca="1">IF(C4&lt;B2,"已过期",1119970066)</f>
        <v>1119970066</v>
      </c>
      <c r="C4" s="2343">
        <v>45937</v>
      </c>
      <c r="D4" s="2344" t="str">
        <f ca="1">A4&amp;"（注册号："&amp;B4&amp;"）"</f>
        <v>梁津（注册号：1119970066）</v>
      </c>
      <c r="E4" s="2345" t="s">
        <v>2143</v>
      </c>
      <c r="F4" s="1303">
        <f ca="1">IF(G4&lt;B2,"已过期",96010014)</f>
        <v>96010014</v>
      </c>
      <c r="G4" s="2346">
        <v>47118</v>
      </c>
      <c r="H4" s="2347" t="str">
        <f ca="1">E4&amp;"（注册号："&amp;F4&amp;"）"</f>
        <v>梁津（注册号：96010014）</v>
      </c>
    </row>
    <row r="5" spans="1:8" ht="24" customHeight="1">
      <c r="A5" s="1303" t="s">
        <v>2144</v>
      </c>
      <c r="B5" s="1303">
        <f ca="1">IF(C5&lt;B2,"已过期",1119970111)</f>
        <v>1119970111</v>
      </c>
      <c r="C5" s="2343">
        <v>45937</v>
      </c>
      <c r="D5" s="2344" t="str">
        <f t="shared" ref="D5:D15" ca="1" si="0">A5&amp;"（注册号："&amp;B5&amp;"）"</f>
        <v>叶凌（注册号：1119970111）</v>
      </c>
      <c r="E5" s="2345" t="s">
        <v>2144</v>
      </c>
      <c r="F5" s="1303">
        <f ca="1">IF(G5&lt;B2,"已过期",94010078)</f>
        <v>94010078</v>
      </c>
      <c r="G5" s="2346">
        <v>46387</v>
      </c>
      <c r="H5" s="2347" t="str">
        <f t="shared" ref="H5:H16" ca="1" si="1">E5&amp;"（注册号："&amp;F5&amp;"）"</f>
        <v>叶凌（注册号：94010078）</v>
      </c>
    </row>
    <row r="6" spans="1:8" ht="24" customHeight="1">
      <c r="A6" s="1303" t="s">
        <v>2145</v>
      </c>
      <c r="B6" s="1303">
        <f ca="1">IF(C6&lt;B2,"已过期",1120050019)</f>
        <v>1120050019</v>
      </c>
      <c r="C6" s="2343">
        <v>45410</v>
      </c>
      <c r="D6" s="2344" t="str">
        <f t="shared" ca="1" si="0"/>
        <v>王鹏（注册号：1120050019）</v>
      </c>
      <c r="E6" s="2345" t="s">
        <v>2145</v>
      </c>
      <c r="F6" s="1303">
        <f ca="1">IF(G6&lt;B2,"已过期",2002110030)</f>
        <v>2002110030</v>
      </c>
      <c r="G6" s="2346">
        <v>46387</v>
      </c>
      <c r="H6" s="2347" t="str">
        <f t="shared" ca="1" si="1"/>
        <v>王鹏（注册号：2002110030）</v>
      </c>
    </row>
    <row r="7" spans="1:8" ht="24" customHeight="1">
      <c r="A7" s="1303" t="s">
        <v>2146</v>
      </c>
      <c r="B7" s="1303">
        <f ca="1">IF(C7&lt;B2,"已过期",1120000080)</f>
        <v>1120000080</v>
      </c>
      <c r="C7" s="2343">
        <v>45937</v>
      </c>
      <c r="D7" s="2344" t="str">
        <f t="shared" ca="1" si="0"/>
        <v>欧红伟（注册号：1120000080）</v>
      </c>
      <c r="E7" s="2345" t="s">
        <v>2146</v>
      </c>
      <c r="F7" s="1303">
        <f ca="1">IF(G7&lt;B2,"已过期",2000110082)</f>
        <v>2000110082</v>
      </c>
      <c r="G7" s="2346">
        <v>46387</v>
      </c>
      <c r="H7" s="2347" t="str">
        <f t="shared" ca="1" si="1"/>
        <v>欧红伟（注册号：2000110082）</v>
      </c>
    </row>
    <row r="8" spans="1:8" ht="24" customHeight="1">
      <c r="A8" s="1303" t="s">
        <v>2147</v>
      </c>
      <c r="B8" s="1303">
        <f ca="1">IF(C8&lt;B2,"已过期",1419970001)</f>
        <v>1419970001</v>
      </c>
      <c r="C8" s="2343">
        <v>45937</v>
      </c>
      <c r="D8" s="2344" t="str">
        <f t="shared" ca="1" si="0"/>
        <v>吴薇（注册号：1419970001）</v>
      </c>
      <c r="E8" s="2345" t="s">
        <v>2147</v>
      </c>
      <c r="F8" s="1303">
        <f ca="1">IF(G8&lt;B2,"已过期",2002110125)</f>
        <v>2002110125</v>
      </c>
      <c r="G8" s="2346">
        <v>47118</v>
      </c>
      <c r="H8" s="2347" t="str">
        <f t="shared" ca="1" si="1"/>
        <v>吴薇（注册号：2002110125）</v>
      </c>
    </row>
    <row r="9" spans="1:8" ht="24" customHeight="1">
      <c r="A9" s="1303" t="s">
        <v>2148</v>
      </c>
      <c r="B9" s="1303">
        <f ca="1">IF(C9&lt;B2,"已过期",1120060040)</f>
        <v>1120060040</v>
      </c>
      <c r="C9" s="2348">
        <v>45592</v>
      </c>
      <c r="D9" s="2344" t="str">
        <f t="shared" ca="1" si="0"/>
        <v>陈颖（注册号：1120060040）</v>
      </c>
      <c r="E9" s="2345" t="s">
        <v>2148</v>
      </c>
      <c r="F9" s="1303">
        <f ca="1">IF(G9&lt;B2,"已过期",2004110096)</f>
        <v>2004110096</v>
      </c>
      <c r="G9" s="2346">
        <v>47118</v>
      </c>
      <c r="H9" s="2347" t="str">
        <f t="shared" ca="1" si="1"/>
        <v>陈颖（注册号：2004110096）</v>
      </c>
    </row>
    <row r="10" spans="1:8" ht="24" customHeight="1">
      <c r="A10" s="1303" t="s">
        <v>2149</v>
      </c>
      <c r="B10" s="1303">
        <f ca="1">IF(C10&lt;B2,"已过期",1120100036)</f>
        <v>1120100036</v>
      </c>
      <c r="C10" s="2348">
        <v>45752</v>
      </c>
      <c r="D10" s="2344" t="str">
        <f t="shared" ca="1" si="0"/>
        <v>崔锴（注册号：1120100036）</v>
      </c>
      <c r="E10" s="2345" t="s">
        <v>2149</v>
      </c>
      <c r="F10" s="1303">
        <f ca="1">IF(G10&lt;B2,"已过期",2010110070)</f>
        <v>2010110070</v>
      </c>
      <c r="G10" s="2346">
        <v>47907</v>
      </c>
      <c r="H10" s="2347" t="str">
        <f t="shared" ca="1" si="1"/>
        <v>崔锴（注册号：2010110070）</v>
      </c>
    </row>
    <row r="11" spans="1:8" ht="24" customHeight="1">
      <c r="A11" s="1303" t="s">
        <v>2150</v>
      </c>
      <c r="B11" s="1303">
        <f ca="1">IF(C11&lt;B2,"已过期",1120070131)</f>
        <v>1120070131</v>
      </c>
      <c r="C11" s="2343">
        <v>45937</v>
      </c>
      <c r="D11" s="2344" t="str">
        <f t="shared" ca="1" si="0"/>
        <v>郑燚（注册号：1120070131）</v>
      </c>
      <c r="E11" s="2345" t="s">
        <v>2150</v>
      </c>
      <c r="F11" s="1303">
        <f ca="1">IF(G11&lt;B2,"已过期",2014110011)</f>
        <v>2014110011</v>
      </c>
      <c r="G11" s="2346">
        <v>49302</v>
      </c>
      <c r="H11" s="2347" t="str">
        <f t="shared" ca="1" si="1"/>
        <v>郑燚（注册号：2014110011）</v>
      </c>
    </row>
    <row r="12" spans="1:8" ht="24" customHeight="1">
      <c r="A12" s="1303" t="s">
        <v>2151</v>
      </c>
      <c r="B12" s="1303">
        <f ca="1">IF(C12&lt;B2,"已过期",1120040230)</f>
        <v>1120040230</v>
      </c>
      <c r="C12" s="2348">
        <v>45937</v>
      </c>
      <c r="D12" s="2344" t="str">
        <f t="shared" ca="1" si="0"/>
        <v>苏海（注册号：1120040230）</v>
      </c>
      <c r="E12" s="2345" t="s">
        <v>2151</v>
      </c>
      <c r="F12" s="1303">
        <f ca="1">IF(G12&lt;B2,"已过期",98030020)</f>
        <v>98030020</v>
      </c>
      <c r="G12" s="2346">
        <v>47118</v>
      </c>
      <c r="H12" s="2347" t="str">
        <f t="shared" ca="1" si="1"/>
        <v>苏海（注册号：98030020）</v>
      </c>
    </row>
    <row r="13" spans="1:8" ht="24" customHeight="1">
      <c r="A13" s="1303" t="s">
        <v>2152</v>
      </c>
      <c r="B13" s="1303">
        <f ca="1">IF(C13&lt;B2,"已过期",1120020033)</f>
        <v>1120020033</v>
      </c>
      <c r="C13" s="2343">
        <v>45375</v>
      </c>
      <c r="D13" s="2344" t="str">
        <f t="shared" ca="1" si="0"/>
        <v>刘敬东（注册号：1120020033）</v>
      </c>
      <c r="E13" s="2345" t="s">
        <v>2152</v>
      </c>
      <c r="F13" s="1303">
        <f ca="1">IF(G13&lt;B2,"已过期",2000110137)</f>
        <v>2000110137</v>
      </c>
      <c r="G13" s="2346">
        <v>46387</v>
      </c>
      <c r="H13" s="2347" t="str">
        <f t="shared" ca="1" si="1"/>
        <v>刘敬东（注册号：2000110137）</v>
      </c>
    </row>
    <row r="14" spans="1:8" ht="24" customHeight="1">
      <c r="A14" s="1303" t="s">
        <v>2153</v>
      </c>
      <c r="B14" s="1303" t="str">
        <f ca="1">IF(C14&lt;B2,"已过期",1119980106)</f>
        <v>已过期</v>
      </c>
      <c r="C14" s="2348">
        <v>44969</v>
      </c>
      <c r="D14" s="2344" t="str">
        <f t="shared" ca="1" si="0"/>
        <v>刘俊财（注册号：已过期）</v>
      </c>
      <c r="E14" s="2345" t="s">
        <v>2153</v>
      </c>
      <c r="F14" s="1303">
        <f ca="1">IF(G14&lt;B2,"已过期",96010063)</f>
        <v>96010063</v>
      </c>
      <c r="G14" s="2346">
        <v>47483</v>
      </c>
      <c r="H14" s="2347" t="str">
        <f t="shared" ca="1" si="1"/>
        <v>刘俊财（注册号：96010063）</v>
      </c>
    </row>
    <row r="15" spans="1:8" ht="24" customHeight="1">
      <c r="A15" s="1303" t="s">
        <v>2436</v>
      </c>
      <c r="B15" s="1303">
        <v>1120210056</v>
      </c>
      <c r="C15" s="2348">
        <v>45410</v>
      </c>
      <c r="D15" s="2344" t="str">
        <f t="shared" si="0"/>
        <v>宁小鳗（注册号：1120210056）</v>
      </c>
      <c r="E15" s="2345" t="s">
        <v>2154</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01" t="s">
        <v>2155</v>
      </c>
      <c r="B17" s="3501"/>
      <c r="C17" s="3501"/>
      <c r="D17" s="3501"/>
      <c r="E17" s="3501"/>
      <c r="F17" s="3501"/>
      <c r="G17" s="3501"/>
      <c r="H17" s="3501"/>
    </row>
    <row r="18" spans="1:8" ht="24" customHeight="1">
      <c r="A18" s="3502" t="s">
        <v>2156</v>
      </c>
      <c r="B18" s="3502"/>
      <c r="C18" s="3502"/>
      <c r="D18" s="2341"/>
      <c r="E18" s="3503" t="s">
        <v>2157</v>
      </c>
      <c r="F18" s="3502"/>
      <c r="G18" s="3502"/>
    </row>
    <row r="19" spans="1:8" s="2352" customFormat="1" ht="24" customHeight="1">
      <c r="A19" s="2351" t="s">
        <v>2158</v>
      </c>
      <c r="B19" s="2340" t="s">
        <v>2159</v>
      </c>
      <c r="C19" s="2340" t="s">
        <v>2138</v>
      </c>
      <c r="D19" s="2341"/>
      <c r="E19" s="2345" t="s">
        <v>2158</v>
      </c>
      <c r="F19" s="2340" t="s">
        <v>2159</v>
      </c>
      <c r="G19" s="2340" t="s">
        <v>2138</v>
      </c>
    </row>
    <row r="20" spans="1:8" s="2352" customFormat="1" ht="24" customHeight="1">
      <c r="A20" s="2353" t="s">
        <v>2160</v>
      </c>
      <c r="B20" s="2353" t="s">
        <v>2161</v>
      </c>
      <c r="C20" s="2346">
        <v>45898</v>
      </c>
      <c r="D20" s="2354"/>
      <c r="E20" s="2355" t="s">
        <v>2162</v>
      </c>
      <c r="F20" s="2358" t="s">
        <v>2437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典型户型修正</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2024-02-01T09:18:59Z</dcterms:modified>
</cp:coreProperties>
</file>