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4"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V26" i="31"/>
  <c r="G4" i="31"/>
  <c r="F4" i="31"/>
  <c r="E4" i="31"/>
  <c r="D4" i="31"/>
  <c r="H3" i="31"/>
  <c r="C4" i="31"/>
  <c r="G3" i="31"/>
  <c r="F3" i="31"/>
  <c r="E3" i="31"/>
  <c r="D3" i="31"/>
  <c r="C3" i="31"/>
  <c r="I33" i="33"/>
  <c r="G33" i="33"/>
  <c r="E33" i="33"/>
  <c r="I47" i="33"/>
  <c r="G47" i="33"/>
  <c r="E47" i="33"/>
  <c r="C36" i="33"/>
  <c r="C33" i="33"/>
  <c r="I10" i="33"/>
  <c r="G10" i="33"/>
  <c r="E10" i="33"/>
  <c r="C10" i="33"/>
  <c r="I7" i="33"/>
  <c r="G7" i="33"/>
  <c r="E7" i="33"/>
  <c r="F122" i="33"/>
  <c r="E122" i="33"/>
  <c r="D122" i="33"/>
  <c r="C122" i="33"/>
  <c r="G112" i="33"/>
  <c r="F112" i="33"/>
  <c r="E112" i="33"/>
  <c r="D112" i="33"/>
  <c r="C112" i="33"/>
  <c r="G104" i="33"/>
  <c r="F104" i="33"/>
  <c r="E104" i="33"/>
  <c r="D104" i="33"/>
  <c r="G89" i="33"/>
  <c r="F89" i="33"/>
  <c r="E89" i="33"/>
  <c r="D89" i="33"/>
  <c r="E66" i="33"/>
  <c r="D66" i="33"/>
  <c r="D4" i="80"/>
  <c r="D3" i="80"/>
  <c r="D2" i="80"/>
  <c r="J52" i="67"/>
  <c r="J49" i="67"/>
  <c r="B35" i="1"/>
  <c r="B29" i="1"/>
  <c r="B21" i="1"/>
  <c r="Y6" i="1"/>
  <c r="U6" i="1"/>
  <c r="U22" i="1"/>
  <c r="U21" i="1"/>
  <c r="N6" i="1"/>
  <c r="N19" i="1"/>
  <c r="F19" i="6"/>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6" i="71"/>
  <c r="Z26" i="71"/>
  <c r="Y27" i="71"/>
  <c r="Z27" i="7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P67" i="71" s="1"/>
  <c r="Q28" i="71"/>
  <c r="C55" i="71"/>
  <c r="C56" i="71" s="1"/>
  <c r="D54" i="71"/>
  <c r="C59" i="71"/>
  <c r="C60" i="71" s="1"/>
  <c r="D58" i="71"/>
  <c r="C63" i="71"/>
  <c r="D63" i="71" s="1"/>
  <c r="D62" i="71"/>
  <c r="N67" i="71"/>
  <c r="B66" i="71"/>
  <c r="T68" i="71"/>
  <c r="O68" i="71"/>
  <c r="D68" i="71"/>
  <c r="C67" i="71"/>
  <c r="C66" i="71" s="1"/>
  <c r="Q68" i="71"/>
  <c r="C71" i="71"/>
  <c r="C70" i="71" s="1"/>
  <c r="D70" i="71" s="1"/>
  <c r="E71" i="71"/>
  <c r="E70" i="71"/>
  <c r="D72" i="71"/>
  <c r="C75" i="71"/>
  <c r="D75" i="71" s="1"/>
  <c r="E75" i="71"/>
  <c r="E74" i="71"/>
  <c r="D76" i="71"/>
  <c r="C79" i="71"/>
  <c r="D79" i="71" s="1"/>
  <c r="E79" i="71"/>
  <c r="E78" i="71"/>
  <c r="D80" i="71"/>
  <c r="C83" i="71"/>
  <c r="C82" i="71" s="1"/>
  <c r="D82" i="71" s="1"/>
  <c r="C87" i="71"/>
  <c r="T28" i="71"/>
  <c r="S28" i="71"/>
  <c r="F28" i="71"/>
  <c r="F27" i="71"/>
  <c r="F26" i="71" s="1"/>
  <c r="AB25" i="71"/>
  <c r="AB26" i="71"/>
  <c r="AB27" i="71"/>
  <c r="AB28" i="71"/>
  <c r="E28" i="71"/>
  <c r="E27" i="71" s="1"/>
  <c r="E26" i="71" s="1"/>
  <c r="AA25" i="71"/>
  <c r="AA27" i="71"/>
  <c r="D28" i="71"/>
  <c r="U28" i="71" s="1"/>
  <c r="O67" i="71"/>
  <c r="C64" i="71"/>
  <c r="D64" i="71" s="1"/>
  <c r="D83" i="71"/>
  <c r="C74" i="71"/>
  <c r="D74" i="71" s="1"/>
  <c r="N65" i="71"/>
  <c r="N66" i="71"/>
  <c r="D87" i="71"/>
  <c r="C86" i="71"/>
  <c r="D86" i="71"/>
  <c r="C78" i="71"/>
  <c r="D78" i="71" s="1"/>
  <c r="D71" i="71"/>
  <c r="D59" i="71"/>
  <c r="D55" i="71"/>
  <c r="E66" i="71"/>
  <c r="P65" i="71" s="1"/>
  <c r="C52" i="71"/>
  <c r="D51" i="71"/>
  <c r="C44" i="71"/>
  <c r="D43" i="71"/>
  <c r="C40" i="71"/>
  <c r="D39" i="71"/>
  <c r="C36" i="71"/>
  <c r="D35" i="71"/>
  <c r="C32" i="71"/>
  <c r="D31" i="71"/>
  <c r="C26" i="71"/>
  <c r="D26" i="71"/>
  <c r="D27" i="71"/>
  <c r="V28" i="71"/>
  <c r="P66" i="71"/>
  <c r="T32" i="71"/>
  <c r="D32" i="71"/>
  <c r="T36" i="71"/>
  <c r="D36" i="71"/>
  <c r="T40" i="71"/>
  <c r="D40" i="71"/>
  <c r="T44" i="71"/>
  <c r="D44"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AA21" i="33" s="1"/>
  <c r="E83" i="21"/>
  <c r="F83" i="21" s="1"/>
  <c r="G83" i="21" s="1"/>
  <c r="H1" i="69"/>
  <c r="W25" i="40"/>
  <c r="U25" i="40"/>
  <c r="U29" i="39"/>
  <c r="W29" i="39"/>
  <c r="W18" i="36"/>
  <c r="AB21" i="37"/>
  <c r="U21" i="37"/>
  <c r="S21" i="37"/>
  <c r="U21" i="34"/>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AA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B94" i="43" s="1"/>
  <c r="B73" i="43"/>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s="1"/>
  <c r="AB41" i="21"/>
  <c r="S41" i="21"/>
  <c r="AA41" i="21"/>
  <c r="F45" i="39"/>
  <c r="S45" i="39"/>
  <c r="J45" i="39"/>
  <c r="W45" i="39"/>
  <c r="J44" i="39"/>
  <c r="AC44" i="39"/>
  <c r="F36" i="39"/>
  <c r="S36" i="39"/>
  <c r="H36" i="39"/>
  <c r="AB36" i="39"/>
  <c r="J35" i="39"/>
  <c r="AC35" i="39"/>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s="1"/>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AB41" i="33" s="1"/>
  <c r="F121" i="33"/>
  <c r="G121" i="33" s="1"/>
  <c r="H121" i="33" s="1"/>
  <c r="I121" i="33" s="1"/>
  <c r="J121" i="33" s="1"/>
  <c r="K121" i="33" s="1"/>
  <c r="L121" i="33" s="1"/>
  <c r="M121" i="33" s="1"/>
  <c r="J35" i="33"/>
  <c r="AC35" i="33" s="1"/>
  <c r="S39" i="33"/>
  <c r="F101" i="33"/>
  <c r="G101" i="33" s="1"/>
  <c r="H101" i="33" s="1"/>
  <c r="I101" i="33" s="1"/>
  <c r="J101" i="33" s="1"/>
  <c r="K101" i="33" s="1"/>
  <c r="L101" i="33" s="1"/>
  <c r="M101" i="33" s="1"/>
  <c r="J32" i="33"/>
  <c r="S46" i="33"/>
  <c r="S43" i="33"/>
  <c r="F91" i="33"/>
  <c r="H27" i="33"/>
  <c r="AB27" i="33" s="1"/>
  <c r="H25" i="33"/>
  <c r="U25" i="33" s="1"/>
  <c r="J23" i="33"/>
  <c r="AC23" i="33" s="1"/>
  <c r="F85" i="33"/>
  <c r="H23" i="33"/>
  <c r="AB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AC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C32" i="33"/>
  <c r="W32" i="33"/>
  <c r="G91" i="33"/>
  <c r="H91" i="33" s="1"/>
  <c r="I91" i="33" s="1"/>
  <c r="J91" i="33" s="1"/>
  <c r="K91" i="33" s="1"/>
  <c r="L91" i="33" s="1"/>
  <c r="M91" i="33" s="1"/>
  <c r="J27" i="33"/>
  <c r="AC27" i="33" s="1"/>
  <c r="F23" i="33"/>
  <c r="AA23" i="33" s="1"/>
  <c r="G85" i="33"/>
  <c r="AA19" i="33"/>
  <c r="H19" i="33"/>
  <c r="U19" i="33" s="1"/>
  <c r="G81" i="33"/>
  <c r="G79" i="33"/>
  <c r="H17" i="33"/>
  <c r="AB17" i="33" s="1"/>
  <c r="F17" i="33"/>
  <c r="S17" i="33" s="1"/>
  <c r="W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F7" i="15"/>
  <c r="F8" i="67"/>
  <c r="B10" i="76"/>
  <c r="E13" i="76"/>
  <c r="L48" i="15"/>
  <c r="B9" i="76"/>
  <c r="B7" i="76"/>
  <c r="M24" i="67"/>
  <c r="M26" i="15"/>
  <c r="D7" i="73"/>
  <c r="M29" i="67"/>
  <c r="E2" i="69"/>
  <c r="M26" i="67"/>
  <c r="L47" i="67"/>
  <c r="M6" i="15"/>
  <c r="C19" i="9"/>
  <c r="E11" i="76"/>
  <c r="F36" i="67"/>
  <c r="C20" i="9"/>
  <c r="D34" i="9"/>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D35" i="9"/>
  <c r="M8" i="67"/>
  <c r="F7" i="67"/>
  <c r="M28" i="15"/>
  <c r="F7" i="73"/>
  <c r="F16" i="67"/>
  <c r="F20" i="31"/>
  <c r="M9" i="15"/>
  <c r="F4" i="73"/>
  <c r="F40" i="67"/>
  <c r="F6" i="67"/>
  <c r="F42" i="67"/>
  <c r="F5" i="73"/>
  <c r="B8" i="76"/>
  <c r="J15" i="67"/>
  <c r="E8" i="76"/>
  <c r="E10" i="76"/>
  <c r="M29" i="15"/>
  <c r="F16" i="15"/>
  <c r="E12" i="76"/>
  <c r="M22" i="15"/>
  <c r="M9" i="67"/>
  <c r="J57" i="9" l="1"/>
  <c r="J59" i="9" s="1"/>
  <c r="J61" i="9" s="1"/>
  <c r="G111" i="33"/>
  <c r="H111" i="33" s="1"/>
  <c r="I111" i="33" s="1"/>
  <c r="J111" i="33" s="1"/>
  <c r="K111" i="33" s="1"/>
  <c r="L111" i="33" s="1"/>
  <c r="M111" i="33" s="1"/>
  <c r="J36" i="33"/>
  <c r="W36" i="33" s="1"/>
  <c r="F36" i="33"/>
  <c r="AA36" i="33" s="1"/>
  <c r="H36" i="33"/>
  <c r="U36" i="33" s="1"/>
  <c r="J25" i="33"/>
  <c r="AC25" i="33" s="1"/>
  <c r="F25" i="33"/>
  <c r="S23" i="33"/>
  <c r="AA17" i="33"/>
  <c r="AC34" i="33"/>
  <c r="W43" i="33"/>
  <c r="U41" i="33"/>
  <c r="U37" i="33"/>
  <c r="S42" i="33"/>
  <c r="S37" i="33"/>
  <c r="S36" i="33"/>
  <c r="S32" i="33"/>
  <c r="U32" i="33"/>
  <c r="W23" i="33"/>
  <c r="U17" i="33"/>
  <c r="AB21" i="33"/>
  <c r="U23" i="33"/>
  <c r="AC21" i="33"/>
  <c r="AB19" i="33"/>
  <c r="U42" i="33"/>
  <c r="W41" i="33"/>
  <c r="S41" i="33"/>
  <c r="AC37" i="33"/>
  <c r="W35" i="33"/>
  <c r="AA35" i="33"/>
  <c r="U35" i="33"/>
  <c r="AB34" i="33"/>
  <c r="AA34" i="33"/>
  <c r="U33" i="33"/>
  <c r="S28" i="33"/>
  <c r="U27" i="33"/>
  <c r="W27" i="33"/>
  <c r="S26" i="33"/>
  <c r="AB26" i="33"/>
  <c r="AB25" i="33"/>
  <c r="B79" i="43"/>
  <c r="B56" i="43"/>
  <c r="B76" i="43"/>
  <c r="A15" i="62"/>
  <c r="B61" i="72" s="1"/>
  <c r="C28" i="67"/>
  <c r="E19" i="71"/>
  <c r="E18" i="71" s="1"/>
  <c r="E17" i="71" s="1"/>
  <c r="E16" i="71" s="1"/>
  <c r="V20" i="71"/>
  <c r="AZ557" i="3"/>
  <c r="U31" i="21"/>
  <c r="AB31" i="21"/>
  <c r="AC45" i="21"/>
  <c r="W45" i="21"/>
  <c r="C16" i="71"/>
  <c r="D17" i="71"/>
  <c r="D19" i="53"/>
  <c r="B38" i="72" s="1"/>
  <c r="D16" i="53"/>
  <c r="B34" i="72" s="1"/>
  <c r="W17" i="21"/>
  <c r="AC15" i="21"/>
  <c r="U12" i="39"/>
  <c r="AA27" i="40"/>
  <c r="G28" i="6"/>
  <c r="F29" i="6"/>
  <c r="U43" i="33"/>
  <c r="AA41" i="34"/>
  <c r="U46" i="33"/>
  <c r="AA13" i="35"/>
  <c r="J9" i="34"/>
  <c r="F9" i="34"/>
  <c r="AA9" i="34" s="1"/>
  <c r="J12" i="34"/>
  <c r="F12" i="34"/>
  <c r="J34" i="35"/>
  <c r="H34" i="35"/>
  <c r="F34" i="35"/>
  <c r="BL5" i="3"/>
  <c r="G5" i="3"/>
  <c r="B3" i="3" s="1"/>
  <c r="AC11" i="35"/>
  <c r="H36" i="35"/>
  <c r="J36" i="35"/>
  <c r="AZ398" i="3"/>
  <c r="AZ405" i="3"/>
  <c r="AZ407" i="3"/>
  <c r="AZ410" i="3"/>
  <c r="AZ415" i="3"/>
  <c r="AZ420" i="3"/>
  <c r="AZ426" i="3"/>
  <c r="AZ431" i="3"/>
  <c r="AZ436" i="3"/>
  <c r="AZ448" i="3"/>
  <c r="AZ452" i="3"/>
  <c r="AZ461" i="3"/>
  <c r="AZ463" i="3"/>
  <c r="AZ468" i="3"/>
  <c r="AZ470" i="3"/>
  <c r="AZ479" i="3"/>
  <c r="AZ485" i="3"/>
  <c r="AZ385" i="3"/>
  <c r="AZ210" i="3"/>
  <c r="AZ225" i="3"/>
  <c r="AZ239" i="3"/>
  <c r="AZ255" i="3"/>
  <c r="AZ274" i="3"/>
  <c r="AZ277" i="3"/>
  <c r="AZ301" i="3"/>
  <c r="AZ122" i="3"/>
  <c r="AZ125" i="3"/>
  <c r="F23" i="36"/>
  <c r="H23" i="36"/>
  <c r="AZ264" i="3"/>
  <c r="AZ290" i="3"/>
  <c r="AZ293" i="3"/>
  <c r="AZ141" i="3"/>
  <c r="AZ161" i="3"/>
  <c r="AZ177" i="3"/>
  <c r="AZ193" i="3"/>
  <c r="AZ34" i="3"/>
  <c r="AZ38" i="3"/>
  <c r="AZ44" i="3"/>
  <c r="AZ48" i="3"/>
  <c r="AZ56" i="3"/>
  <c r="T60" i="71"/>
  <c r="D60" i="71"/>
  <c r="T56" i="71"/>
  <c r="D56" i="71"/>
  <c r="AZ73" i="3"/>
  <c r="AZ78" i="3"/>
  <c r="AZ87" i="3"/>
  <c r="AZ91" i="3"/>
  <c r="AZ95" i="3"/>
  <c r="AZ98" i="3"/>
  <c r="AZ100" i="3"/>
  <c r="D66" i="71"/>
  <c r="O66" i="71"/>
  <c r="O65" i="71"/>
  <c r="S21" i="21"/>
  <c r="U18" i="36"/>
  <c r="D67" i="71"/>
  <c r="AA3" i="71"/>
  <c r="AA26" i="71"/>
  <c r="AA28" i="71"/>
  <c r="C47" i="71"/>
  <c r="D47" i="71" s="1"/>
  <c r="D46" i="71"/>
  <c r="Y25" i="71"/>
  <c r="Z25" i="71" s="1"/>
  <c r="AA31" i="71"/>
  <c r="AB29" i="71"/>
  <c r="X9" i="71"/>
  <c r="AB9" i="71"/>
  <c r="AB24" i="71"/>
  <c r="Y24" i="71"/>
  <c r="Z24" i="71" s="1"/>
  <c r="AB23" i="71"/>
  <c r="AB21" i="71"/>
  <c r="AA21" i="71"/>
  <c r="X21" i="71"/>
  <c r="Y18" i="71"/>
  <c r="Z18" i="71" s="1"/>
  <c r="X17" i="71"/>
  <c r="Y17" i="71"/>
  <c r="Z17" i="71" s="1"/>
  <c r="AA17" i="71"/>
  <c r="AB18" i="71"/>
  <c r="Y14" i="71"/>
  <c r="Z14" i="71" s="1"/>
  <c r="AB14" i="71"/>
  <c r="Y9" i="71"/>
  <c r="Z9" i="71" s="1"/>
  <c r="AA9" i="71"/>
  <c r="V68" i="71"/>
  <c r="F67" i="71"/>
  <c r="X24" i="71"/>
  <c r="AA24" i="71"/>
  <c r="AA23" i="71"/>
  <c r="AA22" i="71"/>
  <c r="X18" i="71"/>
  <c r="AA18" i="71"/>
  <c r="AB17" i="71"/>
  <c r="Y23" i="71"/>
  <c r="Z23" i="71" s="1"/>
  <c r="Y22" i="71"/>
  <c r="Z22" i="71" s="1"/>
  <c r="X22" i="71"/>
  <c r="Y21" i="71"/>
  <c r="Z21" i="71" s="1"/>
  <c r="X15" i="71"/>
  <c r="AA15" i="71"/>
  <c r="AB10" i="71"/>
  <c r="AB11" i="71"/>
  <c r="Y10" i="71"/>
  <c r="Z10" i="71" s="1"/>
  <c r="Y13" i="71"/>
  <c r="Z13" i="71" s="1"/>
  <c r="X11" i="71"/>
  <c r="X10" i="71"/>
  <c r="X14" i="71"/>
  <c r="AA12" i="71"/>
  <c r="AA13" i="71"/>
  <c r="AB15" i="71"/>
  <c r="AB12" i="71"/>
  <c r="AB13" i="71"/>
  <c r="Y12" i="71"/>
  <c r="Z12" i="71" s="1"/>
  <c r="Y11" i="71"/>
  <c r="Z11" i="71" s="1"/>
  <c r="X12" i="71"/>
  <c r="X13" i="71"/>
  <c r="AA11" i="71"/>
  <c r="AA10" i="71"/>
  <c r="AA14" i="71"/>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17" i="3"/>
  <c r="E384" i="3"/>
  <c r="AM6" i="3"/>
  <c r="E44" i="3"/>
  <c r="E29"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C16" i="67"/>
  <c r="G1" i="73"/>
  <c r="C16" i="15"/>
  <c r="AB36" i="33" l="1"/>
  <c r="W25" i="33"/>
  <c r="S25" i="33"/>
  <c r="AA25" i="3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AB23" i="36"/>
  <c r="U23" i="36"/>
  <c r="U36" i="35"/>
  <c r="AB36"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58" i="3"/>
  <c r="E218" i="3"/>
  <c r="E287" i="3"/>
  <c r="E265" i="3"/>
  <c r="E308" i="3"/>
  <c r="E365" i="3"/>
  <c r="E326" i="3"/>
  <c r="E524" i="3"/>
  <c r="E22"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6" i="3"/>
  <c r="E83" i="3"/>
  <c r="AA34" i="35"/>
  <c r="S34" i="35"/>
  <c r="AC34" i="35"/>
  <c r="W34" i="35"/>
  <c r="W12" i="34"/>
  <c r="AC12" i="34"/>
  <c r="AC9" i="34"/>
  <c r="W9" i="34"/>
  <c r="C15" i="71"/>
  <c r="T16" i="71"/>
  <c r="F7" i="36"/>
  <c r="J7" i="37"/>
  <c r="H7" i="36"/>
  <c r="AA23" i="36"/>
  <c r="S23" i="36"/>
  <c r="AC36" i="35"/>
  <c r="W36" i="35"/>
  <c r="U34" i="35"/>
  <c r="AB34" i="35"/>
  <c r="S12" i="34"/>
  <c r="AA12"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6"/>
  <c r="L51" i="15"/>
  <c r="D2" i="34"/>
  <c r="D2" i="35"/>
  <c r="G19" i="9" l="1"/>
  <c r="G21" i="9" s="1"/>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7" i="1"/>
  <c r="AO6" i="1"/>
  <c r="AO9" i="1"/>
  <c r="AO10" i="1"/>
  <c r="AO11" i="1"/>
  <c r="AO8"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T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D14" i="74" s="1"/>
  <c r="G14" i="74" s="1"/>
  <c r="R25" i="31"/>
  <c r="C42" i="40"/>
  <c r="C43" i="40"/>
  <c r="E47" i="40"/>
  <c r="F47" i="40" s="1"/>
  <c r="E46" i="40"/>
  <c r="F46" i="40" s="1"/>
  <c r="I47" i="40"/>
  <c r="J47" i="40" s="1"/>
  <c r="S25" i="31" l="1"/>
  <c r="T25" i="31"/>
  <c r="S22" i="31"/>
  <c r="B20" i="31" s="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E14" i="74"/>
  <c r="F14" i="74"/>
  <c r="B5" i="74"/>
  <c r="D5" i="74" s="1"/>
  <c r="B6" i="74" l="1"/>
  <c r="D6" i="74" s="1"/>
  <c r="G118" i="9"/>
  <c r="F118" i="9" s="1"/>
  <c r="I118" i="9"/>
  <c r="C105" i="9" s="1"/>
  <c r="H118" i="9" l="1"/>
  <c r="H4" i="52" s="1"/>
  <c r="F4" i="52"/>
  <c r="B51" i="72" s="1"/>
  <c r="F119" i="9"/>
  <c r="F5" i="52" s="1"/>
  <c r="B53" i="72" s="1"/>
  <c r="I4" i="52"/>
  <c r="E118" i="9"/>
  <c r="G4" i="52"/>
  <c r="B52" i="72" s="1"/>
  <c r="H102" i="9"/>
  <c r="H119" i="9" l="1"/>
  <c r="H5" i="52" s="1"/>
  <c r="H101" i="9"/>
  <c r="D5" i="53" s="1"/>
  <c r="C104" i="9"/>
  <c r="M48" i="9"/>
  <c r="C5" i="74"/>
  <c r="D7" i="53"/>
  <c r="B21" i="72" s="1"/>
  <c r="E4" i="52"/>
  <c r="B48" i="72" s="1"/>
  <c r="D118" i="9"/>
  <c r="H107" i="9" l="1"/>
  <c r="D13" i="53" s="1"/>
  <c r="D45" i="9"/>
  <c r="D52" i="9" s="1"/>
  <c r="H108" i="9"/>
  <c r="D119" i="9"/>
  <c r="D5" i="52" s="1"/>
  <c r="B49" i="72" s="1"/>
  <c r="D4" i="52"/>
  <c r="B47" i="72" s="1"/>
  <c r="B20" i="72"/>
  <c r="D6" i="53"/>
  <c r="B22" i="72" s="1"/>
  <c r="D122" i="9" l="1"/>
  <c r="D8" i="52" s="1"/>
  <c r="M49" i="9"/>
  <c r="L63" i="9" s="1"/>
  <c r="M63" i="9" s="1"/>
  <c r="D53" i="9"/>
  <c r="C64" i="9"/>
  <c r="C63" i="9" s="1"/>
  <c r="C67" i="9" s="1"/>
  <c r="C68" i="9" s="1"/>
  <c r="D54" i="9" s="1"/>
  <c r="D55" i="9"/>
  <c r="M53" i="9" s="1"/>
  <c r="C78" i="9"/>
  <c r="C73" i="9" s="1"/>
  <c r="C85" i="9"/>
  <c r="C93" i="9"/>
  <c r="C86" i="9" s="1"/>
  <c r="C72" i="9"/>
  <c r="L67" i="9"/>
  <c r="M67" i="9" s="1"/>
  <c r="B30" i="72"/>
  <c r="D14" i="53"/>
  <c r="B32" i="72" s="1"/>
  <c r="D123" i="9"/>
  <c r="D9" i="52" s="1"/>
  <c r="C6" i="74"/>
  <c r="D15" i="53"/>
  <c r="B31" i="72" s="1"/>
  <c r="L65" i="9" l="1"/>
  <c r="M65" i="9" s="1"/>
  <c r="L66" i="9"/>
  <c r="M66" i="9" s="1"/>
  <c r="L64" i="9"/>
  <c r="M64" i="9" s="1"/>
  <c r="L68" i="9"/>
  <c r="M68" i="9" s="1"/>
  <c r="C95" i="9"/>
  <c r="C96" i="9" s="1"/>
  <c r="E96" i="9" s="1"/>
  <c r="E97" i="9" s="1"/>
  <c r="C79" i="9"/>
  <c r="D59" i="9"/>
  <c r="M55" i="9" s="1"/>
  <c r="C80" i="9"/>
  <c r="E80" i="9" s="1"/>
  <c r="E81" i="9" s="1"/>
  <c r="C97" i="9"/>
  <c r="D58" i="9" s="1"/>
  <c r="D56" i="9" s="1"/>
  <c r="M54" i="9" s="1"/>
  <c r="N57" i="9" s="1"/>
  <c r="M69" i="9" l="1"/>
  <c r="N69" i="9" s="1"/>
  <c r="N58" i="9"/>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<sst xmlns="http://schemas.openxmlformats.org/spreadsheetml/2006/main" count="7931" uniqueCount="3459">
  <si>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</si>
  <si>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</si>
  <si>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</si>
  <si>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</si>
  <si>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</si>
  <si>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</si>
  <si>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</si>
  <si>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</si>
  <si>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</si>
  <si>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</si>
  <si>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</si>
  <si>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</si>
  <si>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</si>
  <si>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</si>
  <si>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</si>
  <si>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</si>
  <si>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</si>
  <si>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</si>
  <si>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</si>
  <si>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</si>
  <si>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</si>
  <si>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</si>
  <si>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</si>
  <si>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</si>
  <si>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</si>
  <si>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</si>
  <si>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</si>
  <si>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</si>
  <si>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</si>
  <si>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</si>
  <si>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</si>
  <si>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</si>
  <si>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</si>
  <si>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</si>
  <si>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</si>
  <si>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</si>
  <si>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</si>
  <si>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</si>
  <si>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</si>
  <si>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</si>
  <si>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</si>
  <si>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</si>
  <si>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</si>
  <si>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</si>
  <si>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</si>
  <si>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</si>
  <si>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</si>
  <si>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</si>
  <si>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</si>
  <si>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</si>
  <si>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</si>
  <si>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</si>
  <si>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</si>
  <si>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</si>
  <si>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</si>
  <si>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</si>
  <si>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</si>
  <si>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</si>
  <si>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</si>
  <si>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</si>
  <si>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</si>
  <si>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</si>
  <si>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</si>
  <si>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</si>
  <si>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</si>
  <si>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</si>
  <si>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</si>
  <si>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</si>
  <si>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</si>
  <si>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</si>
  <si>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</si>
  <si>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</si>
  <si>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</si>
  <si>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</si>
  <si>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</si>
  <si>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</si>
  <si>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</si>
  <si>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</si>
  <si>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</si>
  <si>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</si>
  <si>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</si>
  <si>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</si>
  <si>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</si>
  <si>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</si>
  <si>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</si>
  <si>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</si>
  <si>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</si>
  <si>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</si>
  <si>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</si>
  <si>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</si>
  <si>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</si>
  <si>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</si>
  <si>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</si>
  <si>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</si>
  <si>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</si>
  <si>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</si>
  <si>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</si>
  <si>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</si>
  <si>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</si>
  <si>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</si>
  <si>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</si>
  <si>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</si>
  <si>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</si>
  <si>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</si>
  <si>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</si>
  <si>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</si>
  <si>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</si>
  <si>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</si>
  <si>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</si>
  <si>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</si>
  <si>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</si>
  <si>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</si>
  <si>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</si>
  <si>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</si>
  <si>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</si>
  <si>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</si>
  <si>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</si>
  <si>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</si>
  <si>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</si>
  <si>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</si>
  <si>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</si>
  <si>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</si>
  <si>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</si>
  <si>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</si>
  <si>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</si>
  <si>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</si>
  <si>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</si>
  <si>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</si>
  <si>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</si>
  <si>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</si>
  <si>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</si>
  <si>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</si>
  <si>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</si>
  <si>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</si>
  <si>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</si>
  <si>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</si>
  <si>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</si>
  <si>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</si>
  <si>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</si>
  <si>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</si>
  <si>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</si>
  <si>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</si>
  <si>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</si>
  <si>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</si>
  <si>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</si>
  <si>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</si>
  <si>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</si>
  <si>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</si>
  <si>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</si>
  <si>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</si>
  <si>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</si>
  <si>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</si>
  <si>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</si>
  <si>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</si>
  <si>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</si>
  <si>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</si>
  <si>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</si>
  <si>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</si>
  <si>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</si>
  <si>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</si>
  <si>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</si>
  <si>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</si>
  <si>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</si>
  <si>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</si>
  <si>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</si>
  <si>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</si>
  <si>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</si>
  <si>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</si>
  <si>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</si>
  <si>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</si>
  <si>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</si>
  <si>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</si>
  <si>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</si>
  <si>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</si>
  <si>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</si>
  <si>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</si>
  <si>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</si>
  <si>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</si>
  <si>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</si>
  <si>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</si>
  <si>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</si>
  <si>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</si>
  <si>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</si>
  <si>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</si>
  <si>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</si>
  <si>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</si>
  <si>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</si>
  <si>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</si>
  <si>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</si>
  <si>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</si>
  <si>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</si>
  <si>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</si>
  <si>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</si>
  <si>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</si>
  <si>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</si>
  <si>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</si>
  <si>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</si>
  <si>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</si>
  <si>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</si>
  <si>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</si>
  <si>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</si>
  <si>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</si>
  <si>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</si>
  <si>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</si>
  <si>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</si>
  <si>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</si>
  <si>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</si>
  <si>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</si>
  <si>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</si>
  <si>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</si>
  <si>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</si>
  <si>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</si>
  <si>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</si>
  <si>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</si>
  <si>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</si>
  <si>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</si>
  <si>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</si>
  <si>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</si>
  <si>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</si>
  <si>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</si>
  <si>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</si>
  <si>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</si>
  <si>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</si>
  <si>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</si>
  <si>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</si>
  <si>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</si>
  <si>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</si>
  <si>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</si>
  <si>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</si>
  <si>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</si>
  <si>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</si>
  <si>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</si>
  <si>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</si>
  <si>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</si>
  <si>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</si>
  <si>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</si>
  <si>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</si>
  <si>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</si>
  <si>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</si>
  <si>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</si>
  <si>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</si>
  <si>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</si>
  <si>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</si>
  <si>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</si>
  <si>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</si>
  <si>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</si>
  <si>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</si>
  <si>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</si>
  <si>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</si>
  <si>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</si>
  <si>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</si>
  <si>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</si>
  <si>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</si>
  <si>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</si>
  <si>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</si>
  <si>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</si>
  <si>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</si>
  <si>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</si>
  <si>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</si>
  <si>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</si>
  <si>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</si>
  <si>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</si>
  <si>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</si>
  <si>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</si>
  <si>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</si>
  <si>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</si>
  <si>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</si>
  <si>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</si>
  <si>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</si>
  <si>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</si>
  <si>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</si>
  <si>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</si>
  <si>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</si>
  <si>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</si>
  <si>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</si>
  <si>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</si>
  <si>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</si>
  <si>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</si>
  <si>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</si>
  <si>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</si>
  <si>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</si>
  <si>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</si>
  <si>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</si>
  <si>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</si>
  <si>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</si>
  <si>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</si>
  <si>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</si>
  <si>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</si>
  <si>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</si>
  <si>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</si>
  <si>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</si>
  <si>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</si>
  <si>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</si>
  <si>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</si>
  <si>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</si>
  <si>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</si>
  <si>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</si>
  <si>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</si>
  <si>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</si>
  <si>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</si>
  <si>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</si>
  <si>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</si>
  <si>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</si>
  <si>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</si>
  <si>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</si>
  <si>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</si>
  <si>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</si>
  <si>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</si>
  <si>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</si>
  <si>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</si>
  <si>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</si>
  <si>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</si>
  <si>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</si>
  <si>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</si>
  <si>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</si>
  <si>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</si>
  <si>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</si>
  <si>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</si>
  <si>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</si>
  <si>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</si>
  <si>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</si>
  <si>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</si>
  <si>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</si>
  <si>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</si>
  <si>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</si>
  <si>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</si>
  <si>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</si>
  <si>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</si>
  <si>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</si>
  <si>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</si>
  <si>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</si>
  <si>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</si>
  <si>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</si>
  <si>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</si>
  <si>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</si>
  <si>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</si>
  <si>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</si>
  <si>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</si>
  <si>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</si>
  <si>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</si>
  <si>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</si>
  <si>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</si>
  <si>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</si>
  <si>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</si>
  <si>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</si>
  <si>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</si>
  <si>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</si>
  <si>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</si>
  <si>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</si>
  <si>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</si>
  <si>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</si>
  <si>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</si>
  <si>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</si>
  <si>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</si>
  <si>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</si>
  <si>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</si>
  <si>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</si>
  <si>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</si>
  <si>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</si>
  <si>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</si>
  <si>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</si>
  <si>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</si>
  <si>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</si>
  <si>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</si>
  <si>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</si>
  <si>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</si>
  <si>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</si>
  <si>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</si>
  <si>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</si>
  <si>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</si>
  <si>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</si>
  <si>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</si>
  <si>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</si>
  <si>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</si>
  <si>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</si>
  <si>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</si>
  <si>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</si>
  <si>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</si>
  <si>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</si>
  <si>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</si>
  <si>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</si>
  <si>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</si>
  <si>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</si>
  <si>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</si>
  <si>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</si>
  <si>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</si>
  <si>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</si>
  <si>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</si>
  <si>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</si>
  <si>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</si>
  <si>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</si>
  <si>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</si>
  <si>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</si>
  <si>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</si>
  <si>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</si>
  <si>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</si>
  <si>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</si>
  <si>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</si>
  <si>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</si>
  <si>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</si>
  <si>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</si>
  <si>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</si>
  <si>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</si>
  <si>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</si>
  <si>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</si>
  <si>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</si>
  <si>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</si>
  <si>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</si>
  <si>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</si>
  <si>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</si>
  <si>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</si>
  <si>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</si>
  <si>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</si>
  <si>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</si>
  <si>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</si>
  <si>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</si>
  <si>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</si>
  <si>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</si>
  <si>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</si>
  <si>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</si>
  <si>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</si>
  <si>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</si>
  <si>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</si>
  <si>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</si>
  <si>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</si>
  <si>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</si>
  <si>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</si>
  <si>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</si>
  <si>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</si>
  <si>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</si>
  <si>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</si>
  <si>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</si>
  <si>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</si>
  <si>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</si>
  <si>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</si>
  <si>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</si>
  <si>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</si>
  <si>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</si>
  <si>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</si>
  <si>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</si>
  <si>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</si>
  <si>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</si>
  <si>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</si>
  <si>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</si>
  <si>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</si>
  <si>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</si>
  <si>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</si>
  <si>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</si>
  <si>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</si>
  <si>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</si>
  <si>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</si>
  <si>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</si>
  <si>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</si>
  <si>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</si>
  <si>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</si>
  <si>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</si>
  <si>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</si>
  <si>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</si>
  <si>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</si>
  <si>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</si>
  <si>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</si>
  <si>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</si>
  <si>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</si>
  <si>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</si>
  <si>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</si>
  <si>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</si>
  <si>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</si>
  <si>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</si>
  <si>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</si>
  <si>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</si>
  <si>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</si>
  <si>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</si>
  <si>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</si>
  <si>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</si>
  <si>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</si>
  <si>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</si>
  <si>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</si>
  <si>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</si>
  <si>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</si>
  <si>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</si>
  <si>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</si>
  <si>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</si>
  <si>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</si>
  <si>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</si>
  <si>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</si>
  <si>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</si>
  <si>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</si>
  <si>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</si>
  <si>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</si>
  <si>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</si>
  <si>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</si>
  <si>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</si>
  <si>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</si>
  <si>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</si>
  <si>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</si>
  <si>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</si>
  <si>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</si>
  <si>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</si>
  <si>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</si>
  <si>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</si>
  <si>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</si>
  <si>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</si>
  <si>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</si>
  <si>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</si>
  <si>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</si>
  <si>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</si>
  <si>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</si>
  <si>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</si>
  <si>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</si>
  <si>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</si>
  <si>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</si>
  <si>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</si>
  <si>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</si>
  <si>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</si>
  <si>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</si>
  <si>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</si>
  <si>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</si>
  <si>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</si>
  <si>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</si>
  <si>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</si>
  <si>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</si>
  <si>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</si>
  <si>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</si>
  <si>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</si>
  <si>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</si>
  <si>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</si>
  <si>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</si>
  <si>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</si>
  <si>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</si>
  <si>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</si>
  <si>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</si>
  <si>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</si>
  <si>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</si>
  <si>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</si>
  <si>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</si>
  <si>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</si>
  <si>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</si>
  <si>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</si>
  <si>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</si>
  <si>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</si>
  <si>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</si>
  <si>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</si>
  <si>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</si>
  <si>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</si>
  <si>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</si>
  <si>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</si>
  <si>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</si>
  <si>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</si>
  <si>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</si>
  <si>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</si>
  <si>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</si>
  <si>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</si>
  <si>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</si>
  <si>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</si>
  <si>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</si>
  <si>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</si>
  <si>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</si>
  <si>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</si>
  <si>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</si>
  <si>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</si>
  <si>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</si>
  <si>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</si>
  <si>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</si>
  <si>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</si>
  <si>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</si>
  <si>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</si>
  <si>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</si>
  <si>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</si>
  <si>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</si>
  <si>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</si>
  <si>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</si>
  <si>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</si>
  <si>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</si>
  <si>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</si>
  <si>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</si>
  <si>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</si>
  <si>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</si>
  <si>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</si>
  <si>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</si>
  <si>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</si>
  <si>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</si>
  <si>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</si>
  <si>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</si>
  <si>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</si>
  <si>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</si>
  <si>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</si>
  <si>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</si>
  <si>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</si>
  <si>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</si>
  <si>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</si>
  <si>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</si>
  <si>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</si>
  <si>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</si>
  <si>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</si>
  <si>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</si>
  <si>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</si>
  <si>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</si>
  <si>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</si>
  <si>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</si>
  <si>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</si>
  <si>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</si>
  <si>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</si>
  <si>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</si>
  <si>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</si>
  <si>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</si>
  <si>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</si>
  <si>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</si>
  <si>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</si>
  <si>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</si>
  <si>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</si>
  <si>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</si>
  <si>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</si>
  <si>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</si>
  <si>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</si>
  <si>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</si>
  <si>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</si>
  <si>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</si>
  <si>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</si>
  <si>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</si>
  <si>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</si>
  <si>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</si>
  <si>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</si>
  <si>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</si>
  <si>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</si>
  <si>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</si>
  <si>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</si>
  <si>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</si>
  <si>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</si>
  <si>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</si>
  <si>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</si>
  <si>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</si>
  <si>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</si>
  <si>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</si>
  <si>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</si>
  <si>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</si>
  <si>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</si>
  <si>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</si>
  <si>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</si>
  <si>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</si>
  <si>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</si>
  <si>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</si>
  <si>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</si>
  <si>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</si>
  <si>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</si>
  <si>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</si>
  <si>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</si>
  <si>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</si>
  <si>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</si>
  <si>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</si>
  <si>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</si>
  <si>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</si>
  <si>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</si>
  <si>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</si>
  <si>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</si>
  <si>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</si>
  <si>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</si>
  <si>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</si>
  <si>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</si>
  <si>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</si>
  <si>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</si>
  <si>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</si>
  <si>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</si>
  <si>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</si>
  <si>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</si>
  <si>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</si>
  <si>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</si>
  <si>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</si>
  <si>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</si>
  <si>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</si>
  <si>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</si>
  <si>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</si>
  <si>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</si>
  <si>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</si>
  <si>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</si>
  <si>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</si>
  <si>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</si>
  <si>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</si>
  <si>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</si>
  <si>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</si>
  <si>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</si>
  <si>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</si>
  <si>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</si>
  <si>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</si>
  <si>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</si>
  <si>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</si>
  <si>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</si>
  <si>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</si>
  <si>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</si>
  <si>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</si>
  <si>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</si>
  <si>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</si>
  <si>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</si>
  <si>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</si>
  <si>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</si>
  <si>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</si>
  <si>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</si>
  <si>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</si>
  <si>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</si>
  <si>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</si>
  <si>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</si>
  <si>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</si>
  <si>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</si>
  <si>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</si>
  <si>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</si>
  <si>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</si>
  <si>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</si>
  <si>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</si>
  <si>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</si>
  <si>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</si>
  <si>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</si>
  <si>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</si>
  <si>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</si>
  <si>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</si>
  <si>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</si>
  <si>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</si>
  <si>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</si>
  <si>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</si>
  <si>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</si>
  <si>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</si>
  <si>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</si>
  <si>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</si>
  <si>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</si>
  <si>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</si>
  <si>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</si>
  <si>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</si>
  <si>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</si>
  <si>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</si>
  <si>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</si>
  <si>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</si>
  <si>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</si>
  <si>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</si>
  <si>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</si>
  <si>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</si>
  <si>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</si>
  <si>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</si>
  <si>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</si>
  <si>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</si>
  <si>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</si>
  <si>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</si>
  <si>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</si>
  <si>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</si>
  <si>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</si>
  <si>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</si>
  <si>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</si>
  <si>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</si>
  <si>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</si>
  <si>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</si>
  <si>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</si>
  <si>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</si>
  <si>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</si>
  <si>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</si>
  <si>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</si>
  <si>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</si>
  <si>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</si>
  <si>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</si>
  <si>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</si>
  <si>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</si>
  <si>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</si>
  <si>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</si>
  <si>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</si>
  <si>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</si>
  <si>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</si>
  <si>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</si>
  <si>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</si>
  <si>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</si>
  <si>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</si>
  <si>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</si>
  <si>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</si>
  <si>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</si>
  <si>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</si>
  <si>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</si>
  <si>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</si>
  <si>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</si>
  <si>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</si>
  <si>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</si>
  <si>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</si>
  <si>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</si>
  <si>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</si>
  <si>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</si>
  <si>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</si>
  <si>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</si>
  <si>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</si>
  <si>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</si>
  <si>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</si>
  <si>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</si>
  <si>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</si>
  <si>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</si>
  <si>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</si>
  <si>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</si>
  <si>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</si>
  <si>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</si>
  <si>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</si>
  <si>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</si>
  <si>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</si>
  <si>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</si>
  <si>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</si>
  <si>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</si>
  <si>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</si>
  <si>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</si>
  <si>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</si>
  <si>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</si>
  <si>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</si>
  <si>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</si>
  <si>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</si>
  <si>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</si>
  <si>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</si>
  <si>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</si>
  <si>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</si>
  <si>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</si>
  <si>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</si>
  <si>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</si>
  <si>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</si>
  <si>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</si>
  <si>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</si>
  <si>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</si>
  <si>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</si>
  <si>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</si>
  <si>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</si>
  <si>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</si>
  <si>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</si>
  <si>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</si>
  <si>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</si>
  <si>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</si>
  <si>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</si>
  <si>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</si>
  <si>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</si>
  <si>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</si>
  <si>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</si>
  <si>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</si>
  <si>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</si>
  <si>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</si>
  <si>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</si>
  <si>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</si>
  <si>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</si>
  <si>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</si>
  <si>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</si>
  <si>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</si>
  <si>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</si>
  <si>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</si>
  <si>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</si>
  <si>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</si>
  <si>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</si>
  <si>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</si>
  <si>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</si>
  <si>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</si>
  <si>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</si>
  <si>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</si>
  <si>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</si>
  <si>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</si>
  <si>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</si>
  <si>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</si>
  <si>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</si>
  <si>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</si>
  <si>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</si>
  <si>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</si>
  <si>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</si>
  <si>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</si>
  <si>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</si>
  <si>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</si>
  <si>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</si>
  <si>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</si>
  <si>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</si>
  <si>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</si>
  <si>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</si>
  <si>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</si>
  <si>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</si>
  <si>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</si>
  <si>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</si>
  <si>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</si>
  <si>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</si>
  <si>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</si>
  <si>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</si>
  <si>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</si>
  <si>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</si>
  <si>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</si>
  <si>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</si>
  <si>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</si>
  <si>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</si>
  <si>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</si>
  <si>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</si>
  <si>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</si>
  <si>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</si>
  <si>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</si>
  <si>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</si>
  <si>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</si>
  <si>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</si>
  <si>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</si>
  <si>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</si>
  <si>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</si>
  <si>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</si>
  <si>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</si>
  <si>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</si>
  <si>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</si>
  <si>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</si>
  <si>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</si>
  <si>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</si>
  <si>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</si>
  <si>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</si>
  <si>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</si>
  <si>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</si>
  <si>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</si>
  <si>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</si>
  <si>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</si>
  <si>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</si>
  <si>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</si>
  <si>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</si>
  <si>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</si>
  <si>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</si>
  <si>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</si>
  <si>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</si>
  <si>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</si>
  <si>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</si>
  <si>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</si>
  <si>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</si>
  <si>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</si>
  <si>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</si>
  <si>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</si>
  <si>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</si>
  <si>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</si>
  <si>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</si>
  <si>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</si>
  <si>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</si>
  <si>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</si>
  <si>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</si>
  <si>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</si>
  <si>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</si>
  <si>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</si>
  <si>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</si>
  <si>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</si>
  <si>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</si>
  <si>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</si>
  <si>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</si>
  <si>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</si>
  <si>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</si>
  <si>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</si>
  <si>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</si>
  <si>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</si>
  <si>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</si>
  <si>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</si>
  <si>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</si>
  <si>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</si>
  <si>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</si>
  <si>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</si>
  <si>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</si>
  <si>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</si>
  <si>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</si>
  <si>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</si>
  <si>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</si>
  <si>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</si>
  <si>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</si>
  <si>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</si>
  <si>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</si>
  <si>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</si>
  <si>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</si>
  <si>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</si>
  <si>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</si>
  <si>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</si>
  <si>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</si>
  <si>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</si>
  <si>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</si>
  <si>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</si>
  <si>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</si>
  <si>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</si>
  <si>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</si>
  <si>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</si>
  <si>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</si>
  <si>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</si>
  <si>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</si>
  <si>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</si>
  <si>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</si>
  <si>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</si>
  <si>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</si>
  <si>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</si>
  <si>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</si>
  <si>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</si>
  <si>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</si>
  <si>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</si>
  <si>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</si>
  <si>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</si>
  <si>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</si>
  <si>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</si>
  <si>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</si>
  <si>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</si>
  <si>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</si>
  <si>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</si>
  <si>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</si>
  <si>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</si>
  <si>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</si>
  <si>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</si>
  <si>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</si>
  <si>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</si>
  <si>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</si>
  <si>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</si>
  <si>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</si>
  <si>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</si>
  <si>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</si>
  <si>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</si>
  <si>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</si>
  <si>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</si>
  <si>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</si>
  <si>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</si>
  <si>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</si>
  <si>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</si>
  <si>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</si>
  <si>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</si>
  <si>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</si>
  <si>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</si>
  <si>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</si>
  <si>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</si>
  <si>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</si>
  <si>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</si>
  <si>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</si>
  <si>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</si>
  <si>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</si>
  <si>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</si>
  <si>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</si>
  <si>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</si>
  <si>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</si>
  <si>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</si>
  <si>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</si>
  <si>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</si>
  <si>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</si>
  <si>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</si>
  <si>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</si>
  <si>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</si>
  <si>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</si>
  <si>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</si>
  <si>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</si>
  <si>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</si>
  <si>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</si>
  <si>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</si>
  <si>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</si>
  <si>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</si>
  <si>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</si>
  <si>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</si>
  <si>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</si>
  <si>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</si>
  <si>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</si>
  <si>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</si>
  <si>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</si>
  <si>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</si>
  <si>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</si>
  <si>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</si>
  <si>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</si>
  <si>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</si>
  <si>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</si>
  <si>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</si>
  <si>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</si>
  <si>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</si>
  <si>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</si>
  <si>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</si>
  <si>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</si>
  <si>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</si>
  <si>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</si>
  <si>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</si>
  <si>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</si>
  <si>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</si>
  <si>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</si>
  <si>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</si>
  <si>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</si>
  <si>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</si>
  <si>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</si>
  <si>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</si>
  <si>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</si>
  <si>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</si>
  <si>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</si>
  <si>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</si>
  <si>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</si>
  <si>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</si>
  <si>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</si>
  <si>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</si>
  <si>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</si>
  <si>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</si>
  <si>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</si>
  <si>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</si>
  <si>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</si>
  <si>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</si>
  <si>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</si>
  <si>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</si>
  <si>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</si>
  <si>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</si>
  <si>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</si>
  <si>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</si>
  <si>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</si>
  <si>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</si>
  <si>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</si>
  <si>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</si>
  <si>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</si>
  <si>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</si>
  <si>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</si>
  <si>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</si>
  <si>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</si>
  <si>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</si>
  <si>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</si>
  <si>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</si>
  <si>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</si>
  <si>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</si>
  <si>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</si>
  <si>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</si>
  <si>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</si>
  <si>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</si>
  <si>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</si>
  <si>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</si>
  <si>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</si>
  <si>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</si>
  <si>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</si>
  <si>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</si>
  <si>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</si>
  <si>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</si>
  <si>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</si>
  <si>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</si>
  <si>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</si>
  <si>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</si>
  <si>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</si>
  <si>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</si>
  <si>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</si>
  <si>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</si>
  <si>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</si>
  <si>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</si>
  <si>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</si>
  <si>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</si>
  <si>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</si>
  <si>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</si>
  <si>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</si>
  <si>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</si>
  <si>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</si>
  <si>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</si>
  <si>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</si>
  <si>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</si>
  <si>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</si>
  <si>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</si>
  <si>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</si>
  <si>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</si>
  <si>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</si>
  <si>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</si>
  <si>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</si>
  <si>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</si>
  <si>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</si>
  <si>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</si>
  <si>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</si>
  <si>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</si>
  <si>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</si>
  <si>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</si>
  <si>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</si>
  <si>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</si>
  <si>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</si>
  <si>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</si>
  <si>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</si>
  <si>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</si>
  <si>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</si>
  <si>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</si>
  <si>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</si>
  <si>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</si>
  <si>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</si>
  <si>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</si>
  <si>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</si>
  <si>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</si>
  <si>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</si>
  <si>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</si>
  <si>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</si>
  <si>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</si>
  <si>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</si>
  <si>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</si>
  <si>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</si>
  <si>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</si>
  <si>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</si>
  <si>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</si>
  <si>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</si>
  <si>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</si>
  <si>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</si>
  <si>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</si>
  <si>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</si>
  <si>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</si>
  <si>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</si>
  <si>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</si>
  <si>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</si>
  <si>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</si>
  <si>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</si>
  <si>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</si>
  <si>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</si>
  <si>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</si>
  <si>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</si>
  <si>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</si>
  <si>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</si>
  <si>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</si>
  <si>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</si>
  <si>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</si>
  <si>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</si>
  <si>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</si>
  <si>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</si>
  <si>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</si>
  <si>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</si>
  <si>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</si>
  <si>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</si>
  <si>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</si>
  <si>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</si>
  <si>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</si>
  <si>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</si>
  <si>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</si>
  <si>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</si>
  <si>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</si>
  <si>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</si>
  <si>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</si>
  <si>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</si>
  <si>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</si>
  <si>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</si>
  <si>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</si>
  <si>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</si>
  <si>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</si>
  <si>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</si>
  <si>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</si>
  <si>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</si>
  <si>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</si>
  <si>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</si>
  <si>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</si>
  <si>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</si>
  <si>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</si>
  <si>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</si>
  <si>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</si>
  <si>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</si>
  <si>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</si>
  <si>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</si>
  <si>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</si>
  <si>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</si>
  <si>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</si>
  <si>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</si>
  <si>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</si>
  <si>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</si>
  <si>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</si>
  <si>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</si>
  <si>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</si>
  <si>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</si>
  <si>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</si>
  <si>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</si>
  <si>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</si>
  <si>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</si>
  <si>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</si>
  <si>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</si>
  <si>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</si>
  <si>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</si>
  <si>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</si>
  <si>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</si>
  <si>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</si>
  <si>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</si>
  <si>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</si>
  <si>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</si>
  <si>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</si>
  <si>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</si>
  <si>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</si>
  <si>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</si>
  <si>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</si>
  <si>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</si>
  <si>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</si>
  <si>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</si>
  <si>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</si>
  <si>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</si>
  <si>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</si>
  <si>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</si>
  <si>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</si>
  <si>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</si>
  <si>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</si>
  <si>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</si>
  <si>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</si>
  <si>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</si>
  <si>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</si>
  <si>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</si>
  <si>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</si>
  <si>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</si>
  <si>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</si>
  <si>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</si>
  <si>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</si>
  <si>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</si>
  <si>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</si>
  <si>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</si>
  <si>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</si>
  <si>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</si>
  <si>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</si>
  <si>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</si>
  <si>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</si>
  <si>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</si>
  <si>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</si>
  <si>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</si>
  <si>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</si>
  <si>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</si>
  <si>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</si>
  <si>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</si>
  <si>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</si>
  <si>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</si>
  <si>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</si>
  <si>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</si>
  <si>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</si>
  <si>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</si>
  <si>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</si>
  <si>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</si>
  <si>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</si>
  <si>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</si>
  <si>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</si>
  <si>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</si>
  <si>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</si>
  <si>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</si>
  <si>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</si>
  <si>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</si>
  <si>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</si>
  <si>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</si>
  <si>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</si>
  <si>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</si>
  <si>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</si>
  <si>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</si>
  <si>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</si>
  <si>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</si>
  <si>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</si>
  <si>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</si>
  <si>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</si>
  <si>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</si>
  <si>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</si>
  <si>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</si>
  <si>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</si>
  <si>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</si>
  <si>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</si>
  <si>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</si>
  <si>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</si>
  <si>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</si>
  <si>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</si>
  <si>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</si>
  <si>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</si>
  <si>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</si>
  <si>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</si>
  <si>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</si>
  <si>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</si>
  <si>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</si>
  <si>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</si>
  <si>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</si>
  <si>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</si>
  <si>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</si>
  <si>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</si>
  <si>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</si>
  <si>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</si>
  <si>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</si>
  <si>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</si>
  <si>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</si>
  <si>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</si>
  <si>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</si>
  <si>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</si>
  <si>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</si>
  <si>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</si>
  <si>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</si>
  <si>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</si>
  <si>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</si>
  <si>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</si>
  <si>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</si>
  <si>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</si>
  <si>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</si>
  <si>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</si>
  <si>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</si>
  <si>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</si>
  <si>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</si>
  <si>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</si>
  <si>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</si>
  <si>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</si>
  <si>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</si>
  <si>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</si>
  <si>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</si>
  <si>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</si>
  <si>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</si>
  <si>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</si>
  <si>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</si>
  <si>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</si>
  <si>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</si>
  <si>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</si>
  <si>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</si>
  <si>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</si>
  <si>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</si>
  <si>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</si>
  <si>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</si>
  <si>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</si>
  <si>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</si>
  <si>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</si>
  <si>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</si>
  <si>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</si>
  <si>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</si>
  <si>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</si>
  <si>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</si>
  <si>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</si>
  <si>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</si>
  <si>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</si>
  <si>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</si>
  <si>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</si>
  <si>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</si>
  <si>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</si>
  <si>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</si>
  <si>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</si>
  <si>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</si>
  <si>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</si>
  <si>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</si>
  <si>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</si>
  <si>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</si>
  <si>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</si>
  <si>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</si>
  <si>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</si>
  <si>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</si>
  <si>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</si>
  <si>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</si>
  <si>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</si>
  <si>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</si>
  <si>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</si>
  <si>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</si>
  <si>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</si>
  <si>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</si>
  <si>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</si>
  <si>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</si>
  <si>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</si>
  <si>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</si>
  <si>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</si>
  <si>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</si>
  <si>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</si>
  <si>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</si>
  <si>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</si>
  <si>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</si>
  <si>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</si>
  <si>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</si>
  <si>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</si>
  <si>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</si>
  <si>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</si>
  <si>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</si>
  <si>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</si>
  <si>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</si>
  <si>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</si>
  <si>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</si>
  <si>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</si>
  <si>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</si>
  <si>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</si>
  <si>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</si>
  <si>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</si>
  <si>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</si>
  <si>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</si>
  <si>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</si>
  <si>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</si>
  <si>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</si>
  <si>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</si>
  <si>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</si>
  <si>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</si>
  <si>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</si>
  <si>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</si>
  <si>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</si>
  <si>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</si>
  <si>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</si>
  <si>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</si>
  <si>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</si>
  <si>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</si>
  <si>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</si>
  <si>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</si>
  <si>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</si>
  <si>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</si>
  <si>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</si>
  <si>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</si>
  <si>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</si>
  <si>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</si>
  <si>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</si>
  <si>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</si>
  <si>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</si>
  <si>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</si>
  <si>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</si>
  <si>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</si>
  <si>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</si>
  <si>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</si>
  <si>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</si>
  <si>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</si>
  <si>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</si>
  <si>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</si>
  <si>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</si>
  <si>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</si>
  <si>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</si>
  <si>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</si>
  <si>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</si>
  <si>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</si>
  <si>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</si>
  <si>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</si>
  <si>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</si>
  <si>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</si>
  <si>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</si>
  <si>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</si>
  <si>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</si>
  <si>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</si>
  <si>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</si>
  <si>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</si>
  <si>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</si>
  <si>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</si>
  <si>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</si>
  <si>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</si>
  <si>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</si>
  <si>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</si>
  <si>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</si>
  <si>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</si>
  <si>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</si>
  <si>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</si>
  <si>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</si>
  <si>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</si>
  <si>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</si>
  <si>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</si>
  <si>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</si>
  <si>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</si>
  <si>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</si>
  <si>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</si>
  <si>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</si>
  <si>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</si>
  <si>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</si>
  <si>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</si>
  <si>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</si>
  <si>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</si>
  <si>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</si>
  <si>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</si>
  <si>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</si>
  <si>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</si>
  <si>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</si>
  <si>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</si>
  <si>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</si>
  <si>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</si>
  <si>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</si>
  <si>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</si>
  <si>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</si>
  <si>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</si>
  <si>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</si>
  <si>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</si>
  <si>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</si>
  <si>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</si>
  <si>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</si>
  <si>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</si>
  <si>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</si>
  <si>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</si>
  <si>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</si>
  <si>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</si>
  <si>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</si>
  <si>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</si>
  <si>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</si>
  <si>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</si>
  <si>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</si>
  <si>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</si>
  <si>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</si>
  <si>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</si>
  <si>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</si>
  <si>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</si>
  <si>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</si>
  <si>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</si>
  <si>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</si>
  <si>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</si>
  <si>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</si>
  <si>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</si>
  <si>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</si>
  <si>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</si>
  <si>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</si>
  <si>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</si>
  <si>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</si>
  <si>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</si>
  <si>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</si>
  <si>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</si>
  <si>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</si>
  <si>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</si>
  <si>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</si>
  <si>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</si>
  <si>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</si>
  <si>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</si>
  <si>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</si>
  <si>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</si>
  <si>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</si>
  <si>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</si>
  <si>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</si>
  <si>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</si>
  <si>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</si>
  <si>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</si>
  <si>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</si>
  <si>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</si>
  <si>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</si>
  <si>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</si>
  <si>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</si>
  <si>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</si>
  <si>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</si>
  <si>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</si>
  <si>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</si>
  <si>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</si>
  <si>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</si>
  <si>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</si>
  <si>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</si>
  <si>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</si>
  <si>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</si>
  <si>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</si>
  <si>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</si>
  <si>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</si>
  <si>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</si>
  <si>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</si>
  <si>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</si>
  <si>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</si>
  <si>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</si>
  <si>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</si>
  <si>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</si>
  <si>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</si>
  <si>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</si>
  <si>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</si>
  <si>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</si>
  <si>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</si>
  <si>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</si>
  <si>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</si>
  <si>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</si>
  <si>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</si>
  <si>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</si>
  <si>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</si>
  <si>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</si>
  <si>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</si>
  <si>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</si>
  <si>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</si>
  <si>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</si>
  <si>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</si>
  <si>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</si>
  <si>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</si>
  <si>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</si>
  <si>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</si>
  <si>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</si>
  <si>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</si>
  <si>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</si>
  <si>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</si>
  <si>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</si>
  <si>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</si>
  <si>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</si>
  <si>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</si>
  <si>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</si>
  <si>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</si>
  <si>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</si>
  <si>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</si>
  <si>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</si>
  <si>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</si>
  <si>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</si>
  <si>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</si>
  <si>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</si>
  <si>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</si>
  <si>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</si>
  <si>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</si>
  <si>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</si>
  <si>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</si>
  <si>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</si>
  <si>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</si>
  <si>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</si>
  <si>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</si>
  <si>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</si>
  <si>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</si>
  <si>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</si>
  <si>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</si>
  <si>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</si>
  <si>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</si>
  <si>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</si>
  <si>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</si>
  <si>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</si>
  <si>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</si>
  <si>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</si>
  <si>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</si>
  <si>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</si>
  <si>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</si>
  <si>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</si>
  <si>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</si>
  <si>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</si>
  <si>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</si>
  <si>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</si>
  <si>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</si>
  <si>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</si>
  <si>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</si>
  <si>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</si>
  <si>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</si>
  <si>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</si>
  <si>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</si>
  <si>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</si>
  <si>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</si>
  <si>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</si>
  <si>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</si>
  <si>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</si>
  <si>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</si>
  <si>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</si>
  <si>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</si>
  <si>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</si>
  <si>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</si>
  <si>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</si>
  <si>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</si>
  <si>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</si>
  <si>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</si>
  <si>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</si>
  <si>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</si>
  <si>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</si>
  <si>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</si>
  <si>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</si>
  <si>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</si>
  <si>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</si>
  <si>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</si>
  <si>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</si>
  <si>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</si>
  <si>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</si>
  <si>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</si>
  <si>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</si>
  <si>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</si>
  <si>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</si>
  <si>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</si>
  <si>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</si>
  <si>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</si>
  <si>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</si>
  <si>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</si>
  <si>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</si>
  <si>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</si>
  <si>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</si>
  <si>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</si>
  <si>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</si>
  <si>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</si>
  <si>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</si>
  <si>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</si>
  <si>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</si>
  <si>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</si>
  <si>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</si>
  <si>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</si>
  <si>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</si>
  <si>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</si>
  <si>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</si>
  <si>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</si>
  <si>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</si>
  <si>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</si>
  <si>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</si>
  <si>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</si>
  <si>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</si>
  <si>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</si>
  <si>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</si>
  <si>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</si>
  <si>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</si>
  <si>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</si>
  <si>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</si>
  <si>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</si>
  <si>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</si>
  <si>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</si>
  <si>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</si>
  <si>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</si>
  <si>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</si>
  <si>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</si>
  <si>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</si>
  <si>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</si>
  <si>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</si>
  <si>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</si>
  <si>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</si>
  <si>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</si>
  <si>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</si>
  <si>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</si>
  <si>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</si>
  <si>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</si>
  <si>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</si>
  <si>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</si>
  <si>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</si>
  <si>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</si>
  <si>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</si>
  <si>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</si>
  <si>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</si>
  <si>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</si>
  <si>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</si>
  <si>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</si>
  <si>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</si>
  <si>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</si>
  <si>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</si>
  <si>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</si>
  <si>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</si>
  <si>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</si>
  <si>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</si>
  <si>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</si>
  <si>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</si>
  <si>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</si>
  <si>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</si>
  <si>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</si>
  <si>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</si>
  <si>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</si>
  <si>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</si>
  <si>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</si>
  <si>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</si>
  <si>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</si>
  <si>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</si>
  <si>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</si>
  <si>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</si>
  <si>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</si>
  <si>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</si>
  <si>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</si>
  <si>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</si>
  <si>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</si>
  <si>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</si>
  <si>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</si>
  <si>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</si>
  <si>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</si>
  <si>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</si>
  <si>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</si>
  <si>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</si>
  <si>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</si>
  <si>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</si>
  <si>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</si>
  <si>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</si>
  <si>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</si>
  <si>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</si>
  <si>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</si>
  <si>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</si>
  <si>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</si>
  <si>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</si>
  <si>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</si>
  <si>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</si>
  <si>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</si>
  <si>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</si>
  <si>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</si>
  <si>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</si>
  <si>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</si>
  <si>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</si>
  <si>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</si>
  <si>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</si>
  <si>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</si>
  <si>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</si>
  <si>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</si>
  <si>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</si>
  <si>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</si>
  <si>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</si>
  <si>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</si>
  <si>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</si>
  <si>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</si>
  <si>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</si>
  <si>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</si>
  <si>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</si>
  <si>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</si>
  <si>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</si>
  <si>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</si>
  <si>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</si>
  <si>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</si>
  <si>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</si>
  <si>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</si>
  <si>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</si>
  <si>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</si>
  <si>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</si>
  <si>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</si>
  <si>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</si>
  <si>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</si>
  <si>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</si>
  <si>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</si>
  <si>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</si>
  <si>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</si>
  <si>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</si>
  <si>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</si>
  <si>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</si>
  <si>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</si>
  <si>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</si>
  <si>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</si>
  <si>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</si>
  <si>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</si>
  <si>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</si>
  <si>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</si>
  <si>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</si>
  <si>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</si>
  <si>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</si>
  <si>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</si>
  <si>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</si>
  <si>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</si>
  <si>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</si>
  <si>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</si>
  <si>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</si>
  <si>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</si>
  <si>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</si>
  <si>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</si>
  <si>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</si>
  <si>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</si>
  <si>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</si>
  <si>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</si>
  <si>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</si>
  <si>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</si>
  <si>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</si>
  <si>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</si>
  <si>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</si>
  <si>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</si>
  <si>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</si>
  <si>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</si>
  <si>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</si>
  <si>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</si>
  <si>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</si>
  <si>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</si>
  <si>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</si>
  <si>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</si>
  <si>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</si>
  <si>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</si>
  <si>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</si>
  <si>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</si>
  <si>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</si>
  <si>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</si>
  <si>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</si>
  <si>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</si>
  <si>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</si>
  <si>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</si>
  <si>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</si>
  <si>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</si>
  <si>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</si>
  <si>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</si>
  <si>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</si>
  <si>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</si>
  <si>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</si>
  <si>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</si>
  <si>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</si>
  <si>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</si>
  <si>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</si>
  <si>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</si>
  <si>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</si>
  <si>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</si>
  <si>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</si>
  <si>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</si>
  <si>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</si>
  <si>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</si>
  <si>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</si>
  <si>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</si>
  <si>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</si>
  <si>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</si>
  <si>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</si>
  <si>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</si>
  <si>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</si>
  <si>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</si>
  <si>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</si>
  <si>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</si>
  <si>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</si>
  <si>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</si>
  <si>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</si>
  <si>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</si>
  <si>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</si>
  <si>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</si>
  <si>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</si>
  <si>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</si>
  <si>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</si>
  <si>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</si>
  <si>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</si>
  <si>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</si>
  <si>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</si>
  <si>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</si>
  <si>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</si>
  <si>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</si>
  <si>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</si>
  <si>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</si>
  <si>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</si>
  <si>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</si>
  <si>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</si>
  <si>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</si>
  <si>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</si>
  <si>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</si>
  <si>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</si>
  <si>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</si>
  <si>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</si>
  <si>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</si>
  <si>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</si>
  <si>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</si>
  <si>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</si>
  <si>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</si>
  <si>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</si>
  <si>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</si>
  <si>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</si>
  <si>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</si>
  <si>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</si>
  <si>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</si>
  <si>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</si>
  <si>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</si>
  <si>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</si>
  <si>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</si>
  <si>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</si>
  <si>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</si>
  <si>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</si>
  <si>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</si>
  <si>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</si>
  <si>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</si>
  <si>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</si>
  <si>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</si>
  <si>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</si>
  <si>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</si>
  <si>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</si>
  <si>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</si>
  <si>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</si>
  <si>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</si>
  <si>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</si>
  <si>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</si>
  <si>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</si>
  <si>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</si>
  <si>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</si>
  <si>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</si>
  <si>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</si>
  <si>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</si>
  <si>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</si>
  <si>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</si>
  <si>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</si>
  <si>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</si>
  <si>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</si>
  <si>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</si>
  <si>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</si>
  <si>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</si>
  <si>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</si>
  <si>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</si>
  <si>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</si>
  <si>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</si>
  <si>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</si>
  <si>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</si>
  <si>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</si>
  <si>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</si>
  <si>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</si>
  <si>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</si>
  <si>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</si>
  <si>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</si>
  <si>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</si>
  <si>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</si>
  <si>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</si>
  <si>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</si>
  <si>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</si>
  <si>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</si>
  <si>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</si>
  <si>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</si>
  <si>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</si>
  <si>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</si>
  <si>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</si>
  <si>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</si>
  <si>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</si>
  <si>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</si>
  <si>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</si>
  <si>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</si>
  <si>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</si>
  <si>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</si>
  <si>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</si>
  <si>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</si>
  <si>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</si>
  <si>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</si>
  <si>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</si>
  <si>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</si>
  <si>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</si>
  <si>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</si>
  <si>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</si>
  <si>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</si>
  <si>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</si>
  <si>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</si>
  <si>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</si>
  <si>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</si>
  <si>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</si>
  <si>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</si>
  <si>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</si>
  <si>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</si>
  <si>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</si>
  <si>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</si>
  <si>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</si>
  <si>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</si>
  <si>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</si>
  <si>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</si>
  <si>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</si>
  <si>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</si>
  <si>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</si>
  <si>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</si>
  <si>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</si>
  <si>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</si>
  <si>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</si>
  <si>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</si>
  <si>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</si>
  <si>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</si>
  <si>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</si>
  <si>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</si>
  <si>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</si>
  <si>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</si>
  <si>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</si>
  <si>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</si>
  <si>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</si>
  <si>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</si>
  <si>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</si>
  <si>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</si>
  <si>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</si>
  <si>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</si>
  <si>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</si>
  <si>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</si>
  <si>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</si>
  <si>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</si>
  <si>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</si>
  <si>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</si>
  <si>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</si>
  <si>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</si>
  <si>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</si>
  <si>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</si>
  <si>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</si>
  <si>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</si>
  <si>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</si>
  <si>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</si>
  <si>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</si>
  <si>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</si>
  <si>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</si>
  <si>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</si>
  <si>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</si>
  <si>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</si>
  <si>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</si>
  <si>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</si>
  <si>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</si>
  <si>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</si>
  <si>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</si>
  <si>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</si>
  <si>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</si>
  <si>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</si>
  <si>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</si>
  <si>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</si>
  <si>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</si>
  <si>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</si>
  <si>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</si>
  <si>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</si>
  <si>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</si>
  <si>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</si>
  <si>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</si>
  <si>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</si>
  <si>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</si>
  <si>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</si>
  <si>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</si>
  <si>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</si>
  <si>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</si>
  <si>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</si>
  <si>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</si>
  <si>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</si>
  <si>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</si>
  <si>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</si>
  <si>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</si>
  <si>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</si>
  <si>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</si>
  <si>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</si>
  <si>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</si>
  <si>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</si>
  <si>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</si>
  <si>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</si>
  <si>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</si>
  <si>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</si>
  <si>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</si>
  <si>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</si>
  <si>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</si>
  <si>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</si>
  <si>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</si>
  <si>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</si>
  <si>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</si>
  <si>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</si>
  <si>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</si>
  <si>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</si>
  <si>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</si>
  <si>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</si>
  <si>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</si>
  <si>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</si>
  <si>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</si>
  <si>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</si>
  <si>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</si>
  <si>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</si>
  <si>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</si>
  <si>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</si>
  <si>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</si>
  <si>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</si>
  <si>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</si>
  <si>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</si>
  <si>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</si>
  <si>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</si>
  <si>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</si>
  <si>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</si>
  <si>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</si>
  <si>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</si>
  <si>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</si>
  <si>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</si>
  <si>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</si>
  <si>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</si>
  <si>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</si>
  <si>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</si>
  <si>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</si>
  <si>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</si>
  <si>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</si>
  <si>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</si>
  <si>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</si>
  <si>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</si>
  <si>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</si>
  <si>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</si>
  <si>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</si>
  <si>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</si>
  <si>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</si>
  <si>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</si>
  <si>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</si>
  <si>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</si>
  <si>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</si>
  <si>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</si>
  <si>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</si>
  <si>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</si>
  <si>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</si>
  <si>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</si>
  <si>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</si>
  <si>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</si>
  <si>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</si>
  <si>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</si>
  <si>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</si>
  <si>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</si>
  <si>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</si>
  <si>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</si>
  <si>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</si>
  <si>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</si>
  <si>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</si>
  <si>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</si>
  <si>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</si>
  <si>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</si>
  <si>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</si>
  <si>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</si>
  <si>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</si>
  <si>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</si>
  <si>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</si>
  <si>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</si>
  <si>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</si>
  <si>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</si>
  <si>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</si>
  <si>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</si>
  <si>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</si>
  <si>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</si>
  <si>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</si>
  <si>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</si>
  <si>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</si>
  <si>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</si>
  <si>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</si>
  <si>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</si>
  <si>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</si>
  <si>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</si>
  <si>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</si>
  <si>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</si>
  <si>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</si>
  <si>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</si>
  <si>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</si>
  <si>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</si>
  <si>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</si>
  <si>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</si>
  <si>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</si>
  <si>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</si>
  <si>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</si>
  <si>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</si>
  <si>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</si>
  <si>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</si>
  <si>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</si>
  <si>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</si>
  <si>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</si>
  <si>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</si>
  <si>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</si>
  <si>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</si>
  <si>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</si>
  <si>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</si>
  <si>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</si>
  <si>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</si>
  <si>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</si>
  <si>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</si>
  <si>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</si>
  <si>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</si>
  <si>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</si>
  <si>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</si>
  <si>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</si>
  <si>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</si>
  <si>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</si>
  <si>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</si>
  <si>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</si>
  <si>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</si>
  <si>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</si>
  <si>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</si>
  <si>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</si>
  <si>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</si>
  <si>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</si>
  <si>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</si>
  <si>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</si>
  <si>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</si>
  <si>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</si>
  <si>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</si>
  <si>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</si>
  <si>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</si>
  <si>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</si>
  <si>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</si>
  <si>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</si>
  <si>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</si>
  <si>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</si>
  <si>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</si>
  <si>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</si>
  <si>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</si>
  <si>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</si>
  <si>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</si>
  <si>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</si>
  <si>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</si>
  <si>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</si>
  <si>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</si>
  <si>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</si>
  <si>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</si>
  <si>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</si>
  <si>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</si>
  <si>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</si>
  <si>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</si>
  <si>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</si>
  <si>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</si>
  <si>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</si>
  <si>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</si>
  <si>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</si>
  <si>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</si>
  <si>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</si>
  <si>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</si>
  <si>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</si>
  <si>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</si>
  <si>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</si>
  <si>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</si>
  <si>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</si>
  <si>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</si>
  <si>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</si>
  <si>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</si>
  <si>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</si>
  <si>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</si>
  <si>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</si>
  <si>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</si>
  <si>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</si>
  <si>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</si>
  <si>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</si>
  <si>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</si>
  <si>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</si>
  <si>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</si>
  <si>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</si>
  <si>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</si>
  <si>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</si>
  <si>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</si>
  <si>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</si>
  <si>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</si>
  <si>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</si>
  <si>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</si>
  <si>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</si>
  <si>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</si>
  <si>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</si>
  <si>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</si>
  <si>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</si>
  <si>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</si>
  <si>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</si>
  <si>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</si>
  <si>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</si>
  <si>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</si>
  <si>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</si>
  <si>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</si>
  <si>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</si>
  <si>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</si>
  <si>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</si>
  <si>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</si>
  <si>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</si>
  <si>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</si>
  <si>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</si>
  <si>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</si>
  <si>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</si>
  <si>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</si>
  <si>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</si>
  <si>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</si>
  <si>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</si>
  <si>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</si>
  <si>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</si>
  <si>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</si>
  <si>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</si>
  <si>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</si>
  <si>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</si>
  <si>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</si>
  <si>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</si>
  <si>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</si>
  <si>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</si>
  <si>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</si>
  <si>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</si>
  <si>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</si>
  <si>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</si>
  <si>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</si>
  <si>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</si>
  <si>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</si>
  <si>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</si>
  <si>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</si>
  <si>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</si>
  <si>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</si>
  <si>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</si>
  <si>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</si>
  <si>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</si>
  <si>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</si>
  <si>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</si>
  <si>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</si>
  <si>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</si>
  <si>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</si>
  <si>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</si>
  <si>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</si>
  <si>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</si>
  <si>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</si>
  <si>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</si>
  <si>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</si>
  <si>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</si>
  <si>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</si>
  <si>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</si>
  <si>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</si>
  <si>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</si>
  <si>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</si>
  <si>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</si>
  <si>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</si>
  <si>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</si>
  <si>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</si>
  <si>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</si>
  <si>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</si>
  <si>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</si>
  <si>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</si>
  <si>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</si>
  <si>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</si>
  <si>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</si>
  <si>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</si>
  <si>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</si>
  <si>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</si>
  <si>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</si>
  <si>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</si>
  <si>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</si>
  <si>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</si>
  <si>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</si>
  <si>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</si>
  <si>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</si>
  <si>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</si>
  <si>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</si>
  <si>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</si>
  <si>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</si>
  <si>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</si>
  <si>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</si>
  <si>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</si>
  <si>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</si>
  <si>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</si>
  <si>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</si>
  <si>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</si>
  <si>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</si>
  <si>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</si>
  <si>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</si>
  <si>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</si>
  <si>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</si>
  <si>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</si>
  <si>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</si>
  <si>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</si>
  <si>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</si>
  <si>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</si>
  <si>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</si>
  <si>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</si>
  <si>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</si>
  <si>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</si>
  <si>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</si>
  <si>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</si>
  <si>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</si>
  <si>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</si>
  <si>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</si>
  <si>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</si>
  <si>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</si>
  <si>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</si>
  <si>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</si>
  <si>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</si>
  <si>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</si>
  <si>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</si>
  <si>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</si>
  <si>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</si>
  <si>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</si>
  <si>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</si>
  <si>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</si>
  <si>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</si>
  <si>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</si>
  <si>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</si>
  <si>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</si>
  <si>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</si>
  <si>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</si>
  <si>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</si>
  <si>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</si>
  <si>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</si>
  <si>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</si>
  <si>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</si>
  <si>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</si>
  <si>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</si>
  <si>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</si>
  <si>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</si>
  <si>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</si>
  <si>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</si>
  <si>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</si>
  <si>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</si>
  <si>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</si>
  <si>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</si>
  <si>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</si>
  <si>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</si>
  <si>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</si>
  <si>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</si>
  <si>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</si>
  <si>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</si>
  <si>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</si>
  <si>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</si>
  <si>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</si>
  <si>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</si>
  <si>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</si>
  <si>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</si>
  <si>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</si>
  <si>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</si>
  <si>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</si>
  <si>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</si>
  <si>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</si>
  <si>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</si>
  <si>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</si>
  <si>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</si>
  <si>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</si>
  <si>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</si>
  <si>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</si>
  <si>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</si>
  <si>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</si>
  <si>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</si>
  <si>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</si>
  <si>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</si>
  <si>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</si>
  <si>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</si>
  <si>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</si>
  <si>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</si>
  <si>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</si>
  <si>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</si>
  <si>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</si>
  <si>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</si>
  <si>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</si>
  <si>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</si>
  <si>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</si>
  <si>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</si>
  <si>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</si>
  <si>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</si>
  <si>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</si>
  <si>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</si>
  <si>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</si>
  <si>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</si>
  <si>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</si>
  <si>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</si>
  <si>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</si>
  <si>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</si>
  <si>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</si>
  <si>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</si>
  <si>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</si>
  <si>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</si>
  <si>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</si>
  <si>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</si>
  <si>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</si>
  <si>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</si>
  <si>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</si>
  <si>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</si>
  <si>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</si>
  <si>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</si>
  <si>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</si>
  <si>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</si>
  <si>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</si>
  <si>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</si>
  <si>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</si>
  <si>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</si>
  <si>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</si>
  <si>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</si>
  <si>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</si>
  <si>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</si>
  <si>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</si>
  <si>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</si>
  <si>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</si>
  <si>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</si>
  <si>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</si>
  <si>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</si>
  <si>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</si>
  <si>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</si>
  <si>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</si>
  <si>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</si>
  <si>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</si>
  <si>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</si>
  <si>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</si>
  <si>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</si>
  <si>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</si>
  <si>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</si>
  <si>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</si>
  <si>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</si>
  <si>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</si>
  <si>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</si>
  <si>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</si>
  <si>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</si>
  <si>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</si>
  <si>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</si>
  <si>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</si>
  <si>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</si>
  <si>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</si>
  <si>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</si>
  <si>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</si>
  <si>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</si>
  <si>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</si>
  <si>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</si>
  <si>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</si>
  <si>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</si>
  <si>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</si>
  <si>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</si>
  <si>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</si>
  <si>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</si>
  <si>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</si>
  <si>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</si>
  <si>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</si>
  <si>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</si>
  <si>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</si>
  <si>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</si>
  <si>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</si>
  <si>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</si>
  <si>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</si>
  <si>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</si>
  <si>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</si>
  <si>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</si>
  <si>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</si>
  <si>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</si>
  <si>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</si>
  <si>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</si>
  <si>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</si>
  <si>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</si>
  <si>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</si>
  <si>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</si>
  <si>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</si>
  <si>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</si>
  <si>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</si>
  <si>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</si>
  <si>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</si>
  <si>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</si>
  <si>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</si>
  <si>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</si>
  <si>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</si>
  <si>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</si>
  <si>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</si>
  <si>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</si>
  <si>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</si>
  <si>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</si>
  <si>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</si>
  <si>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</si>
  <si>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</si>
  <si>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</si>
  <si>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</si>
  <si>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</si>
  <si>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</si>
  <si>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</si>
  <si>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</si>
  <si>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</si>
  <si>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</si>
  <si>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</si>
  <si>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</si>
  <si>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</si>
  <si>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</si>
  <si>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</si>
  <si>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</si>
  <si>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</si>
  <si>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</si>
  <si>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</si>
  <si>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</si>
  <si>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</si>
  <si>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</si>
  <si>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</si>
  <si>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</si>
  <si>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</si>
  <si>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</si>
  <si>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</si>
  <si>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</si>
  <si>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</si>
  <si>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</si>
  <si>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</si>
  <si>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</si>
  <si>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</si>
  <si>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</si>
  <si>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</si>
  <si>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</si>
  <si>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</si>
  <si>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</si>
  <si>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</si>
  <si>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</si>
  <si>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</si>
  <si>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</si>
  <si>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</si>
  <si>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</si>
  <si>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</si>
  <si>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</si>
  <si>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</si>
  <si>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</si>
  <si>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</si>
  <si>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</si>
  <si>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</si>
  <si>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</si>
  <si>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</si>
  <si>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</si>
  <si>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</si>
  <si>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</si>
  <si>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</si>
  <si>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</si>
  <si>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</si>
  <si>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</si>
  <si>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</si>
  <si>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</si>
  <si>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</si>
  <si>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</si>
  <si>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</si>
  <si>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</si>
  <si>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</si>
  <si>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</si>
  <si>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</si>
  <si>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</si>
  <si>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</si>
  <si>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</si>
  <si>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</si>
  <si>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</si>
  <si>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</si>
  <si>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</si>
  <si>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</si>
  <si>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</si>
  <si>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</si>
  <si>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</si>
  <si>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</si>
  <si>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</si>
  <si>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</si>
  <si>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</si>
  <si>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</si>
  <si>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</si>
  <si>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</si>
  <si>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</si>
  <si>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</si>
  <si>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</si>
  <si>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</si>
  <si>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</si>
  <si>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</si>
  <si>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</si>
  <si>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</si>
  <si>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</si>
  <si>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</si>
  <si>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</si>
  <si>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</si>
  <si>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</si>
  <si>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</si>
  <si>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</si>
  <si>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</si>
  <si>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</si>
  <si>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</si>
  <si>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</si>
  <si>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</si>
  <si>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</si>
  <si>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</si>
  <si>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</si>
  <si>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</si>
  <si>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</si>
  <si>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</si>
  <si>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</si>
  <si>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</si>
  <si>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</si>
  <si>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</si>
  <si>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</si>
  <si>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</si>
  <si>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</si>
  <si>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</si>
  <si>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</si>
  <si>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</si>
  <si>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</si>
  <si>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</si>
  <si>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</si>
  <si>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</si>
  <si>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</si>
  <si>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</si>
  <si>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</si>
  <si>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</si>
  <si>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</si>
  <si>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</si>
  <si>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</si>
  <si>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</si>
  <si>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</si>
  <si>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</si>
  <si>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</si>
  <si>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</si>
  <si>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</si>
  <si>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</si>
  <si>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</si>
  <si>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</si>
  <si>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</si>
  <si>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</si>
  <si>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</si>
  <si>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</si>
  <si>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</si>
  <si>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</si>
  <si>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</si>
  <si>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</si>
  <si>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</si>
  <si>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</si>
  <si>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</si>
  <si>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</si>
  <si>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</si>
  <si>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</si>
  <si>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</si>
  <si>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</si>
  <si>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</si>
  <si>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</si>
  <si>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</si>
  <si>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</si>
  <si>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</si>
  <si>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</si>
  <si>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</si>
  <si>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</si>
  <si>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</si>
  <si>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</si>
  <si>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</si>
  <si>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</si>
  <si>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</si>
  <si>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</si>
  <si>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</si>
  <si>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</si>
  <si>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</si>
  <si>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</si>
  <si>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</si>
  <si>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</si>
  <si>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</si>
  <si>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</si>
  <si>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</si>
  <si>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</si>
  <si>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</si>
  <si>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</si>
  <si>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</si>
  <si>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</si>
  <si>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</si>
  <si>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</si>
  <si>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</si>
  <si>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</si>
  <si>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</si>
  <si>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</si>
  <si>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</si>
  <si>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</si>
  <si>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</si>
  <si>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</si>
  <si>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</si>
  <si>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</si>
  <si>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</si>
  <si>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</si>
  <si>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</si>
  <si>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</si>
  <si>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</si>
  <si>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</si>
  <si>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</si>
  <si>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</si>
  <si>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</si>
  <si>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</si>
  <si>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</si>
  <si>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</si>
  <si>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</si>
  <si>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</si>
  <si>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</si>
  <si>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</si>
  <si>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</si>
  <si>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</si>
  <si>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</si>
  <si>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</si>
  <si>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</si>
  <si>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</si>
  <si>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</si>
  <si>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</si>
  <si>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</si>
  <si>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</si>
  <si>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</si>
  <si>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</si>
  <si>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</si>
  <si>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</si>
  <si>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</si>
  <si>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</si>
  <si>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</si>
  <si>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</si>
  <si>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</si>
  <si>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</si>
  <si>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</si>
  <si>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</si>
  <si>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</si>
  <si>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</si>
  <si>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</si>
  <si>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</si>
  <si>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</si>
  <si>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</si>
  <si>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</si>
  <si>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</si>
  <si>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</si>
  <si>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</si>
  <si>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</si>
  <si>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</si>
  <si>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</si>
  <si>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</si>
  <si>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</si>
  <si>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</si>
  <si>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</si>
  <si>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</si>
  <si>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</si>
  <si>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</si>
  <si>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</si>
  <si>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</si>
  <si>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</si>
  <si>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</si>
  <si>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</si>
  <si>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</si>
  <si>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</si>
  <si>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</si>
  <si>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</si>
  <si>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</si>
  <si>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</si>
  <si>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</si>
  <si>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</si>
  <si>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</si>
  <si>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</si>
  <si>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</si>
  <si>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</si>
  <si>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</si>
  <si>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</si>
  <si>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</si>
  <si>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</si>
  <si>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</si>
  <si>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</si>
  <si>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</si>
  <si>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</si>
  <si>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</si>
  <si>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</si>
  <si>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</si>
  <si>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</si>
  <si>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</si>
  <si>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</si>
  <si>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</si>
  <si>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</si>
  <si>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</si>
  <si>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</si>
  <si>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</si>
  <si>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</si>
  <si>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</si>
  <si>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</si>
  <si>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</si>
  <si>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</si>
  <si>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</si>
  <si>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</si>
  <si>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</si>
  <si>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</si>
  <si>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</si>
  <si>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</si>
  <si>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</si>
  <si>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</si>
  <si>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</si>
  <si>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</si>
  <si>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</si>
  <si>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</si>
  <si>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</si>
  <si>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</si>
  <si>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</si>
  <si>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</si>
  <si>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</si>
  <si>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</si>
  <si>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</si>
  <si>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</si>
  <si>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</si>
  <si>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</si>
  <si>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</si>
  <si>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</si>
  <si>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</si>
  <si>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</si>
  <si>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</si>
  <si>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</si>
  <si>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</si>
  <si>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</si>
  <si>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</si>
  <si>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</si>
  <si>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</si>
  <si>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</si>
  <si>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</si>
  <si>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</si>
  <si>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</si>
  <si>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</si>
  <si>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</si>
  <si>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</si>
  <si>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</si>
  <si>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</si>
  <si>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</si>
  <si>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</si>
  <si>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</si>
  <si>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</si>
  <si>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</si>
  <si>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</si>
  <si>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</si>
  <si>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</si>
  <si>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</si>
  <si>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</si>
  <si>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</si>
  <si>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</si>
  <si>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</si>
  <si>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</si>
  <si>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</si>
  <si>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</si>
  <si>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</si>
  <si>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</si>
  <si>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</si>
  <si>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</si>
  <si>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</si>
  <si>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</si>
  <si>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</si>
  <si>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</si>
  <si>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</si>
  <si>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</si>
  <si>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</si>
  <si>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</si>
  <si>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</si>
  <si>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</si>
  <si>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</si>
  <si>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</si>
  <si>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</si>
  <si>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</si>
  <si>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</si>
  <si>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</si>
  <si>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</si>
  <si>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</si>
  <si>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</si>
  <si>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</si>
  <si>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</si>
  <si>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</si>
  <si>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</si>
  <si>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</si>
  <si>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</si>
  <si>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</si>
  <si>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</si>
  <si>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</si>
  <si>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</si>
  <si>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</si>
  <si>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</si>
  <si>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</si>
  <si>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</si>
  <si>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</si>
  <si>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</si>
  <si>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</si>
  <si>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</si>
  <si>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</si>
  <si>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</si>
  <si>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</si>
  <si>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</si>
  <si>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</si>
  <si>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</si>
  <si>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</si>
  <si>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</si>
  <si>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</si>
  <si>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</si>
  <si>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</si>
  <si>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</si>
  <si>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</si>
  <si>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</si>
  <si>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</si>
  <si>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</si>
  <si>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</si>
  <si>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</si>
  <si>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</si>
  <si>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</si>
  <si>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</si>
  <si>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</si>
  <si>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</si>
  <si>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</si>
  <si>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</si>
  <si>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</si>
  <si>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</si>
  <si>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</si>
  <si>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</si>
  <si>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</si>
  <si>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</si>
  <si>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</si>
  <si>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</si>
  <si>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</si>
  <si>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</si>
  <si>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</si>
  <si>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</si>
  <si>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</si>
  <si>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</si>
  <si>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</si>
  <si>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</si>
  <si>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</si>
  <si>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</si>
  <si>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</si>
  <si>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</si>
  <si>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</si>
  <si>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</si>
  <si>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</si>
  <si>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</si>
  <si>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</si>
  <si>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</si>
  <si>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</si>
  <si>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</si>
  <si>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</si>
  <si>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</si>
  <si>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</si>
  <si>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</si>
  <si>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</si>
  <si>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</si>
  <si>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</si>
  <si>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</si>
  <si>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</si>
  <si>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</si>
  <si>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</si>
  <si>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</si>
  <si>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</si>
  <si>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</si>
  <si>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</si>
  <si>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</si>
  <si>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</si>
  <si>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</si>
  <si>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</si>
  <si>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</si>
  <si>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</si>
  <si>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</si>
  <si>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</si>
  <si>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</si>
  <si>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</si>
  <si>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</si>
  <si>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</si>
  <si>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</si>
  <si>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</si>
  <si>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</si>
  <si>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</si>
  <si>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</si>
  <si>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</si>
  <si>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</si>
  <si>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</si>
  <si>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</si>
  <si>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</si>
  <si>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</si>
  <si>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</si>
  <si>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</si>
  <si>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</si>
  <si>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</si>
  <si>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</si>
  <si>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</si>
  <si>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</si>
  <si>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</si>
  <si>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</si>
  <si>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</si>
  <si>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</si>
  <si>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</si>
  <si>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</si>
  <si>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</si>
  <si>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</si>
  <si>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</si>
  <si>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</si>
  <si>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</si>
  <si>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</si>
  <si>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</si>
  <si>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</si>
  <si>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</si>
  <si>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</si>
  <si>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</si>
  <si>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</si>
  <si>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</si>
  <si>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</si>
  <si>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</si>
  <si>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</si>
  <si>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</si>
  <si>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</si>
  <si>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</si>
  <si>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</si>
  <si>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</si>
  <si>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</si>
  <si>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</si>
  <si>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</si>
  <si>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</si>
  <si>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</si>
  <si>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</si>
  <si>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</si>
  <si>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</si>
  <si>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</si>
  <si>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</si>
  <si>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</si>
  <si>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</si>
  <si>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</si>
  <si>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</si>
  <si>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</si>
  <si>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</si>
  <si>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</si>
  <si>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</si>
  <si>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</si>
  <si>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</si>
  <si>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</si>
  <si>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</si>
  <si>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</si>
  <si>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</si>
  <si>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</si>
  <si>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</si>
  <si>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</si>
  <si>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</si>
  <si>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</si>
  <si>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</si>
  <si>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</si>
  <si>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</si>
  <si>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</si>
  <si>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</si>
  <si>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</si>
  <si>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</si>
  <si>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</si>
  <si>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</si>
  <si>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</si>
  <si>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</si>
  <si>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</si>
  <si>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</si>
  <si>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</si>
  <si>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</si>
  <si>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</si>
  <si>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</si>
  <si>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</si>
  <si>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</si>
  <si>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</si>
  <si>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</si>
  <si>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</si>
  <si>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</si>
  <si>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</si>
  <si>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</si>
  <si>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</si>
  <si>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</si>
  <si>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</si>
  <si>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</si>
  <si>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</si>
  <si>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</si>
  <si>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</si>
  <si>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</si>
  <si>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</si>
  <si>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</si>
  <si>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</si>
  <si>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</si>
  <si>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</si>
  <si>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</si>
  <si>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</si>
  <si>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</si>
  <si>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</si>
  <si>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</si>
  <si>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</si>
  <si>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</si>
  <si>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</si>
  <si>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</si>
  <si>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</si>
  <si>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</si>
  <si>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</si>
  <si>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</si>
  <si>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</si>
  <si>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</si>
  <si>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</si>
  <si>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</si>
  <si>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</si>
  <si>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</si>
  <si>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</si>
  <si>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</si>
  <si>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</si>
  <si>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</si>
  <si>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</si>
  <si>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</si>
  <si>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</si>
  <si>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</si>
  <si>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</si>
  <si>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</si>
  <si>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</si>
  <si>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</si>
  <si>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</si>
  <si>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</si>
  <si>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</si>
  <si>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</si>
  <si>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</si>
  <si>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</si>
  <si>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</si>
  <si>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</si>
  <si>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</si>
  <si>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</si>
  <si>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</si>
  <si>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</si>
  <si>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</si>
  <si>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</si>
  <si>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</si>
  <si>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</si>
  <si>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</si>
  <si>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</si>
  <si>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</si>
  <si>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</si>
  <si>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</si>
  <si>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</si>
  <si>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</si>
  <si>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</si>
  <si>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</si>
  <si>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</si>
  <si>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</si>
  <si>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</si>
  <si>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</si>
  <si>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</si>
  <si>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</si>
  <si>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</si>
  <si>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</si>
  <si>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</si>
  <si>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</si>
  <si>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</si>
  <si>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</si>
  <si>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</si>
  <si>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</si>
  <si>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</si>
  <si>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</si>
  <si>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</si>
  <si>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</si>
  <si>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</si>
  <si>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</si>
  <si>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</si>
  <si>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</si>
  <si>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</si>
  <si>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</si>
  <si>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</si>
  <si>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</si>
  <si>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</si>
  <si>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</si>
  <si>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</si>
  <si>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</si>
  <si>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</si>
  <si>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</si>
  <si>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</si>
  <si>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</si>
  <si>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</si>
  <si>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</si>
  <si>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</si>
  <si>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</si>
  <si>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</si>
  <si>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</si>
  <si>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</si>
  <si>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</si>
  <si>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</si>
  <si>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</si>
  <si>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</si>
  <si>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</si>
  <si>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</si>
  <si>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</si>
  <si>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</si>
  <si>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</si>
  <si>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</si>
  <si>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</si>
  <si>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</si>
  <si>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</si>
  <si>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</si>
  <si>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</si>
  <si>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</si>
  <si>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</si>
  <si>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</si>
  <si>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</si>
  <si>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</si>
  <si>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</si>
  <si>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</si>
  <si>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</si>
  <si>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</si>
  <si>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</si>
  <si>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</si>
  <si>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</si>
  <si>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</si>
  <si>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</si>
  <si>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</si>
  <si>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</si>
  <si>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</si>
  <si>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</si>
  <si>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</si>
  <si>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</si>
  <si>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</si>
  <si>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</si>
  <si>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</si>
  <si>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</si>
  <si>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</si>
  <si>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</si>
  <si>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</si>
  <si>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</si>
  <si>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</si>
  <si>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</si>
  <si>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</si>
  <si>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</si>
  <si>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</si>
  <si>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</si>
  <si>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</si>
  <si>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</si>
  <si>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</si>
  <si>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</si>
  <si>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</si>
  <si>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</si>
  <si>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</si>
  <si>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</si>
  <si>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</si>
  <si>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</si>
  <si>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</si>
  <si>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</si>
  <si>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</si>
  <si>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</si>
  <si>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</si>
  <si>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</si>
  <si>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</si>
  <si>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</si>
  <si>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</si>
  <si>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</si>
  <si>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</si>
  <si>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</si>
  <si>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</si>
  <si>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</si>
  <si>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</si>
  <si>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</si>
  <si>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</si>
  <si>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</si>
  <si>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</si>
  <si>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</si>
  <si>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r>
      <rPr>
        <sz val="10"/>
        <color theme="9" tint="-0.249977111117893"/>
        <rFont val="宋体"/>
        <family val="3"/>
        <charset val="134"/>
      </rPr>
      <t>房山区怡和南路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</si>
  <si>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</si>
  <si>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否</t>
  </si>
  <si>
    <t>复印件</t>
  </si>
  <si>
    <t>现房</t>
  </si>
  <si>
    <t>是</t>
  </si>
  <si>
    <t>地上</t>
  </si>
  <si>
    <t>底商</t>
  </si>
  <si>
    <t>底商</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</si>
  <si>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</si>
  <si>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</si>
  <si>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</si>
  <si>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</si>
  <si>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</si>
  <si>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</si>
  <si>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</si>
  <si>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</si>
  <si>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一般</t>
  </si>
  <si>
    <t>一般</t>
    <phoneticPr fontId="24" type="noConversion"/>
  </si>
  <si>
    <t>较好</t>
    <phoneticPr fontId="40" type="noConversion"/>
  </si>
  <si>
    <t>七通</t>
  </si>
  <si>
    <t>七通</t>
    <phoneticPr fontId="24" type="noConversion"/>
  </si>
  <si>
    <t>一般</t>
    <phoneticPr fontId="40" type="noConversion"/>
  </si>
  <si>
    <t>单套模式</t>
  </si>
  <si>
    <t>售价</t>
  </si>
  <si>
    <t>押一</t>
  </si>
  <si>
    <t>钢混</t>
  </si>
  <si>
    <t>非生产用房</t>
  </si>
  <si>
    <t>案例</t>
    <phoneticPr fontId="134" type="noConversion"/>
  </si>
  <si>
    <t>长阳半岛</t>
    <phoneticPr fontId="134" type="noConversion"/>
  </si>
  <si>
    <t>五和万科长阳天地</t>
    <phoneticPr fontId="134" type="noConversion"/>
  </si>
  <si>
    <t>金隅糖</t>
    <phoneticPr fontId="134" type="noConversion"/>
  </si>
  <si>
    <t>总价</t>
    <phoneticPr fontId="134" type="noConversion"/>
  </si>
  <si>
    <t>面积</t>
    <phoneticPr fontId="134" type="noConversion"/>
  </si>
  <si>
    <t>单价</t>
    <phoneticPr fontId="134" type="noConversion"/>
  </si>
  <si>
    <t>30-40</t>
    <phoneticPr fontId="30" type="noConversion"/>
  </si>
  <si>
    <t>20-30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</si>
  <si>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</si>
  <si>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</si>
  <si>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</si>
  <si>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</si>
  <si>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</si>
  <si>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</si>
  <si>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</si>
  <si>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</si>
  <si>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</si>
  <si>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</si>
  <si>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</si>
  <si>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</si>
  <si>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</si>
  <si>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</si>
  <si>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</si>
  <si>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</si>
  <si>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</si>
  <si>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</si>
  <si>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</si>
  <si>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</si>
  <si>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</si>
  <si>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</si>
  <si>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</si>
  <si>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</si>
  <si>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</si>
  <si>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</si>
  <si>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</si>
  <si>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适宜</t>
    <phoneticPr fontId="30" type="noConversion"/>
  </si>
  <si>
    <t>较适宜</t>
  </si>
  <si>
    <t>较适宜</t>
    <phoneticPr fontId="30" type="noConversion"/>
  </si>
  <si>
    <t>报价</t>
  </si>
  <si>
    <t>报价</t>
    <phoneticPr fontId="30" type="noConversion"/>
  </si>
  <si>
    <t>正常</t>
  </si>
  <si>
    <t>商业</t>
    <phoneticPr fontId="30" type="noConversion"/>
  </si>
  <si>
    <t>1层</t>
  </si>
  <si>
    <t>六通</t>
  </si>
  <si>
    <t>配套楼</t>
  </si>
  <si>
    <t>配套楼</t>
    <phoneticPr fontId="30" type="noConversion"/>
  </si>
  <si>
    <t>底商</t>
    <phoneticPr fontId="30" type="noConversion"/>
  </si>
  <si>
    <t>比较法-商业</t>
  </si>
  <si>
    <t>楼面单价</t>
  </si>
  <si>
    <t>装修</t>
    <phoneticPr fontId="3" type="noConversion"/>
  </si>
  <si>
    <t>普通装修</t>
    <phoneticPr fontId="24" type="noConversion"/>
  </si>
  <si>
    <t>仁达</t>
    <phoneticPr fontId="24" type="noConversion"/>
  </si>
  <si>
    <t>单价</t>
    <phoneticPr fontId="24" type="noConversion"/>
  </si>
  <si>
    <t>总价</t>
    <phoneticPr fontId="24" type="noConversion"/>
  </si>
  <si>
    <t>差异</t>
    <phoneticPr fontId="24" type="noConversion"/>
  </si>
  <si>
    <t>《不动产权证书》</t>
    <phoneticPr fontId="6" type="noConversion"/>
  </si>
  <si>
    <t>北京云尚腾起科技有限公司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</si>
</sst>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Protection="1">
      <alignment vertical="center"/>
      <protection locked="0"/>
    </xf>
    <xf numFmtId="0" fontId="77" fillId="5" borderId="23"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142876</xdr:colOff>
      <xdr:row>13</xdr:row>
      <xdr:rowOff>114300</xdr:rowOff>
    </xdr:from>
    <xdr:to>
      <xdr:col>12</xdr:col>
      <xdr:colOff>279873</xdr:colOff>
      <xdr:row>36</xdr:row>
      <xdr:rowOff>170619</xdr:rowOff>
    </xdr:to>
    <xdr:pic>
      <xdr:nvPicPr>
        <xdr:cNvPr id="2" name="图片 1"/>
        <xdr:cNvPicPr>
          <a:picLocks noChangeAspect="1"/>
        </xdr:cNvPicPr>
      </xdr:nvPicPr>
      <xdr:blipFill>
        <a:blip xmlns:r="http://schemas.openxmlformats.org/officeDocument/2006/relationships" r:embed="rId1"/>
        <a:stretch>
          <a:fillRect/>
        </a:stretch>
      </xdr:blipFill>
      <xdr:spPr>
        <a:xfrm>
          <a:off x="4257676" y="2343150"/>
          <a:ext cx="4251797" cy="3999669"/>
        </a:xfrm>
        <a:prstGeom prst="rect">
          <a:avLst/>
        </a:prstGeom>
      </xdr:spPr>
    </xdr:pic>
    <xdr:clientData/>
  </xdr:twoCellAnchor>
  <xdr:twoCellAnchor editAs="oneCell">
    <xdr:from>
      <xdr:col>0</xdr:col>
      <xdr:colOff>0</xdr:colOff>
      <xdr:row>13</xdr:row>
      <xdr:rowOff>83741</xdr:rowOff>
    </xdr:from>
    <xdr:to>
      <xdr:col>6</xdr:col>
      <xdr:colOff>313468</xdr:colOff>
      <xdr:row>38</xdr:row>
      <xdr:rowOff>65849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12591"/>
          <a:ext cx="4428268" cy="4268358"/>
        </a:xfrm>
        <a:prstGeom prst="rect">
          <a:avLst/>
        </a:prstGeom>
      </xdr:spPr>
    </xdr:pic>
    <xdr:clientData/>
  </xdr:twoCellAnchor>
  <xdr:twoCellAnchor editAs="oneCell">
    <xdr:from>
      <xdr:col>12</xdr:col>
      <xdr:colOff>523211</xdr:colOff>
      <xdr:row>14</xdr:row>
      <xdr:rowOff>123825</xdr:rowOff>
    </xdr:from>
    <xdr:to>
      <xdr:col>19</xdr:col>
      <xdr:colOff>637325</xdr:colOff>
      <xdr:row>42</xdr:row>
      <xdr:rowOff>65855</xdr:rowOff>
    </xdr:to>
    <xdr:pic>
      <xdr:nvPicPr>
        <xdr:cNvPr id="4" name="图片 3"/>
        <xdr:cNvPicPr>
          <a:picLocks noChangeAspect="1"/>
        </xdr:cNvPicPr>
      </xdr:nvPicPr>
      <xdr:blipFill>
        <a:blip xmlns:r="http://schemas.openxmlformats.org/officeDocument/2006/relationships" r:embed="rId3"/>
        <a:stretch>
          <a:fillRect/>
        </a:stretch>
      </xdr:blipFill>
      <xdr:spPr>
        <a:xfrm>
          <a:off x="8752811" y="2524125"/>
          <a:ext cx="4914714" cy="4742630"/>
        </a:xfrm>
        <a:prstGeom prst="rect">
          <a:avLst/>
        </a:prstGeom>
      </xdr:spPr>
    </xdr:pic>
    <xdr:clientData/>
  </xdr:twoCellAnchor>
  <xdr:twoCellAnchor editAs="oneCell">
    <xdr:from>
      <xdr:col>0</xdr:col>
      <xdr:colOff>0</xdr:colOff>
      <xdr:row>39</xdr:row>
      <xdr:rowOff>0</xdr:rowOff>
    </xdr:from>
    <xdr:to>
      <xdr:col>9</xdr:col>
      <xdr:colOff>361134</xdr:colOff>
      <xdr:row>53</xdr:row>
      <xdr:rowOff>113986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6533334" cy="2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北京市房山区怡和南路8号院8号楼1层101房地产抵押价值预评估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受贵公司委托，我公司对北京市房山区怡和南路8号院8号楼1层101房地产抵押价值进行了预评估。</v>
      </c>
    </row>
    <row r="7" spans="1:2" s="1202" customFormat="1">
      <c r="A7" s="1200" t="s">
        <v>566</v>
      </c>
      <c r="B7" s="1201"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山区怡和南路8号院8号楼1层101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2023年5月11日（评估专业人员实地查勘之日）</v>
      </c>
    </row>
    <row r="13" spans="1:2" s="1202" customFormat="1">
      <c r="A13" s="1200" t="s">
        <v>529</v>
      </c>
      <c r="B13" s="1201" t="str">
        <f>'预评函-1'!A18</f>
        <v>本次估价的“房地产价值”是指在正常市场情况下，在价值时点2023年5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1359</v>
      </c>
    </row>
    <row r="21" spans="1:2" s="1202" customFormat="1">
      <c r="A21" s="1200" t="s">
        <v>537</v>
      </c>
      <c r="B21" s="1201">
        <f ca="1">'预评函-2'!D7</f>
        <v>33782</v>
      </c>
    </row>
    <row r="22" spans="1:2" s="1202" customFormat="1">
      <c r="A22" s="1200" t="s">
        <v>538</v>
      </c>
      <c r="B22" s="1201" t="str">
        <f ca="1">'预评函-2'!D6</f>
        <v>壹仟叁佰伍拾玖万元整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1359</v>
      </c>
    </row>
    <row r="31" spans="1:2" s="1202" customFormat="1">
      <c r="A31" s="1200" t="s">
        <v>576</v>
      </c>
      <c r="B31" s="1201">
        <f ca="1">'预评函-2'!D15</f>
        <v>33782</v>
      </c>
    </row>
    <row r="32" spans="1:2" s="1202" customFormat="1">
      <c r="A32" s="1200" t="s">
        <v>543</v>
      </c>
      <c r="B32" s="1201" t="str">
        <f ca="1">'预评函-2'!D14</f>
        <v>壹仟叁佰伍拾玖万元整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北京市房山区怡和南路8号院8号楼1层101房地产</v>
      </c>
    </row>
    <row r="42" spans="1:2" s="1202" customFormat="1">
      <c r="A42" s="1200" t="s">
        <v>590</v>
      </c>
      <c r="B42" s="1201" t="str">
        <f>'预评函-3'!B2</f>
        <v>建筑面积</v>
      </c>
    </row>
    <row r="43" spans="1:2" s="1202" customFormat="1">
      <c r="A43" s="1200" t="s">
        <v>591</v>
      </c>
      <c r="B43" s="1201">
        <f>'预评函-3'!B4</f>
        <v>402.39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H20" sqref="H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2570</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2571</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怡和南路8号院8号楼1层101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1553" t="s">
        <v>385</v>
      </c>
      <c r="C54" s="1550" t="s">
        <v>583</v>
      </c>
    </row>
    <row r="55" spans="1:4">
      <c r="A55" s="3485"/>
      <c r="B55" s="1553" t="s">
        <v>386</v>
      </c>
      <c r="C55" s="1550" t="s">
        <v>584</v>
      </c>
    </row>
    <row r="56" spans="1:4">
      <c r="A56" s="3485"/>
      <c r="B56" s="1553" t="s">
        <v>387</v>
      </c>
      <c r="C56" s="1550" t="s">
        <v>588</v>
      </c>
    </row>
    <row r="57" spans="1:4">
      <c r="A57" s="348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zoomScale="90" zoomScaleNormal="90" workbookViewId="0">
      <selection activeCell="H20" sqref="H20"/>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2493</v>
      </c>
      <c r="B1" s="3009"/>
      <c r="C1" s="3009"/>
      <c r="D1" s="3009"/>
      <c r="E1" s="3009"/>
      <c r="F1" s="3010"/>
      <c r="I1" s="3432" t="s">
        <v>2586</v>
      </c>
      <c r="J1" s="3221"/>
      <c r="K1" s="3221"/>
      <c r="L1" s="3221"/>
      <c r="M1" s="3221"/>
      <c r="N1" s="3433"/>
      <c r="O1" s="3433"/>
      <c r="P1" s="3433"/>
      <c r="Q1" s="3433"/>
      <c r="R1" s="3433"/>
    </row>
    <row r="2" spans="1:18">
      <c r="A2" s="3012"/>
      <c r="B2" s="3013"/>
      <c r="C2" s="3013"/>
      <c r="D2" s="3013"/>
      <c r="E2" s="3013"/>
      <c r="F2" s="3014"/>
      <c r="I2" s="3486" t="s">
        <v>2573</v>
      </c>
      <c r="J2" s="3486"/>
      <c r="K2" s="3486"/>
      <c r="L2" s="3486"/>
      <c r="M2" s="3486"/>
      <c r="N2" s="3486"/>
      <c r="O2" s="3486"/>
      <c r="P2" s="3486"/>
      <c r="Q2" s="3486"/>
      <c r="R2" s="3486"/>
    </row>
    <row r="3" spans="1:18">
      <c r="A3" s="3015" t="s">
        <v>2494</v>
      </c>
      <c r="B3" s="3016">
        <f>项目基本情况!D3</f>
        <v>45057</v>
      </c>
      <c r="C3" s="3018"/>
      <c r="D3" s="3018"/>
      <c r="E3" s="3018"/>
      <c r="F3" s="3014"/>
      <c r="I3" s="3434"/>
      <c r="J3" s="3434" t="s">
        <v>2577</v>
      </c>
      <c r="K3" s="3434" t="s">
        <v>2578</v>
      </c>
      <c r="L3" s="3434" t="s">
        <v>2579</v>
      </c>
      <c r="M3" s="3434" t="s">
        <v>2580</v>
      </c>
      <c r="N3" s="3435" t="s">
        <v>2581</v>
      </c>
      <c r="O3" s="3435" t="s">
        <v>2582</v>
      </c>
      <c r="P3" s="3435" t="s">
        <v>2583</v>
      </c>
      <c r="Q3" s="3435" t="s">
        <v>2584</v>
      </c>
      <c r="R3" s="3435" t="s">
        <v>2585</v>
      </c>
    </row>
    <row r="4" spans="1:18">
      <c r="A4" s="3015" t="s">
        <v>2495</v>
      </c>
      <c r="B4" s="3018" t="s">
        <v>2496</v>
      </c>
      <c r="C4" s="3018" t="s">
        <v>2497</v>
      </c>
      <c r="D4" s="3018" t="s">
        <v>2498</v>
      </c>
      <c r="E4" s="3018" t="s">
        <v>2499</v>
      </c>
      <c r="F4" s="3014"/>
      <c r="I4" s="3434" t="s">
        <v>2574</v>
      </c>
      <c r="J4" s="3434">
        <v>80</v>
      </c>
      <c r="K4" s="3434">
        <v>70</v>
      </c>
      <c r="L4" s="3434">
        <v>20</v>
      </c>
      <c r="M4" s="3434">
        <v>30</v>
      </c>
      <c r="N4" s="3018">
        <v>45</v>
      </c>
      <c r="O4" s="3018">
        <v>60</v>
      </c>
      <c r="P4" s="3018">
        <v>50</v>
      </c>
      <c r="Q4" s="3018">
        <v>20</v>
      </c>
      <c r="R4" s="3018">
        <v>375</v>
      </c>
    </row>
    <row r="5" spans="1:18">
      <c r="A5" s="3019">
        <v>40</v>
      </c>
      <c r="B5" s="3016">
        <v>46375</v>
      </c>
      <c r="C5" s="3018">
        <f>ROUNDDOWN(MIN((B5-B3)/365,A5),2)</f>
        <v>3.61</v>
      </c>
      <c r="D5" s="3020">
        <f>IF(ISERROR(ROUND(POWER(1+E5,A5-C5)*(POWER(1+E5,C5)-1)/(POWER(1+E5,A5)-1),3)),0,ROUND(POWER(1+E5,A5-C5)*(POWER(1+E5,C5)-1)/(POWER(1+E5,A5)-1),4))</f>
        <v>0.1668</v>
      </c>
      <c r="E5" s="3021">
        <v>0.04</v>
      </c>
      <c r="F5" s="3014"/>
      <c r="I5" s="3434" t="s">
        <v>2575</v>
      </c>
      <c r="J5" s="3434">
        <v>70</v>
      </c>
      <c r="K5" s="3434">
        <v>60</v>
      </c>
      <c r="L5" s="3434">
        <v>15</v>
      </c>
      <c r="M5" s="3434">
        <v>25</v>
      </c>
      <c r="N5" s="3018">
        <v>40</v>
      </c>
      <c r="O5" s="3018">
        <v>50</v>
      </c>
      <c r="P5" s="3018">
        <v>40</v>
      </c>
      <c r="Q5" s="3018">
        <v>15</v>
      </c>
      <c r="R5" s="3018">
        <v>315</v>
      </c>
    </row>
    <row r="6" spans="1:18">
      <c r="A6" s="3019">
        <v>50</v>
      </c>
      <c r="B6" s="3016">
        <v>50028</v>
      </c>
      <c r="C6" s="3018">
        <f>ROUNDDOWN(MIN((B6-B3)/365,A6),2)</f>
        <v>13.61</v>
      </c>
      <c r="D6" s="3020">
        <f>IF(ISERROR(ROUND(POWER(1+E6,A6-C6)*(POWER(1+E6,C6)-1)/(POWER(1+E6,A6)-1),3)),0,ROUND(POWER(1+E6,A6-C6)*(POWER(1+E6,C6)-1)/(POWER(1+E6,A6)-1),4))</f>
        <v>0.48139999999999999</v>
      </c>
      <c r="E6" s="3021">
        <v>0.04</v>
      </c>
      <c r="F6" s="3014"/>
      <c r="I6" s="3434" t="s">
        <v>2576</v>
      </c>
      <c r="J6" s="3434">
        <v>60</v>
      </c>
      <c r="K6" s="3434">
        <v>50</v>
      </c>
      <c r="L6" s="3434">
        <v>10</v>
      </c>
      <c r="M6" s="3434">
        <v>20</v>
      </c>
      <c r="N6" s="3018">
        <v>35</v>
      </c>
      <c r="O6" s="3018">
        <v>40</v>
      </c>
      <c r="P6" s="3018">
        <v>30</v>
      </c>
      <c r="Q6" s="3018">
        <v>10</v>
      </c>
      <c r="R6" s="3018">
        <v>255</v>
      </c>
    </row>
    <row r="7" spans="1:18">
      <c r="A7" s="3019">
        <v>70</v>
      </c>
      <c r="B7" s="3016">
        <v>57333</v>
      </c>
      <c r="C7" s="3018">
        <f>ROUNDDOWN(MIN((B7-B3)/365,A7),2)</f>
        <v>33.630000000000003</v>
      </c>
      <c r="D7" s="3020">
        <f>IF(ISERROR(ROUND(POWER(1+E7,A7-C7)*(POWER(1+E7,C7)-1)/(POWER(1+E7,A7)-1),3)),0,ROUND(POWER(1+E7,A7-C7)*(POWER(1+E7,C7)-1)/(POWER(1+E7,A7)-1),4))</f>
        <v>0.78290000000000004</v>
      </c>
      <c r="E7" s="3021">
        <v>0.04</v>
      </c>
      <c r="F7" s="3014"/>
    </row>
    <row r="8" spans="1:18">
      <c r="A8" s="3012"/>
      <c r="B8" s="3013"/>
      <c r="C8" s="3013"/>
      <c r="D8" s="3013"/>
      <c r="E8" s="3013"/>
      <c r="F8" s="3014"/>
    </row>
    <row r="9" spans="1:18">
      <c r="A9" s="3015" t="s">
        <v>2500</v>
      </c>
      <c r="B9" s="3018"/>
      <c r="C9" s="3018"/>
      <c r="D9" s="3018"/>
      <c r="E9" s="3018"/>
      <c r="F9" s="3022"/>
    </row>
    <row r="10" spans="1:18">
      <c r="A10" s="3015" t="s">
        <v>2501</v>
      </c>
      <c r="B10" s="3018"/>
      <c r="C10" s="3018"/>
      <c r="D10" s="3018" t="s">
        <v>2499</v>
      </c>
      <c r="E10" s="3018"/>
      <c r="F10" s="3022" t="s">
        <v>2498</v>
      </c>
    </row>
    <row r="11" spans="1:18">
      <c r="A11" s="3015" t="s">
        <v>2502</v>
      </c>
      <c r="B11" s="3023">
        <v>70</v>
      </c>
      <c r="C11" s="3018" t="s">
        <v>2503</v>
      </c>
      <c r="D11" s="3024">
        <v>4.4999999999999998E-2</v>
      </c>
      <c r="E11" s="3018" t="s">
        <v>2504</v>
      </c>
      <c r="F11" s="3025">
        <f>ROUND(1-(1/(POWER(1+D11,B11))),4)</f>
        <v>0.95409999999999995</v>
      </c>
    </row>
    <row r="12" spans="1:18">
      <c r="A12" s="3015" t="s">
        <v>2505</v>
      </c>
      <c r="B12" s="3023">
        <v>40</v>
      </c>
      <c r="C12" s="3018" t="s">
        <v>2506</v>
      </c>
      <c r="D12" s="3024">
        <v>4.4999999999999998E-2</v>
      </c>
      <c r="E12" s="3018" t="s">
        <v>2507</v>
      </c>
      <c r="F12" s="3025">
        <f>ROUND(1-(1/(POWER(1+D12,B12))),4)</f>
        <v>0.82809999999999995</v>
      </c>
    </row>
    <row r="13" spans="1:18">
      <c r="A13" s="3015" t="s">
        <v>2508</v>
      </c>
      <c r="B13" s="3018"/>
      <c r="C13" s="3018"/>
      <c r="D13" s="3013"/>
      <c r="E13" s="3013"/>
      <c r="F13" s="3014"/>
    </row>
    <row r="14" spans="1:18">
      <c r="A14" s="3015" t="s">
        <v>2509</v>
      </c>
      <c r="B14" s="3023">
        <v>5000</v>
      </c>
      <c r="C14" s="3017"/>
      <c r="D14" s="3013"/>
      <c r="E14" s="3013"/>
      <c r="F14" s="3014"/>
    </row>
    <row r="15" spans="1:18">
      <c r="A15" s="3015" t="s">
        <v>2510</v>
      </c>
      <c r="B15" s="3018">
        <f>ROUND(B14*F12/F11,2)</f>
        <v>4339.6899999999996</v>
      </c>
      <c r="C15" s="3018">
        <f>ROUND(F12/F11,4)</f>
        <v>0.8679</v>
      </c>
      <c r="D15" s="3013"/>
      <c r="E15" s="3013"/>
      <c r="F15" s="3014"/>
    </row>
    <row r="16" spans="1:18">
      <c r="A16" s="3015" t="s">
        <v>2511</v>
      </c>
      <c r="B16" s="3018"/>
      <c r="C16" s="3018"/>
      <c r="D16" s="3013"/>
      <c r="E16" s="3013"/>
      <c r="F16" s="3014"/>
    </row>
    <row r="17" spans="1:13">
      <c r="A17" s="3015" t="s">
        <v>2510</v>
      </c>
      <c r="B17" s="3024">
        <v>4810</v>
      </c>
      <c r="C17" s="3017"/>
      <c r="D17" s="3013"/>
      <c r="E17" s="3013"/>
      <c r="F17" s="3014"/>
    </row>
    <row r="18" spans="1:13" ht="14.25" thickBot="1">
      <c r="A18" s="3026" t="s">
        <v>2509</v>
      </c>
      <c r="B18" s="3027">
        <f>ROUND(B17*F11/F12,2)</f>
        <v>5541.87</v>
      </c>
      <c r="C18" s="3027">
        <f>ROUND(F11/F12,4)</f>
        <v>1.1521999999999999</v>
      </c>
      <c r="D18" s="3028"/>
      <c r="E18" s="3028"/>
      <c r="F18" s="3029"/>
    </row>
    <row r="19" spans="1:13" ht="14.25" thickBot="1"/>
    <row r="20" spans="1:13" s="3064" customFormat="1" ht="14.25" thickTop="1">
      <c r="A20" s="3061" t="s">
        <v>2512</v>
      </c>
      <c r="B20" s="3062"/>
      <c r="C20" s="3062"/>
      <c r="D20" s="3062"/>
      <c r="E20" s="3062"/>
      <c r="F20" s="3062"/>
      <c r="G20" s="3063"/>
      <c r="I20" s="3065" t="s">
        <v>2557</v>
      </c>
      <c r="J20" s="3065" t="s">
        <v>2562</v>
      </c>
      <c r="K20" s="3065"/>
      <c r="L20" s="3065"/>
      <c r="M20" s="3065"/>
    </row>
    <row r="21" spans="1:13">
      <c r="A21" s="3030"/>
      <c r="B21" s="3031" t="s">
        <v>2513</v>
      </c>
      <c r="C21" s="3031" t="s">
        <v>2514</v>
      </c>
      <c r="D21" s="3031" t="s">
        <v>2515</v>
      </c>
      <c r="E21" s="3031" t="s">
        <v>2516</v>
      </c>
      <c r="F21" s="3031" t="s">
        <v>2517</v>
      </c>
      <c r="G21" s="3032" t="s">
        <v>2518</v>
      </c>
      <c r="I21" s="3053">
        <v>5</v>
      </c>
      <c r="J21" s="3053">
        <v>54.2</v>
      </c>
    </row>
    <row r="22" spans="1:13">
      <c r="A22" s="3030" t="s">
        <v>2519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2560</v>
      </c>
      <c r="M23" s="3053" t="s">
        <v>2561</v>
      </c>
    </row>
    <row r="24" spans="1:13">
      <c r="A24" s="3030" t="s">
        <v>2521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2559</v>
      </c>
      <c r="M24" s="3053">
        <v>10</v>
      </c>
    </row>
    <row r="25" spans="1:13">
      <c r="A25" s="3030" t="s">
        <v>2522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2563</v>
      </c>
      <c r="M25" s="3053">
        <v>8</v>
      </c>
    </row>
    <row r="26" spans="1:13">
      <c r="A26" s="3035"/>
      <c r="B26" s="3036"/>
      <c r="C26" s="3036"/>
      <c r="D26" s="3036"/>
      <c r="E26" s="3036"/>
      <c r="F26" s="3036"/>
      <c r="G26" s="3037"/>
      <c r="I26" s="3053">
        <v>30</v>
      </c>
      <c r="J26" s="3053">
        <v>90.5</v>
      </c>
      <c r="K26" s="3053">
        <f t="shared" si="2"/>
        <v>4.2000000000000028</v>
      </c>
      <c r="L26" s="3053" t="s">
        <v>2564</v>
      </c>
      <c r="M26" s="3053">
        <v>5</v>
      </c>
    </row>
    <row r="27" spans="1:13">
      <c r="A27" s="3035" t="s">
        <v>2523</v>
      </c>
      <c r="B27" s="3036"/>
      <c r="C27" s="3036"/>
      <c r="D27" s="3036"/>
      <c r="E27" s="3036"/>
      <c r="F27" s="3036"/>
      <c r="G27" s="3037"/>
      <c r="I27" s="3053">
        <v>35</v>
      </c>
      <c r="J27" s="3053">
        <v>93.8</v>
      </c>
      <c r="K27" s="3053">
        <f t="shared" si="2"/>
        <v>3.2999999999999972</v>
      </c>
      <c r="L27" s="3053" t="s">
        <v>2565</v>
      </c>
      <c r="M27" s="3053">
        <v>3</v>
      </c>
    </row>
    <row r="28" spans="1:13">
      <c r="A28" s="3035" t="s">
        <v>2524</v>
      </c>
      <c r="B28" s="3036"/>
      <c r="C28" s="3036"/>
      <c r="D28" s="3036"/>
      <c r="E28" s="3036"/>
      <c r="F28" s="3036"/>
      <c r="G28" s="3037"/>
      <c r="I28" s="3053">
        <v>40</v>
      </c>
      <c r="J28" s="3053">
        <v>96.4</v>
      </c>
      <c r="K28" s="3053">
        <f t="shared" si="2"/>
        <v>2.6000000000000085</v>
      </c>
      <c r="L28" s="3053" t="s">
        <v>2566</v>
      </c>
      <c r="M28" s="3053">
        <v>2</v>
      </c>
    </row>
    <row r="29" spans="1:13">
      <c r="A29" s="3035" t="s">
        <v>2525</v>
      </c>
      <c r="B29" s="3036"/>
      <c r="C29" s="3036"/>
      <c r="D29" s="3036"/>
      <c r="E29" s="3036"/>
      <c r="F29" s="3036"/>
      <c r="G29" s="3037"/>
      <c r="I29" s="3053">
        <v>45</v>
      </c>
      <c r="J29" s="3053">
        <v>98.4</v>
      </c>
      <c r="K29" s="3053">
        <f t="shared" si="2"/>
        <v>2</v>
      </c>
    </row>
    <row r="30" spans="1:13">
      <c r="A30" s="3035" t="s">
        <v>2526</v>
      </c>
      <c r="B30" s="3036"/>
      <c r="C30" s="3036"/>
      <c r="D30" s="3036"/>
      <c r="E30" s="3036"/>
      <c r="F30" s="3036"/>
      <c r="G30" s="3037"/>
      <c r="I30" s="3053">
        <v>50</v>
      </c>
      <c r="J30" s="3053">
        <v>100</v>
      </c>
      <c r="K30" s="3053">
        <f t="shared" si="2"/>
        <v>1.5999999999999943</v>
      </c>
    </row>
    <row r="31" spans="1:13">
      <c r="A31" s="3035" t="s">
        <v>2527</v>
      </c>
      <c r="B31" s="3036"/>
      <c r="C31" s="3036"/>
      <c r="D31" s="3036"/>
      <c r="E31" s="3036"/>
      <c r="F31" s="3036"/>
      <c r="G31" s="3037"/>
      <c r="I31" s="3053" t="s">
        <v>2558</v>
      </c>
    </row>
    <row r="32" spans="1:13">
      <c r="A32" s="3035" t="s">
        <v>2528</v>
      </c>
      <c r="B32" s="3036"/>
      <c r="C32" s="3036"/>
      <c r="D32" s="3036"/>
      <c r="E32" s="3036"/>
      <c r="F32" s="3036"/>
      <c r="G32" s="3037"/>
    </row>
    <row r="33" spans="1:13">
      <c r="A33" s="3035" t="s">
        <v>2529</v>
      </c>
      <c r="B33" s="3036"/>
      <c r="C33" s="3036"/>
      <c r="D33" s="3036"/>
      <c r="E33" s="3036"/>
      <c r="F33" s="3036"/>
      <c r="G33" s="3037"/>
      <c r="I33" s="3053" t="s">
        <v>2557</v>
      </c>
      <c r="J33" s="3053" t="s">
        <v>2567</v>
      </c>
    </row>
    <row r="34" spans="1:13">
      <c r="A34" s="3035" t="s">
        <v>2530</v>
      </c>
      <c r="B34" s="3036"/>
      <c r="C34" s="3036"/>
      <c r="D34" s="3036"/>
      <c r="E34" s="3036"/>
      <c r="F34" s="3036"/>
      <c r="G34" s="3037"/>
      <c r="I34" s="3053">
        <v>5</v>
      </c>
      <c r="J34" s="3053">
        <v>55.1</v>
      </c>
    </row>
    <row r="35" spans="1:13">
      <c r="A35" s="3035" t="s">
        <v>2531</v>
      </c>
      <c r="B35" s="3036"/>
      <c r="C35" s="3036"/>
      <c r="D35" s="3036"/>
      <c r="E35" s="3036"/>
      <c r="F35" s="3036"/>
      <c r="G35" s="3037"/>
      <c r="I35" s="3053">
        <v>10</v>
      </c>
      <c r="J35" s="3053">
        <v>67</v>
      </c>
      <c r="K35" s="3053">
        <f>J35-J34</f>
        <v>11.899999999999999</v>
      </c>
    </row>
    <row r="36" spans="1:13">
      <c r="A36" s="3035" t="s">
        <v>2532</v>
      </c>
      <c r="B36" s="3036"/>
      <c r="C36" s="3036"/>
      <c r="D36" s="3036"/>
      <c r="E36" s="3036"/>
      <c r="F36" s="3036"/>
      <c r="G36" s="3037"/>
      <c r="I36" s="3053">
        <v>15</v>
      </c>
      <c r="J36" s="3053">
        <v>76.3</v>
      </c>
      <c r="K36" s="3053">
        <f t="shared" ref="K36:K41" si="3">J36-J35</f>
        <v>9.2999999999999972</v>
      </c>
      <c r="L36" s="3053" t="s">
        <v>2560</v>
      </c>
      <c r="M36" s="3053" t="s">
        <v>2561</v>
      </c>
    </row>
    <row r="37" spans="1:13">
      <c r="A37" s="3035" t="s">
        <v>2533</v>
      </c>
      <c r="B37" s="3036"/>
      <c r="C37" s="3036"/>
      <c r="D37" s="3036"/>
      <c r="E37" s="3036"/>
      <c r="F37" s="3036"/>
      <c r="G37" s="3037"/>
      <c r="I37" s="3053">
        <v>20</v>
      </c>
      <c r="J37" s="3053">
        <v>83.6</v>
      </c>
      <c r="K37" s="3053">
        <f t="shared" si="3"/>
        <v>7.2999999999999972</v>
      </c>
      <c r="L37" s="3053" t="s">
        <v>2559</v>
      </c>
      <c r="M37" s="3053">
        <v>10</v>
      </c>
    </row>
    <row r="38" spans="1:13">
      <c r="A38" s="3035" t="s">
        <v>2534</v>
      </c>
      <c r="B38" s="3036"/>
      <c r="C38" s="3036"/>
      <c r="D38" s="3036"/>
      <c r="E38" s="3036"/>
      <c r="F38" s="3036"/>
      <c r="G38" s="3037"/>
      <c r="I38" s="3053">
        <v>25</v>
      </c>
      <c r="J38" s="3053">
        <v>89.3</v>
      </c>
      <c r="K38" s="3053">
        <f t="shared" si="3"/>
        <v>5.7000000000000028</v>
      </c>
      <c r="L38" s="3053" t="s">
        <v>2563</v>
      </c>
      <c r="M38" s="3053">
        <v>8</v>
      </c>
    </row>
    <row r="39" spans="1:13">
      <c r="A39" s="3035"/>
      <c r="B39" s="3036"/>
      <c r="C39" s="3036"/>
      <c r="D39" s="3036"/>
      <c r="E39" s="3036"/>
      <c r="F39" s="3036"/>
      <c r="G39" s="3037"/>
      <c r="I39" s="3053">
        <v>30</v>
      </c>
      <c r="J39" s="3053">
        <v>93.8</v>
      </c>
      <c r="K39" s="3053">
        <f t="shared" si="3"/>
        <v>4.5</v>
      </c>
      <c r="L39" s="3053" t="s">
        <v>2564</v>
      </c>
      <c r="M39" s="3053">
        <v>6</v>
      </c>
    </row>
    <row r="40" spans="1:13">
      <c r="A40" s="3038" t="s">
        <v>2535</v>
      </c>
      <c r="B40" s="3039"/>
      <c r="C40" s="3039"/>
      <c r="D40" s="3039"/>
      <c r="E40" s="3039"/>
      <c r="F40" s="3039"/>
      <c r="G40" s="3040"/>
      <c r="I40" s="3053">
        <v>35</v>
      </c>
      <c r="J40" s="3053">
        <v>97.2</v>
      </c>
      <c r="K40" s="3053">
        <f t="shared" si="3"/>
        <v>3.4000000000000057</v>
      </c>
      <c r="L40" s="3053" t="s">
        <v>2565</v>
      </c>
      <c r="M40" s="3053">
        <v>3</v>
      </c>
    </row>
    <row r="41" spans="1:13">
      <c r="A41" s="3041" t="s">
        <v>2536</v>
      </c>
      <c r="B41" s="3042" t="s">
        <v>2537</v>
      </c>
      <c r="C41" s="3043" t="s">
        <v>2538</v>
      </c>
      <c r="D41" s="3043" t="s">
        <v>2539</v>
      </c>
      <c r="E41" s="3044"/>
      <c r="F41" s="3045"/>
      <c r="G41" s="3046"/>
      <c r="I41" s="3053">
        <v>40</v>
      </c>
      <c r="J41" s="3053">
        <v>100</v>
      </c>
      <c r="K41" s="3053">
        <f t="shared" si="3"/>
        <v>2.7999999999999972</v>
      </c>
    </row>
    <row r="42" spans="1:13">
      <c r="A42" s="3041" t="s">
        <v>2540</v>
      </c>
      <c r="B42" s="3042" t="s">
        <v>2541</v>
      </c>
      <c r="C42" s="3043" t="s">
        <v>2542</v>
      </c>
      <c r="D42" s="3047" t="s">
        <v>2543</v>
      </c>
      <c r="E42" s="3039" t="s">
        <v>2544</v>
      </c>
      <c r="F42" s="3039"/>
      <c r="G42" s="3040"/>
    </row>
    <row r="43" spans="1:13">
      <c r="A43" s="3041" t="s">
        <v>2545</v>
      </c>
      <c r="B43" s="3042" t="s">
        <v>2546</v>
      </c>
      <c r="C43" s="3043" t="s">
        <v>2547</v>
      </c>
      <c r="D43" s="3043" t="s">
        <v>2548</v>
      </c>
      <c r="E43" s="3044" t="s">
        <v>2549</v>
      </c>
      <c r="F43" s="3045"/>
      <c r="G43" s="3046"/>
      <c r="I43" s="3053" t="s">
        <v>2557</v>
      </c>
      <c r="J43" s="3053" t="s">
        <v>2568</v>
      </c>
    </row>
    <row r="44" spans="1:13">
      <c r="A44" s="3041" t="s">
        <v>2550</v>
      </c>
      <c r="B44" s="3042" t="s">
        <v>2551</v>
      </c>
      <c r="C44" s="3043" t="s">
        <v>2552</v>
      </c>
      <c r="D44" s="3047">
        <v>0.5</v>
      </c>
      <c r="E44" s="3044" t="s">
        <v>2553</v>
      </c>
      <c r="F44" s="3045"/>
      <c r="G44" s="3046"/>
      <c r="I44" s="3053">
        <v>30</v>
      </c>
      <c r="J44" s="3053">
        <v>81.7</v>
      </c>
    </row>
    <row r="45" spans="1:13" ht="14.25" thickBot="1">
      <c r="A45" s="3048" t="s">
        <v>2554</v>
      </c>
      <c r="B45" s="3049" t="s">
        <v>2541</v>
      </c>
      <c r="C45" s="3050" t="s">
        <v>2541</v>
      </c>
      <c r="D45" s="3050" t="s">
        <v>2555</v>
      </c>
      <c r="E45" s="3051" t="s">
        <v>2556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1" sqref="C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495" t="str">
        <f>IF(B10="北京市","北京市",C10)&amp;F10&amp;IF(结果表!G1="在建","出让国有建设用地使用权及在建建筑物",IF(结果表!G1="土地","出让国有建设用地使用权",))&amp;B9&amp;"预评估"</f>
        <v>北京市房山区怡和南路8号院8号楼1层101房地产抵押价值预评估</v>
      </c>
      <c r="C1" s="3496"/>
      <c r="D1" s="3496"/>
      <c r="E1" s="3496"/>
      <c r="F1" s="3496"/>
      <c r="G1" s="3496"/>
      <c r="H1" s="3496"/>
      <c r="I1" s="3497"/>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4"/>
      <c r="U1" s="1744"/>
      <c r="V1" s="1744"/>
      <c r="W1" s="1744"/>
      <c r="X1" s="1744"/>
      <c r="Y1" s="1744"/>
      <c r="Z1" s="1744"/>
      <c r="AA1" s="1744"/>
      <c r="AB1" s="1744"/>
    </row>
    <row r="2" spans="1:30">
      <c r="A2" s="2366" t="s">
        <v>2166</v>
      </c>
      <c r="B2" s="2370"/>
      <c r="C2" s="2371"/>
      <c r="D2" s="2665"/>
      <c r="E2" s="2657"/>
      <c r="F2" s="2657"/>
      <c r="G2" s="2658"/>
      <c r="H2" s="2658"/>
      <c r="I2" s="2658"/>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北京市房山区怡和南路8号院8号楼1层101房地产</v>
      </c>
      <c r="T2" s="1744"/>
      <c r="U2" s="1744"/>
      <c r="V2" s="1744"/>
      <c r="W2" s="1744"/>
      <c r="X2" s="1744"/>
      <c r="Y2" s="1744"/>
      <c r="Z2" s="1744"/>
      <c r="AA2" s="1744"/>
      <c r="AB2" s="1744"/>
    </row>
    <row r="3" spans="1:30">
      <c r="A3" s="302" t="s">
        <v>2167</v>
      </c>
      <c r="B3" s="2372">
        <v>45057</v>
      </c>
      <c r="C3" s="2373" t="s">
        <v>2168</v>
      </c>
      <c r="D3" s="2372">
        <f>B3</f>
        <v>45057</v>
      </c>
      <c r="E3" s="2658"/>
      <c r="F3" s="2658"/>
      <c r="G3" s="2658"/>
      <c r="H3" s="2658"/>
      <c r="I3" s="2658"/>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t="s">
        <v>3368</v>
      </c>
      <c r="C4" s="2375">
        <f ca="1">SUMIF(注册房地产估价师,B4,估价师及机构信息!B3:B24)</f>
        <v>1120070131</v>
      </c>
      <c r="D4" s="2374" t="s">
        <v>3369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59"/>
      <c r="F5" s="2659"/>
      <c r="G5" s="2659"/>
      <c r="H5" s="2659"/>
      <c r="I5" s="2659"/>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57"/>
      <c r="F6" s="2659"/>
      <c r="G6" s="2659"/>
      <c r="H6" s="2659"/>
      <c r="I6" s="2659"/>
      <c r="J6" s="2437"/>
      <c r="K6" s="2611" t="str">
        <f>IF(COUNTIF(B6,"*上海银行*"),"上海银行","")</f>
        <v/>
      </c>
      <c r="L6" s="2609"/>
      <c r="M6" s="2609"/>
      <c r="N6" s="2437"/>
      <c r="O6" s="2448"/>
      <c r="P6" s="2437"/>
      <c r="Q6" s="2437"/>
      <c r="R6" s="2437"/>
    </row>
    <row r="7" spans="1:30">
      <c r="A7" s="2382" t="s">
        <v>2172</v>
      </c>
      <c r="B7" s="2386"/>
      <c r="C7" s="2384"/>
      <c r="D7" s="2385"/>
      <c r="E7" s="2657"/>
      <c r="F7" s="2659"/>
      <c r="G7" s="2659"/>
      <c r="H7" s="2659"/>
      <c r="I7" s="2659"/>
      <c r="J7" s="2437"/>
      <c r="K7" s="2612"/>
      <c r="L7" s="2609"/>
      <c r="M7" s="2609"/>
      <c r="N7" s="2437"/>
      <c r="O7" s="2448"/>
      <c r="P7" s="2437"/>
      <c r="Q7" s="2437"/>
      <c r="R7" s="2437"/>
    </row>
    <row r="8" spans="1:30">
      <c r="A8" s="2387" t="s">
        <v>2173</v>
      </c>
      <c r="B8" s="2388" t="s">
        <v>3370</v>
      </c>
      <c r="C8" s="2389"/>
      <c r="D8" s="3498" t="s">
        <v>2174</v>
      </c>
      <c r="E8" s="2390" t="s">
        <v>3371</v>
      </c>
      <c r="F8" s="2391"/>
      <c r="G8" s="2658"/>
      <c r="H8" s="2658"/>
      <c r="I8" s="2658"/>
      <c r="J8" s="2437"/>
      <c r="K8" s="2610"/>
      <c r="L8" s="2609"/>
      <c r="M8" s="2609"/>
      <c r="N8" s="2437"/>
      <c r="O8" s="2448"/>
      <c r="P8" s="2437"/>
      <c r="Q8" s="2437"/>
      <c r="R8" s="2437"/>
    </row>
    <row r="9" spans="1:30" ht="13.5" thickBot="1">
      <c r="A9" s="2392" t="s">
        <v>2175</v>
      </c>
      <c r="B9" s="2393" t="s">
        <v>3371</v>
      </c>
      <c r="C9" s="2394"/>
      <c r="D9" s="3499"/>
      <c r="E9" s="2393" t="s">
        <v>43</v>
      </c>
      <c r="F9" s="2395"/>
      <c r="G9" s="2660"/>
      <c r="H9" s="2660"/>
      <c r="I9" s="2660"/>
      <c r="J9" s="2437"/>
      <c r="K9" s="2612"/>
      <c r="L9" s="2609"/>
      <c r="M9" s="2609"/>
      <c r="N9" s="2437"/>
      <c r="O9" s="2448"/>
      <c r="P9" s="2437"/>
      <c r="Q9" s="2437"/>
      <c r="R9" s="2437"/>
    </row>
    <row r="10" spans="1:30" ht="13.5" thickTop="1">
      <c r="A10" s="2396" t="s">
        <v>2176</v>
      </c>
      <c r="B10" s="2397" t="s">
        <v>3372</v>
      </c>
      <c r="C10" s="2398"/>
      <c r="D10" s="2381"/>
      <c r="E10" s="2399" t="s">
        <v>2177</v>
      </c>
      <c r="F10" s="2661" t="s">
        <v>3373</v>
      </c>
      <c r="G10" s="2662"/>
      <c r="H10" s="2663"/>
      <c r="I10" s="2664"/>
      <c r="J10" s="2437"/>
      <c r="K10" s="2612"/>
      <c r="L10" s="2609"/>
      <c r="M10" s="2609"/>
      <c r="N10" s="2437"/>
      <c r="O10" s="2448"/>
      <c r="P10" s="2437"/>
      <c r="Q10" s="2437"/>
      <c r="R10" s="2437"/>
    </row>
    <row r="11" spans="1:30" ht="24">
      <c r="A11" s="2400" t="s">
        <v>2178</v>
      </c>
      <c r="B11" s="2401" t="s">
        <v>3374</v>
      </c>
      <c r="C11" s="3784" t="s">
        <v>3458</v>
      </c>
      <c r="D11" s="2402"/>
      <c r="E11" s="2369"/>
      <c r="F11" s="2369"/>
      <c r="G11" s="2369"/>
      <c r="H11" s="2369"/>
      <c r="I11" s="2369"/>
      <c r="J11" s="3056"/>
      <c r="K11" s="3055"/>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4" t="s">
        <v>2569</v>
      </c>
      <c r="J12" s="3057"/>
      <c r="K12" s="2609"/>
      <c r="L12" s="2609"/>
      <c r="M12" s="2437"/>
      <c r="N12" s="2448"/>
      <c r="O12" s="2437"/>
      <c r="P12" s="2437"/>
      <c r="Q12" s="2437"/>
      <c r="AD12" s="1744"/>
    </row>
    <row r="13" spans="1:30">
      <c r="A13" s="3418" t="s">
        <v>3327</v>
      </c>
      <c r="B13" s="2405" t="s">
        <v>2187</v>
      </c>
      <c r="C13" s="855"/>
      <c r="D13" s="855">
        <v>54742</v>
      </c>
      <c r="E13" s="855"/>
      <c r="F13" s="855"/>
      <c r="G13" s="855"/>
      <c r="H13" s="855"/>
      <c r="I13" s="855"/>
      <c r="J13" s="3057"/>
      <c r="K13" s="2609"/>
      <c r="L13" s="2609"/>
      <c r="M13" s="2437"/>
      <c r="N13" s="2448"/>
      <c r="O13" s="2437"/>
      <c r="P13" s="2437"/>
      <c r="Q13" s="2437"/>
      <c r="AD13" s="1744"/>
    </row>
    <row r="14" spans="1:30">
      <c r="A14" s="1080"/>
      <c r="B14" s="2405" t="s">
        <v>2188</v>
      </c>
      <c r="C14" s="2406"/>
      <c r="D14" s="2406">
        <v>40</v>
      </c>
      <c r="E14" s="2406"/>
      <c r="F14" s="2406"/>
      <c r="G14" s="2406"/>
      <c r="H14" s="2406"/>
      <c r="I14" s="2406"/>
      <c r="J14" s="3058"/>
      <c r="K14" s="2609"/>
      <c r="L14" s="2609"/>
      <c r="M14" s="2437"/>
      <c r="N14" s="2448"/>
      <c r="O14" s="2437"/>
      <c r="P14" s="2437"/>
      <c r="Q14" s="2437"/>
      <c r="AD14" s="1744"/>
    </row>
    <row r="15" spans="1:30">
      <c r="A15" s="320"/>
      <c r="B15" s="2407" t="s">
        <v>2189</v>
      </c>
      <c r="C15" s="2408" t="str">
        <f>IF(A13="出让",IF(C13="","",ROUNDDOWN(MIN((C13-$D$3)/365,C14),2)),C14)</f>
        <v/>
      </c>
      <c r="D15" s="2408">
        <f>IF(A13="出让",IF(D13="","",ROUNDDOWN(MIN((D13-$D$3)/365,D14),2)),D14)</f>
        <v>26.53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9"/>
      <c r="K15" s="2449"/>
      <c r="L15" s="2449"/>
      <c r="M15" s="2505"/>
      <c r="N15" s="2449"/>
      <c r="O15" s="2505"/>
      <c r="P15" s="2437"/>
      <c r="Q15" s="2437"/>
      <c r="AD15" s="1744"/>
    </row>
    <row r="16" spans="1:30">
      <c r="A16" s="2399" t="s">
        <v>2190</v>
      </c>
      <c r="B16" s="3505"/>
      <c r="C16" s="3506"/>
      <c r="D16" s="3507"/>
      <c r="E16" s="2411" t="s">
        <v>2191</v>
      </c>
      <c r="F16" s="3508"/>
      <c r="G16" s="3509"/>
      <c r="H16" s="3509"/>
      <c r="I16" s="3510"/>
      <c r="J16" s="2437"/>
      <c r="K16" s="2613"/>
      <c r="L16" s="2449"/>
      <c r="M16" s="2449"/>
      <c r="N16" s="2505"/>
      <c r="O16" s="2449"/>
      <c r="P16" s="2505"/>
      <c r="Q16" s="2437"/>
      <c r="R16" s="2437"/>
    </row>
    <row r="17" spans="1:28">
      <c r="A17" s="313" t="s">
        <v>2192</v>
      </c>
      <c r="B17" s="302" t="s">
        <v>2193</v>
      </c>
      <c r="C17" s="8">
        <f>'数据-汇总表'!E3</f>
        <v>402.39</v>
      </c>
      <c r="D17" s="2321" t="s">
        <v>2194</v>
      </c>
      <c r="E17" s="3511" t="s">
        <v>2195</v>
      </c>
      <c r="F17" s="3512"/>
      <c r="G17" s="3512"/>
      <c r="H17" s="3512"/>
      <c r="I17" s="3513"/>
      <c r="J17" s="2437"/>
      <c r="K17" s="2614"/>
      <c r="L17" s="2449"/>
      <c r="M17" s="2449"/>
      <c r="N17" s="2505"/>
      <c r="O17" s="2449"/>
      <c r="P17" s="2505"/>
      <c r="Q17" s="2437"/>
      <c r="R17" s="2437"/>
      <c r="S17" s="2437"/>
      <c r="T17" s="2437"/>
      <c r="U17" s="2437"/>
      <c r="V17" s="2437"/>
    </row>
    <row r="18" spans="1:28" ht="24.75" thickBot="1">
      <c r="A18" s="2412" t="s">
        <v>2196</v>
      </c>
      <c r="B18" s="1089" t="s">
        <v>2197</v>
      </c>
      <c r="C18" s="2413">
        <f>'数据-汇总表'!D3</f>
        <v>0</v>
      </c>
      <c r="D18" s="1091" t="s">
        <v>2198</v>
      </c>
      <c r="E18" s="3514" t="s">
        <v>2199</v>
      </c>
      <c r="F18" s="3515"/>
      <c r="G18" s="3515"/>
      <c r="H18" s="3515"/>
      <c r="I18" s="3516"/>
      <c r="J18" s="2437"/>
      <c r="K18" s="2614"/>
      <c r="L18" s="2449"/>
      <c r="M18" s="2449"/>
      <c r="N18" s="2505"/>
      <c r="O18" s="2449"/>
      <c r="P18" s="2505"/>
      <c r="Q18" s="2437"/>
      <c r="R18" s="2437"/>
      <c r="S18" s="2437"/>
      <c r="T18" s="2437"/>
      <c r="U18" s="2437"/>
      <c r="V18" s="2437"/>
    </row>
    <row r="19" spans="1:28" ht="37.5" thickTop="1" thickBot="1">
      <c r="A19" s="327" t="s">
        <v>1055</v>
      </c>
      <c r="B19" s="307" t="s">
        <v>2200</v>
      </c>
      <c r="C19" s="1562" t="s">
        <v>3375</v>
      </c>
      <c r="D19" s="1563" t="s">
        <v>2201</v>
      </c>
      <c r="E19" s="1564"/>
      <c r="F19" s="1565" t="str">
        <f>IF(AND(C19="是",E19="否"),"是否提供他项权证或相关说明","")</f>
        <v/>
      </c>
      <c r="G19" s="1566"/>
      <c r="H19" s="2659"/>
      <c r="I19" s="2659"/>
      <c r="J19" s="2437"/>
      <c r="K19" s="2612"/>
      <c r="L19" s="2609"/>
      <c r="M19" s="2609"/>
      <c r="N19" s="2505"/>
      <c r="O19" s="2449"/>
      <c r="P19" s="2505"/>
      <c r="Q19" s="2437"/>
      <c r="R19" s="2437"/>
      <c r="S19" s="2437"/>
      <c r="T19" s="2437"/>
      <c r="U19" s="2437"/>
      <c r="V19" s="2437"/>
    </row>
    <row r="20" spans="1:28">
      <c r="A20" s="2628" t="s">
        <v>2202</v>
      </c>
      <c r="B20" s="3501" t="s">
        <v>2203</v>
      </c>
      <c r="C20" s="3502"/>
      <c r="D20" s="3503" t="s">
        <v>2204</v>
      </c>
      <c r="E20" s="3504"/>
      <c r="F20" s="2642" t="s">
        <v>1056</v>
      </c>
      <c r="G20" s="2659"/>
      <c r="H20" s="2659"/>
      <c r="I20" s="2659"/>
      <c r="J20" s="2437"/>
      <c r="K20" s="3500"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3802" t="s">
        <v>3457</v>
      </c>
      <c r="C21" s="2629" t="s">
        <v>3376</v>
      </c>
      <c r="D21" s="1567"/>
      <c r="E21" s="2630"/>
      <c r="F21" s="2643"/>
      <c r="G21" s="2659"/>
      <c r="H21" s="2659"/>
      <c r="I21" s="2659"/>
      <c r="J21" s="2437"/>
      <c r="K21" s="350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0"/>
      <c r="O21" s="2409"/>
      <c r="P21" s="2410"/>
      <c r="Q21" s="2369"/>
      <c r="R21" s="2369"/>
      <c r="S21" s="2369"/>
      <c r="T21" s="2369"/>
      <c r="U21" s="2369"/>
      <c r="V21" s="2369"/>
      <c r="W21" s="1744"/>
      <c r="X21" s="1744"/>
      <c r="Y21" s="1744"/>
      <c r="Z21" s="1744"/>
      <c r="AA21" s="1744"/>
      <c r="AB21" s="1744"/>
    </row>
    <row r="22" spans="1:28" ht="13.5" thickBot="1">
      <c r="A22" s="2628"/>
      <c r="B22" s="2631"/>
      <c r="C22" s="2629"/>
      <c r="D22" s="2658"/>
      <c r="E22" s="2658"/>
      <c r="F22" s="2658"/>
      <c r="G22" s="2659"/>
      <c r="H22" s="2659"/>
      <c r="I22" s="2659"/>
      <c r="J22" s="2437"/>
      <c r="K22" s="350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2" t="s">
        <v>2206</v>
      </c>
      <c r="B23" s="2498" t="s">
        <v>2207</v>
      </c>
      <c r="C23" s="2633"/>
      <c r="D23" s="2634" t="s">
        <v>2207</v>
      </c>
      <c r="E23" s="2635"/>
      <c r="F23" s="2658"/>
      <c r="G23" s="2659"/>
      <c r="H23" s="2659"/>
      <c r="I23" s="2659"/>
      <c r="J23" s="2437"/>
      <c r="K23" s="2615"/>
      <c r="L23" s="2471"/>
      <c r="M23" s="2609"/>
      <c r="N23" s="2505"/>
      <c r="O23" s="2449"/>
      <c r="P23" s="2505"/>
      <c r="Q23" s="2437"/>
      <c r="R23" s="2437"/>
      <c r="S23" s="2437"/>
      <c r="T23" s="2437"/>
      <c r="U23" s="2437"/>
      <c r="V23" s="2437"/>
    </row>
    <row r="24" spans="1:28">
      <c r="A24" s="2632"/>
      <c r="B24" s="2498" t="s">
        <v>1057</v>
      </c>
      <c r="C24" s="2636"/>
      <c r="D24" s="2632" t="s">
        <v>1057</v>
      </c>
      <c r="E24" s="2637"/>
      <c r="F24" s="2658"/>
      <c r="G24" s="2659"/>
      <c r="H24" s="2659"/>
      <c r="I24" s="2659"/>
      <c r="J24" s="2437"/>
      <c r="K24" s="2615"/>
      <c r="L24" s="2471"/>
      <c r="M24" s="2609"/>
      <c r="N24" s="2505"/>
      <c r="O24" s="2449"/>
      <c r="P24" s="2505"/>
      <c r="Q24" s="2437"/>
      <c r="R24" s="2437"/>
      <c r="S24" s="2437"/>
      <c r="T24" s="2437"/>
      <c r="U24" s="2437"/>
      <c r="V24" s="2437"/>
    </row>
    <row r="25" spans="1:28">
      <c r="A25" s="2632"/>
      <c r="B25" s="2498" t="s">
        <v>1058</v>
      </c>
      <c r="C25" s="2636"/>
      <c r="D25" s="2632" t="s">
        <v>1058</v>
      </c>
      <c r="E25" s="2637"/>
      <c r="F25" s="2658"/>
      <c r="G25" s="2659"/>
      <c r="H25" s="2659"/>
      <c r="I25" s="2659"/>
      <c r="J25" s="2437"/>
      <c r="K25" s="2612"/>
      <c r="L25" s="2609"/>
      <c r="M25" s="2609"/>
      <c r="N25" s="2505"/>
      <c r="O25" s="2449"/>
      <c r="P25" s="2505"/>
      <c r="Q25" s="2437"/>
      <c r="R25" s="2437"/>
      <c r="S25" s="2437"/>
      <c r="T25" s="2437"/>
      <c r="U25" s="2437"/>
      <c r="V25" s="2437"/>
    </row>
    <row r="26" spans="1:28" ht="13.5" thickBot="1">
      <c r="A26" s="2638"/>
      <c r="B26" s="2639" t="s">
        <v>1059</v>
      </c>
      <c r="C26" s="2640"/>
      <c r="D26" s="2638" t="s">
        <v>1059</v>
      </c>
      <c r="E26" s="2641"/>
      <c r="F26" s="2660"/>
      <c r="G26" s="2660"/>
      <c r="H26" s="2660"/>
      <c r="I26" s="2660"/>
      <c r="J26" s="2437"/>
      <c r="K26" s="2612"/>
      <c r="L26" s="2609"/>
      <c r="M26" s="2609"/>
      <c r="N26" s="2505"/>
      <c r="O26" s="2449"/>
      <c r="P26" s="2505"/>
      <c r="Q26" s="2437"/>
      <c r="R26" s="2437"/>
      <c r="S26" s="2437"/>
      <c r="T26" s="2437"/>
      <c r="U26" s="2437"/>
      <c r="V26" s="2437"/>
    </row>
    <row r="27" spans="1:28" ht="13.5" thickTop="1">
      <c r="A27" s="3488" t="s">
        <v>2208</v>
      </c>
      <c r="B27" s="320" t="s">
        <v>2209</v>
      </c>
      <c r="C27" s="2414"/>
      <c r="D27" s="2415"/>
      <c r="E27" s="2659"/>
      <c r="F27" s="2659"/>
      <c r="G27" s="2659"/>
      <c r="H27" s="2659"/>
      <c r="I27" s="2659"/>
      <c r="J27" s="2437"/>
      <c r="K27" s="2613"/>
      <c r="L27" s="2449"/>
      <c r="M27" s="2449"/>
      <c r="N27" s="2505"/>
      <c r="O27" s="2449"/>
      <c r="P27" s="2505"/>
      <c r="Q27" s="2437"/>
      <c r="R27" s="2437"/>
      <c r="S27" s="2437"/>
      <c r="T27" s="2437"/>
      <c r="U27" s="2437"/>
      <c r="V27" s="2437"/>
    </row>
    <row r="28" spans="1:28">
      <c r="A28" s="3488"/>
      <c r="B28" s="302" t="s">
        <v>2210</v>
      </c>
      <c r="C28" s="2416"/>
      <c r="D28" s="2417"/>
      <c r="E28" s="2659"/>
      <c r="F28" s="2659"/>
      <c r="G28" s="2659"/>
      <c r="H28" s="2659"/>
      <c r="I28" s="2659"/>
      <c r="J28" s="2437"/>
      <c r="K28" s="2612"/>
      <c r="L28" s="2609"/>
      <c r="M28" s="2609"/>
      <c r="N28" s="2437"/>
      <c r="O28" s="2448"/>
      <c r="P28" s="2437"/>
      <c r="Q28" s="2437"/>
      <c r="R28" s="2437"/>
      <c r="S28" s="2437"/>
      <c r="T28" s="2437"/>
      <c r="U28" s="2437"/>
      <c r="V28" s="2437"/>
    </row>
    <row r="29" spans="1:28">
      <c r="A29" s="3488"/>
      <c r="B29" s="302" t="s">
        <v>2211</v>
      </c>
      <c r="C29" s="2418"/>
      <c r="D29" s="2419"/>
      <c r="E29" s="2659"/>
      <c r="F29" s="2659"/>
      <c r="G29" s="2659"/>
      <c r="H29" s="2659"/>
      <c r="I29" s="2659"/>
      <c r="J29" s="2437"/>
      <c r="K29" s="2612"/>
      <c r="L29" s="2609"/>
      <c r="M29" s="2609"/>
      <c r="N29" s="2437"/>
      <c r="O29" s="2448"/>
      <c r="P29" s="2437"/>
      <c r="Q29" s="2437"/>
      <c r="R29" s="2437"/>
      <c r="S29" s="2437"/>
      <c r="T29" s="2437"/>
      <c r="U29" s="2437"/>
      <c r="V29" s="2437"/>
    </row>
    <row r="30" spans="1:28">
      <c r="A30" s="3489"/>
      <c r="B30" s="302" t="s">
        <v>2212</v>
      </c>
      <c r="C30" s="3490"/>
      <c r="D30" s="3491"/>
      <c r="E30" s="2659"/>
      <c r="F30" s="2659"/>
      <c r="G30" s="2659"/>
      <c r="H30" s="2659"/>
      <c r="I30" s="2659"/>
      <c r="J30" s="2437"/>
      <c r="K30" s="2612"/>
      <c r="L30" s="2609"/>
      <c r="M30" s="2609"/>
      <c r="N30" s="2437"/>
      <c r="O30" s="2448"/>
      <c r="P30" s="2437"/>
      <c r="Q30" s="2437"/>
      <c r="R30" s="2437"/>
      <c r="S30" s="2437"/>
      <c r="T30" s="2437"/>
      <c r="U30" s="2437"/>
      <c r="V30" s="2437"/>
    </row>
    <row r="31" spans="1:28">
      <c r="A31" s="3492" t="s">
        <v>2213</v>
      </c>
      <c r="B31" s="2420" t="s">
        <v>3377</v>
      </c>
      <c r="C31" s="2322" t="str">
        <f>IF(B31="现房","成新及维护状况正常否",IF(B31="在建","工程状态是否正常",IF(B31="土地","是否闲置","-")))</f>
        <v>成新及维护状况正常否</v>
      </c>
      <c r="D31" s="1372"/>
      <c r="E31" s="2421"/>
      <c r="F31" s="2659"/>
      <c r="G31" s="2659"/>
      <c r="H31" s="2659"/>
      <c r="I31" s="2659"/>
      <c r="J31" s="2437"/>
      <c r="K31" s="2611"/>
      <c r="L31" s="2609"/>
      <c r="M31" s="2609"/>
      <c r="N31" s="2437"/>
      <c r="O31" s="2448"/>
      <c r="P31" s="2437"/>
      <c r="Q31" s="2437"/>
      <c r="R31" s="2437"/>
      <c r="S31" s="2437"/>
      <c r="T31" s="2437"/>
      <c r="U31" s="2437"/>
      <c r="V31" s="2437"/>
    </row>
    <row r="32" spans="1:28">
      <c r="A32" s="3493"/>
      <c r="B32" s="2420"/>
      <c r="C32" s="2322" t="str">
        <f>IF(B32="现房","成新及维护状况是否正常",IF(B32="在建","工程状态是否正常",IF(B32="土地","是否闲置","-")))</f>
        <v>-</v>
      </c>
      <c r="D32" s="1372"/>
      <c r="E32" s="2421"/>
      <c r="F32" s="2659"/>
      <c r="G32" s="2659"/>
      <c r="H32" s="2659"/>
      <c r="I32" s="2659"/>
      <c r="J32" s="2437"/>
      <c r="K32" s="2612"/>
      <c r="L32" s="2609"/>
      <c r="M32" s="2609"/>
      <c r="N32" s="2437"/>
      <c r="O32" s="2448"/>
      <c r="P32" s="2437"/>
      <c r="Q32" s="2437"/>
      <c r="R32" s="2437"/>
      <c r="S32" s="2437"/>
      <c r="T32" s="2437"/>
      <c r="U32" s="2437"/>
      <c r="V32" s="2437"/>
    </row>
    <row r="33" spans="1:30">
      <c r="A33" s="3493"/>
      <c r="B33" s="2423"/>
      <c r="C33" s="1589" t="str">
        <f>IF(B33="现房","成新及维护状况是否正常",IF(B33="在建","工程状态是否正常",IF(B33="土地","是否闲置","-")))</f>
        <v>-</v>
      </c>
      <c r="D33" s="1364"/>
      <c r="E33" s="2424"/>
      <c r="F33" s="2659"/>
      <c r="G33" s="2659"/>
      <c r="H33" s="2659"/>
      <c r="I33" s="2659"/>
      <c r="J33" s="2437"/>
      <c r="K33" s="2612"/>
      <c r="L33" s="2609"/>
      <c r="M33" s="2609"/>
      <c r="N33" s="2437"/>
      <c r="O33" s="2448"/>
      <c r="P33" s="2437"/>
      <c r="Q33" s="2437"/>
      <c r="R33" s="2437"/>
      <c r="S33" s="2437"/>
      <c r="T33" s="2437"/>
      <c r="U33" s="2437"/>
      <c r="V33" s="2437"/>
    </row>
    <row r="34" spans="1:30">
      <c r="A34" s="302" t="s">
        <v>2214</v>
      </c>
      <c r="B34" s="2025"/>
      <c r="C34" s="2025"/>
      <c r="D34" s="2025"/>
      <c r="E34" s="2025"/>
      <c r="F34" s="2025"/>
      <c r="G34" s="2025"/>
      <c r="H34" s="2025"/>
      <c r="I34" s="2659"/>
      <c r="J34" s="2437"/>
      <c r="K34" s="2425">
        <f>COUNTIF(B34:H34,"——")</f>
        <v>0</v>
      </c>
      <c r="L34" s="323" t="s">
        <v>2215</v>
      </c>
      <c r="M34" s="323" t="s">
        <v>2216</v>
      </c>
      <c r="N34" s="323" t="s">
        <v>2217</v>
      </c>
      <c r="O34" s="323" t="s">
        <v>2218</v>
      </c>
      <c r="P34" s="323" t="s">
        <v>2219</v>
      </c>
      <c r="Q34" s="323" t="s">
        <v>2220</v>
      </c>
      <c r="R34" s="323" t="s">
        <v>2221</v>
      </c>
      <c r="S34" s="3487" t="s">
        <v>2222</v>
      </c>
      <c r="T34" s="2426" t="str">
        <f>NUMBERSTRING(7-K34,1)&amp;"通"</f>
        <v>七通</v>
      </c>
      <c r="U34" s="2437"/>
      <c r="V34" s="2437"/>
    </row>
    <row r="35" spans="1:30">
      <c r="A35" s="2427"/>
      <c r="B35" s="3494" t="s">
        <v>2223</v>
      </c>
      <c r="C35" s="3494"/>
      <c r="D35" s="3494"/>
      <c r="E35" s="3494"/>
      <c r="F35" s="663">
        <f>C10</f>
        <v>0</v>
      </c>
      <c r="G35" s="2659"/>
      <c r="H35" s="2659"/>
      <c r="I35" s="2659"/>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7"/>
      <c r="T35" s="329" t="str">
        <f>IF(T34="一通",L35,IF(T34="二通",M35,IF(T34="三通",N35,IF(T34="四通",O35,IF(T34="五通",P35,IF(T34="六通",Q35,R35))))))</f>
        <v>、、、、、、</v>
      </c>
      <c r="U35" s="2437"/>
      <c r="V35" s="2437"/>
    </row>
    <row r="36" spans="1:30">
      <c r="A36" s="2428"/>
      <c r="B36" s="663" t="s">
        <v>2182</v>
      </c>
      <c r="C36" s="663" t="s">
        <v>2183</v>
      </c>
      <c r="D36" s="663" t="s">
        <v>2181</v>
      </c>
      <c r="E36" s="663" t="s">
        <v>2186</v>
      </c>
      <c r="F36" s="3060" t="s">
        <v>2572</v>
      </c>
      <c r="G36" s="2659"/>
      <c r="H36" s="2659"/>
      <c r="I36" s="2659"/>
      <c r="J36" s="2437"/>
      <c r="K36" s="2612"/>
      <c r="L36" s="2609"/>
      <c r="M36" s="2609"/>
      <c r="N36" s="2437"/>
      <c r="O36" s="2448"/>
      <c r="P36" s="2437"/>
      <c r="Q36" s="2437"/>
      <c r="R36" s="2437"/>
      <c r="S36" s="2437"/>
      <c r="T36" s="2437"/>
      <c r="U36" s="2437"/>
      <c r="V36" s="2437"/>
    </row>
    <row r="37" spans="1:30">
      <c r="A37" s="2626" t="s">
        <v>2224</v>
      </c>
      <c r="B37" s="2429"/>
      <c r="C37" s="2429"/>
      <c r="D37" s="2429"/>
      <c r="E37" s="2429"/>
      <c r="F37" s="2429"/>
      <c r="G37" s="2659"/>
      <c r="H37" s="2659"/>
      <c r="I37" s="2659"/>
      <c r="J37" s="2437"/>
      <c r="K37" s="2612"/>
      <c r="L37" s="2609"/>
      <c r="M37" s="2609"/>
      <c r="N37" s="2437"/>
      <c r="O37" s="2448"/>
      <c r="P37" s="2437"/>
      <c r="Q37" s="2437"/>
      <c r="R37" s="2437"/>
      <c r="S37" s="2437"/>
      <c r="T37" s="2437"/>
      <c r="U37" s="2437"/>
      <c r="V37" s="2437"/>
    </row>
    <row r="38" spans="1:30" ht="13.5" thickBot="1">
      <c r="A38" s="2627" t="s">
        <v>2225</v>
      </c>
      <c r="B38" s="2430"/>
      <c r="C38" s="2430"/>
      <c r="D38" s="2430"/>
      <c r="E38" s="2430"/>
      <c r="F38" s="2430"/>
      <c r="G38" s="2660"/>
      <c r="H38" s="2660"/>
      <c r="I38" s="2660"/>
      <c r="J38" s="2437"/>
      <c r="K38" s="2612"/>
      <c r="L38" s="2609"/>
      <c r="M38" s="2609"/>
      <c r="N38" s="2437"/>
      <c r="O38" s="2448"/>
      <c r="P38" s="2437"/>
      <c r="Q38" s="2437"/>
      <c r="R38" s="2437"/>
      <c r="S38" s="2437"/>
      <c r="T38" s="2437"/>
      <c r="U38" s="2437"/>
      <c r="V38" s="2437"/>
    </row>
    <row r="39" spans="1:30" s="2433" customFormat="1" ht="14.25" thickTop="1" thickBot="1">
      <c r="A39" s="2431" t="s">
        <v>2226</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2227</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2228</v>
      </c>
      <c r="B42" s="8" t="s">
        <v>2229</v>
      </c>
      <c r="C42" s="8" t="s">
        <v>2230</v>
      </c>
      <c r="D42" s="8" t="s">
        <v>2231</v>
      </c>
      <c r="E42" s="8" t="s">
        <v>2232</v>
      </c>
      <c r="F42" s="8" t="s">
        <v>2233</v>
      </c>
      <c r="G42" s="8" t="s">
        <v>2234</v>
      </c>
      <c r="H42" s="8" t="s">
        <v>2235</v>
      </c>
      <c r="I42" s="8" t="s">
        <v>2236</v>
      </c>
      <c r="J42" s="2622" t="s">
        <v>2237</v>
      </c>
      <c r="K42" s="2623" t="s">
        <v>2238</v>
      </c>
      <c r="L42" s="2623" t="s">
        <v>2239</v>
      </c>
      <c r="M42" s="2623" t="s">
        <v>2240</v>
      </c>
      <c r="N42" s="2616" t="s">
        <v>2241</v>
      </c>
      <c r="O42" s="2616" t="s">
        <v>2242</v>
      </c>
      <c r="P42" s="2616" t="s">
        <v>2243</v>
      </c>
      <c r="Q42" s="2617" t="s">
        <v>2244</v>
      </c>
      <c r="R42" s="2617" t="s">
        <v>2245</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H20" sqref="H20"/>
      <selection pane="topRight" activeCell="H20" sqref="H20"/>
      <selection pane="bottomLeft" activeCell="H20" sqref="H2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402.39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3379</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402.39</v>
      </c>
      <c r="H13" s="17">
        <f>SUMIF(I$12:AB$12,"总值",I13:AB13)</f>
        <v>402.39</v>
      </c>
      <c r="I13" s="1625">
        <v>402.39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26" t="s">
        <v>1129</v>
      </c>
      <c r="B2" s="3526"/>
      <c r="C2" s="3526"/>
      <c r="D2" s="795" t="s">
        <v>1105</v>
      </c>
      <c r="E2" s="1638" t="s">
        <v>1106</v>
      </c>
      <c r="F2" s="2654"/>
      <c r="G2" s="2645"/>
      <c r="H2" s="2646"/>
      <c r="I2" s="2324" t="s">
        <v>1130</v>
      </c>
      <c r="J2" s="2654"/>
      <c r="K2" s="2654"/>
      <c r="L2" s="2654"/>
      <c r="M2" s="2654"/>
      <c r="N2" s="2656"/>
      <c r="O2" s="2654"/>
      <c r="P2" s="2654"/>
    </row>
    <row r="3" spans="1:16" ht="15.75" thickBot="1">
      <c r="A3" s="3527" t="s">
        <v>1103</v>
      </c>
      <c r="B3" s="3527"/>
      <c r="C3" s="3527"/>
      <c r="D3" s="43">
        <f>'数据-基础表'!AY6</f>
        <v>0</v>
      </c>
      <c r="E3" s="43">
        <f>'数据-基础表'!AZ5</f>
        <v>402.39</v>
      </c>
      <c r="F3" s="2654"/>
      <c r="G3" s="1144"/>
      <c r="H3" s="1025" t="s">
        <v>1104</v>
      </c>
      <c r="I3" s="854" t="e">
        <f>ROUND('数据-基础表'!B3/'数据-基础表'!A3,2)</f>
        <v>#DIV/0!</v>
      </c>
      <c r="J3" s="2654"/>
      <c r="K3" s="2654"/>
      <c r="L3" s="2654"/>
      <c r="M3" s="2654"/>
      <c r="N3" s="2656"/>
      <c r="O3" s="2654"/>
      <c r="P3" s="2654"/>
    </row>
    <row r="4" spans="1:16" ht="15">
      <c r="A4" s="3528"/>
      <c r="B4" s="3529"/>
      <c r="C4" s="3530"/>
      <c r="D4" s="1640" t="s">
        <v>1105</v>
      </c>
      <c r="E4" s="1641" t="s">
        <v>1106</v>
      </c>
      <c r="F4" s="2654"/>
      <c r="G4" s="2647" t="s">
        <v>1131</v>
      </c>
      <c r="H4" s="1025" t="s">
        <v>1111</v>
      </c>
      <c r="I4" s="854" t="e">
        <f>ROUND(SUMIF('数据-基础表'!I9:AS9,"地上",'数据-基础表'!I5:AS5)/'数据-基础表'!A3,2)</f>
        <v>#DIV/0!</v>
      </c>
      <c r="J4" s="2654"/>
      <c r="K4" s="2654"/>
      <c r="L4" s="2654"/>
      <c r="M4" s="2654"/>
      <c r="N4" s="2656"/>
      <c r="O4" s="2654"/>
      <c r="P4" s="2654"/>
    </row>
    <row r="5" spans="1:16">
      <c r="A5" s="44" t="s">
        <v>1107</v>
      </c>
      <c r="B5" s="3531" t="s">
        <v>1108</v>
      </c>
      <c r="C5" s="3531"/>
      <c r="D5" s="45">
        <f>ROUND($D$3*E5/$E$3,2)</f>
        <v>0</v>
      </c>
      <c r="E5" s="46">
        <f>SUMIF('数据-基础表'!$11:$11,"住宅",'数据-基础表'!$5:$5)</f>
        <v>0</v>
      </c>
      <c r="F5" s="2654"/>
      <c r="G5" s="1144"/>
      <c r="H5" s="1025" t="s">
        <v>1104</v>
      </c>
      <c r="I5" s="854" t="e">
        <f>ROUND(E31/D31,2)</f>
        <v>#DIV/0!</v>
      </c>
      <c r="J5" s="2654"/>
      <c r="K5" s="2654"/>
      <c r="L5" s="2654"/>
      <c r="M5" s="2654"/>
      <c r="N5" s="2654"/>
      <c r="O5" s="2654"/>
      <c r="P5" s="2654"/>
    </row>
    <row r="6" spans="1:16" ht="15" thickBot="1">
      <c r="A6" s="1643"/>
      <c r="B6" s="3531" t="s">
        <v>1109</v>
      </c>
      <c r="C6" s="3531"/>
      <c r="D6" s="45">
        <f>ROUND($D$3*E6/$E$3,2)</f>
        <v>0</v>
      </c>
      <c r="E6" s="46">
        <f>E3-E5</f>
        <v>402.39</v>
      </c>
      <c r="F6" s="2654"/>
      <c r="G6" s="2648" t="s">
        <v>1110</v>
      </c>
      <c r="H6" s="1145" t="s">
        <v>1111</v>
      </c>
      <c r="I6" s="2649" t="e">
        <f>ROUND(F31/D31,2)</f>
        <v>#DIV/0!</v>
      </c>
      <c r="J6" s="2654"/>
      <c r="K6" s="2654"/>
      <c r="L6" s="2654"/>
      <c r="M6" s="2654"/>
      <c r="N6" s="2654"/>
      <c r="O6" s="2654"/>
      <c r="P6" s="2654"/>
    </row>
    <row r="7" spans="1:16" ht="15.75" thickBot="1">
      <c r="A7" s="3523"/>
      <c r="B7" s="3524"/>
      <c r="C7" s="3525"/>
      <c r="D7" s="1640" t="s">
        <v>1105</v>
      </c>
      <c r="E7" s="1644"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402.39</v>
      </c>
      <c r="F8" s="2654"/>
      <c r="G8" s="2655"/>
      <c r="H8" s="2655"/>
      <c r="I8" s="2654"/>
      <c r="J8" s="2654"/>
      <c r="K8" s="2654"/>
      <c r="L8" s="2654"/>
      <c r="M8" s="2654"/>
      <c r="N8" s="2654"/>
      <c r="O8" s="2654"/>
      <c r="P8" s="2654"/>
    </row>
    <row r="9" spans="1:16">
      <c r="A9" s="1645"/>
      <c r="B9" s="1646"/>
      <c r="C9" s="45" t="s">
        <v>1117</v>
      </c>
      <c r="D9" s="45">
        <f t="shared" si="0"/>
        <v>0</v>
      </c>
      <c r="E9" s="49">
        <v>0</v>
      </c>
      <c r="F9" s="2654"/>
      <c r="G9" s="2655"/>
      <c r="H9" s="2655"/>
      <c r="I9" s="2654"/>
      <c r="J9" s="2654"/>
      <c r="K9" s="2654"/>
      <c r="L9" s="2654"/>
      <c r="M9" s="2654"/>
      <c r="N9" s="2654"/>
      <c r="O9" s="2654"/>
      <c r="P9" s="2654"/>
    </row>
    <row r="10" spans="1:16">
      <c r="A10" s="1645"/>
      <c r="B10" s="1646"/>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1121</v>
      </c>
      <c r="D16" s="47">
        <f>SUM(D8:D15)</f>
        <v>0</v>
      </c>
      <c r="E16" s="50">
        <f>SUM(E8:E15)</f>
        <v>402.39</v>
      </c>
      <c r="F16" s="2654"/>
      <c r="G16" s="2655"/>
      <c r="H16" s="1647" t="s">
        <v>1133</v>
      </c>
      <c r="I16" s="1648"/>
      <c r="J16" s="1138"/>
      <c r="K16" s="3520" t="s">
        <v>1133</v>
      </c>
      <c r="L16" s="3521"/>
      <c r="M16" s="3521"/>
      <c r="N16" s="3521"/>
      <c r="O16" s="3521"/>
      <c r="P16" s="3522"/>
    </row>
    <row r="17" spans="1:19" ht="15">
      <c r="A17" s="1649" t="s">
        <v>1134</v>
      </c>
      <c r="B17" s="1650" t="s">
        <v>1135</v>
      </c>
      <c r="C17" s="1651" t="s">
        <v>1136</v>
      </c>
      <c r="D17" s="1652" t="s">
        <v>1124</v>
      </c>
      <c r="E17" s="1653" t="s">
        <v>1125</v>
      </c>
      <c r="F17" s="1654"/>
      <c r="G17" s="1655"/>
      <c r="H17" s="1656" t="s">
        <v>1137</v>
      </c>
      <c r="I17" s="1657" t="s">
        <v>1122</v>
      </c>
      <c r="J17" s="1138"/>
      <c r="K17" s="3517" t="s">
        <v>1138</v>
      </c>
      <c r="L17" s="3518"/>
      <c r="M17" s="3519"/>
      <c r="N17" s="3517" t="s">
        <v>1139</v>
      </c>
      <c r="O17" s="3518"/>
      <c r="P17" s="3519"/>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2" t="s">
        <v>3381</v>
      </c>
      <c r="D19" s="45">
        <f>ROUND($D$3*E19/$E$3,2)</f>
        <v>0</v>
      </c>
      <c r="E19" s="53">
        <f t="shared" ref="E19:E26" si="1">SUM(F19:G19)</f>
        <v>402.39</v>
      </c>
      <c r="F19" s="2790">
        <f>'数据-基础表'!I5</f>
        <v>402.39</v>
      </c>
      <c r="G19" s="2791"/>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402.39</v>
      </c>
    </row>
    <row r="20" spans="1:19">
      <c r="A20" s="1669"/>
      <c r="B20" s="47" t="s">
        <v>1151</v>
      </c>
      <c r="C20" s="3412"/>
      <c r="D20" s="45">
        <f t="shared" ref="D20:D26" si="6">ROUND($D$3*E20/$E$3,2)</f>
        <v>0</v>
      </c>
      <c r="E20" s="53">
        <f t="shared" si="1"/>
        <v>0</v>
      </c>
      <c r="F20" s="2790"/>
      <c r="G20" s="2791"/>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2"/>
      <c r="D21" s="45">
        <f t="shared" si="6"/>
        <v>0</v>
      </c>
      <c r="E21" s="53">
        <f t="shared" si="1"/>
        <v>0</v>
      </c>
      <c r="F21" s="2790"/>
      <c r="G21" s="2791"/>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3"/>
      <c r="D22" s="45">
        <f t="shared" si="6"/>
        <v>0</v>
      </c>
      <c r="E22" s="53">
        <f t="shared" si="1"/>
        <v>0</v>
      </c>
      <c r="F22" s="2792"/>
      <c r="G22" s="2793"/>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3"/>
      <c r="D23" s="45">
        <f>ROUND($D$3*E23/$E$3,2)</f>
        <v>0</v>
      </c>
      <c r="E23" s="53">
        <f>SUM(F23:G23)</f>
        <v>0</v>
      </c>
      <c r="F23" s="2792"/>
      <c r="G23" s="2793"/>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3"/>
      <c r="D24" s="45">
        <f>ROUND($D$3*E24/$E$3,2)</f>
        <v>0</v>
      </c>
      <c r="E24" s="53">
        <f>SUM(F24:G24)</f>
        <v>0</v>
      </c>
      <c r="F24" s="2792"/>
      <c r="G24" s="2793"/>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402.39</v>
      </c>
      <c r="F27" s="1139">
        <f>IF(SUM(F19:F26)=E8,SUM(F19:F26),"地上面积有误")</f>
        <v>402.39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402.39</v>
      </c>
    </row>
    <row r="28" spans="1:19">
      <c r="A28" s="1669"/>
      <c r="B28" s="47" t="s">
        <v>1153</v>
      </c>
      <c r="C28" s="1037"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1153</v>
      </c>
      <c r="C29" s="1673"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1152</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5"/>
      <c r="B31" s="1676"/>
      <c r="C31" s="834" t="s">
        <v>1156</v>
      </c>
      <c r="D31" s="675">
        <f>D27+D30</f>
        <v>0</v>
      </c>
      <c r="E31" s="675">
        <f>E27+E30</f>
        <v>402.39</v>
      </c>
      <c r="F31" s="676">
        <f>F27+F30</f>
        <v>402.39</v>
      </c>
      <c r="G31" s="677">
        <f>G27+G30</f>
        <v>0</v>
      </c>
      <c r="H31" s="2654"/>
      <c r="I31" s="2654"/>
      <c r="J31" s="2654"/>
      <c r="K31" s="2654"/>
      <c r="L31" s="2654"/>
      <c r="M31" s="2654"/>
      <c r="N31" s="2654"/>
      <c r="O31" s="2654"/>
      <c r="P31" s="2654"/>
    </row>
    <row r="32" spans="1:19">
      <c r="A32" s="1642"/>
      <c r="B32" s="1642" t="s">
        <v>1157</v>
      </c>
      <c r="C32" s="1642"/>
      <c r="D32" s="1642"/>
      <c r="E32" s="1052">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H20" sqref="H20"/>
      <selection pane="topRight" activeCell="H20" sqref="H20"/>
      <selection pane="bottomLeft" activeCell="H20" sqref="H20"/>
      <selection pane="bottomRight" activeCell="F62" sqref="F6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1159</v>
      </c>
      <c r="B2" s="1044">
        <f>项目基本情况!D3</f>
        <v>45057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3"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3382</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底商</v>
      </c>
      <c r="B6" s="1712" t="str">
        <f>IF(A6=0,"","经营性")</f>
        <v>经营性</v>
      </c>
      <c r="C6" s="1713" t="s">
        <v>673</v>
      </c>
      <c r="D6" s="857">
        <f>SUMIF(项目基本情况!C$12:I$12,C6,项目基本情况!C$14:I$14)</f>
        <v>40</v>
      </c>
      <c r="E6" s="856">
        <f>IF(B6="","",SUMIF(项目基本情况!C$12:I$12,C6,项目基本情况!C$13:I$13))</f>
        <v>54742</v>
      </c>
      <c r="F6" s="64">
        <f>SUMIF(项目基本情况!C$12:I$12,C6,项目基本情况!C$15:I$15)</f>
        <v>26.53</v>
      </c>
      <c r="G6" s="65">
        <f>IF(ISERROR(ROUND(POWER(1+H6,D6-F6)*(POWER(1+H6,F6)-1)/(POWER(1+H6,D6)-1),3)),0,ROUND(POWER(1+H6,D6-F6)*(POWER(1+H6,F6)-1)/(POWER(1+H6,D6)-1),3))</f>
        <v>0.85899999999999999</v>
      </c>
      <c r="H6" s="731">
        <v>5.5E-2</v>
      </c>
      <c r="I6" s="731">
        <v>0.06</v>
      </c>
      <c r="J6" s="66">
        <v>7.0000000000000007E-2</v>
      </c>
      <c r="K6" s="1029">
        <f>SUMIF('数据-汇总表'!C$19:C$33,A6,'数据-汇总表'!E$19:E$33)</f>
        <v>402.39</v>
      </c>
      <c r="L6" s="732">
        <v>4000</v>
      </c>
      <c r="M6" s="67">
        <f t="shared" ref="M6:M14" si="0">ROUND(K6*L6/10000,0)</f>
        <v>161</v>
      </c>
      <c r="N6" s="730">
        <f>N19</f>
        <v>0.88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3">
        <f>U22</f>
        <v>7</v>
      </c>
      <c r="V6" s="70">
        <v>2.5000000000000001E-2</v>
      </c>
      <c r="W6" s="70">
        <v>0.1</v>
      </c>
      <c r="X6" s="1039"/>
      <c r="Y6" s="71">
        <f>N6</f>
        <v>0.88</v>
      </c>
      <c r="Z6" s="72"/>
      <c r="AA6" s="66"/>
      <c r="AB6" s="66"/>
      <c r="AC6" s="1039"/>
      <c r="AD6" s="73"/>
      <c r="AE6" s="1040">
        <f ca="1">IF(AN6="",0,SUMIF(INDIRECT("'"&amp;AN6&amp;"'"&amp;"!E:E"),$AE$5,INDIRECT("'"&amp;AN6&amp;"'"&amp;"!F:F")))</f>
        <v>26.53</v>
      </c>
      <c r="AF6" s="1347"/>
      <c r="AG6" s="138">
        <f>IF(AF6="",0,AE6-AF6)</f>
        <v>0</v>
      </c>
      <c r="AH6" s="74"/>
      <c r="AI6" s="76">
        <v>365</v>
      </c>
      <c r="AJ6" s="77"/>
      <c r="AK6" s="78">
        <v>0.01</v>
      </c>
      <c r="AL6" s="79">
        <v>1.5E-3</v>
      </c>
      <c r="AM6" s="80">
        <v>0.01</v>
      </c>
      <c r="AN6" s="1714" t="s">
        <v>3385</v>
      </c>
      <c r="AO6" s="52">
        <f ca="1">SUMIF(INDIRECT("'"&amp;AN6&amp;"'"&amp;"!A:A"),"总价",INDIRECT("'"&amp;AN6&amp;"'"&amp;"!B:B"))</f>
        <v>1255.0923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4"/>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0.85899999999999999</v>
      </c>
      <c r="H16" s="90">
        <f>ROUND(SUMPRODUCT(H6:H13,K6:K13)/SUMPRODUCT((H6:H13&gt;0)*(K6:K13)),3)</f>
        <v>5.5E-2</v>
      </c>
      <c r="I16" s="91"/>
      <c r="J16" s="91"/>
      <c r="K16" s="92">
        <f>SUM(K6:K15)</f>
        <v>402.39</v>
      </c>
      <c r="L16" s="93">
        <f>ROUND(M16*10000/SUM(K6:K14),0)</f>
        <v>4001</v>
      </c>
      <c r="M16" s="93">
        <f>SUM(M6:M14)</f>
        <v>161</v>
      </c>
      <c r="N16" s="94">
        <f>ROUND(SUMPRODUCT(M6:M14,N6:N14)/M16,3)</f>
        <v>0.88</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785" t="s">
        <v>3383</v>
      </c>
      <c r="N18" s="2666">
        <v>2016</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1209</v>
      </c>
      <c r="B19" s="103">
        <v>0</v>
      </c>
      <c r="C19" s="2794" t="s">
        <v>2295</v>
      </c>
      <c r="D19" s="2671"/>
      <c r="E19" s="2668"/>
      <c r="F19" s="2668"/>
      <c r="G19" s="2668"/>
      <c r="H19" s="2668"/>
      <c r="I19" s="2668"/>
      <c r="J19" s="2668"/>
      <c r="K19" s="2667"/>
      <c r="L19" s="2667"/>
      <c r="M19" s="3785" t="s">
        <v>3384</v>
      </c>
      <c r="N19" s="2666">
        <f>ROUND(1-(1-0%)*(2023-N18)/60,2)</f>
        <v>0.88</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1210</v>
      </c>
      <c r="B20" s="104">
        <v>2</v>
      </c>
      <c r="C20" s="2795" t="s">
        <v>2293</v>
      </c>
      <c r="D20" s="2671"/>
      <c r="E20" s="2668"/>
      <c r="F20" s="2668"/>
      <c r="G20" s="2668"/>
      <c r="H20" s="2668"/>
      <c r="I20" s="2668"/>
      <c r="J20" s="2668"/>
      <c r="K20" s="2667"/>
      <c r="L20" s="2667"/>
      <c r="M20" s="2666"/>
      <c r="N20" s="2666"/>
      <c r="O20" s="2666"/>
      <c r="P20" s="2666"/>
      <c r="Q20" s="2666"/>
      <c r="R20" s="2666"/>
      <c r="S20" s="2666"/>
      <c r="T20" s="2666"/>
      <c r="U20" s="2666">
        <v>514053</v>
      </c>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1211</v>
      </c>
      <c r="B21" s="104">
        <f>B20</f>
        <v>2</v>
      </c>
      <c r="C21" s="2668"/>
      <c r="D21" s="2671"/>
      <c r="E21" s="2668"/>
      <c r="F21" s="2668"/>
      <c r="G21" s="2668"/>
      <c r="H21" s="2668"/>
      <c r="I21" s="2668"/>
      <c r="J21" s="2668"/>
      <c r="K21" s="2667"/>
      <c r="L21" s="2667"/>
      <c r="M21" s="2666"/>
      <c r="N21" s="2666"/>
      <c r="O21" s="2666"/>
      <c r="P21" s="2666"/>
      <c r="Q21" s="2666"/>
      <c r="R21" s="2666"/>
      <c r="S21" s="2666"/>
      <c r="T21" s="2666"/>
      <c r="U21" s="2666">
        <f>U20*2</f>
        <v>1028106</v>
      </c>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1212</v>
      </c>
      <c r="B22" s="105">
        <f>B19+B20</f>
        <v>2</v>
      </c>
      <c r="C22" s="2668"/>
      <c r="D22" s="2671"/>
      <c r="E22" s="2668"/>
      <c r="F22" s="2668"/>
      <c r="G22" s="2668"/>
      <c r="H22" s="2668"/>
      <c r="I22" s="2668"/>
      <c r="J22" s="2668"/>
      <c r="K22" s="2667"/>
      <c r="L22" s="2667"/>
      <c r="M22" s="2666"/>
      <c r="N22" s="2666"/>
      <c r="O22" s="2666"/>
      <c r="P22" s="2666"/>
      <c r="Q22" s="2666"/>
      <c r="R22" s="2666"/>
      <c r="S22" s="2666"/>
      <c r="T22" s="2666"/>
      <c r="U22" s="2666">
        <f>ROUND(U21/K16/365,1)</f>
        <v>7</v>
      </c>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1213</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1214</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1215</v>
      </c>
      <c r="B26" s="1725" t="s">
        <v>1216</v>
      </c>
      <c r="C26" s="2672" t="s">
        <v>1217</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1218</v>
      </c>
      <c r="B27" s="107">
        <v>160</v>
      </c>
      <c r="C27" s="2796" t="s">
        <v>2297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ROUND(B28*K16/10000,2)</f>
        <v>8.0500000000000007</v>
      </c>
      <c r="C29" s="2797" t="s">
        <v>2284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180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180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8" t="s">
        <v>2285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8" t="s">
        <v>2286</v>
      </c>
      <c r="D34" s="2679" t="s">
        <v>2294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180</v>
      </c>
      <c r="C35" s="2798" t="s">
        <v>2287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8" t="s">
        <v>2288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1228</v>
      </c>
      <c r="B37" s="115">
        <v>0.02</v>
      </c>
      <c r="C37" s="2798" t="s">
        <v>2289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1229</v>
      </c>
      <c r="B38" s="113">
        <v>0.02</v>
      </c>
      <c r="C38" s="2798" t="s">
        <v>2289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7">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1234</v>
      </c>
      <c r="B44" s="119">
        <v>0.05</v>
      </c>
      <c r="C44" s="2798" t="s">
        <v>2298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1235</v>
      </c>
      <c r="B45" s="117">
        <v>0.03</v>
      </c>
      <c r="C45" s="2797" t="s">
        <v>2290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1236</v>
      </c>
      <c r="B46" s="117">
        <v>0.02</v>
      </c>
      <c r="C46" s="2797" t="s">
        <v>2291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1237</v>
      </c>
      <c r="B47" s="120">
        <v>0</v>
      </c>
      <c r="C47" s="2800" t="s">
        <v>2299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1238</v>
      </c>
      <c r="B48" s="121">
        <v>0.03</v>
      </c>
      <c r="C48" s="2797" t="s">
        <v>2290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1239</v>
      </c>
      <c r="B49" s="117">
        <v>5.0000000000000001E-4</v>
      </c>
      <c r="C49" s="2797" t="s">
        <v>2292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1243</v>
      </c>
      <c r="B53" s="1737" t="s">
        <v>29</v>
      </c>
      <c r="C53" s="2656" t="s">
        <v>1244</v>
      </c>
      <c r="D53" s="2799" t="s">
        <v>2296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H20" sqref="H20"/>
      <selection pane="topRight" activeCell="H20" sqref="H20"/>
      <selection pane="bottomLeft" activeCell="H20" sqref="H2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32" t="s">
        <v>2276</v>
      </c>
      <c r="B1" s="3533"/>
      <c r="C1" s="3533"/>
      <c r="D1" s="3533"/>
      <c r="E1" s="3533"/>
      <c r="F1" s="3533"/>
      <c r="G1" s="353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8"/>
      <c r="I2" s="798"/>
      <c r="J2" s="798"/>
      <c r="K2" s="798"/>
      <c r="L2" s="798"/>
      <c r="M2" s="798"/>
      <c r="N2" s="798"/>
      <c r="O2" s="798"/>
      <c r="P2" s="798"/>
      <c r="Q2" s="798"/>
      <c r="R2" s="798"/>
    </row>
    <row r="3" spans="1:29" ht="25.5">
      <c r="A3" s="2439" t="s">
        <v>2274</v>
      </c>
      <c r="B3" s="2461" t="s">
        <v>2246</v>
      </c>
      <c r="C3" s="3786" t="s">
        <v>3388</v>
      </c>
      <c r="D3" s="2462"/>
      <c r="E3" s="2440" t="s">
        <v>2274</v>
      </c>
      <c r="F3" s="2463" t="s">
        <v>2247</v>
      </c>
      <c r="G3" s="2464" t="s">
        <v>2275</v>
      </c>
      <c r="H3" s="798"/>
      <c r="I3" s="798"/>
      <c r="J3" s="798"/>
      <c r="K3" s="798"/>
      <c r="L3" s="798"/>
      <c r="M3" s="798"/>
      <c r="N3" s="798"/>
      <c r="O3" s="798"/>
      <c r="P3" s="798"/>
      <c r="Q3" s="798"/>
      <c r="R3" s="798"/>
    </row>
    <row r="4" spans="1:29" ht="36">
      <c r="A4" s="2440"/>
      <c r="B4" s="323" t="s">
        <v>2248</v>
      </c>
      <c r="C4" s="3787" t="s">
        <v>3389</v>
      </c>
      <c r="D4" s="2462"/>
      <c r="E4" s="2465"/>
      <c r="F4" s="1372" t="s">
        <v>2249</v>
      </c>
      <c r="G4" s="2466" t="s">
        <v>2250</v>
      </c>
      <c r="H4" s="798"/>
      <c r="I4" s="798"/>
      <c r="J4" s="798"/>
      <c r="K4" s="798"/>
      <c r="L4" s="798"/>
      <c r="M4" s="798"/>
      <c r="N4" s="798"/>
      <c r="O4" s="798"/>
      <c r="P4" s="798"/>
      <c r="Q4" s="798"/>
      <c r="R4" s="798"/>
    </row>
    <row r="5" spans="1:29" ht="24">
      <c r="A5" s="2440"/>
      <c r="B5" s="323" t="s">
        <v>2251</v>
      </c>
      <c r="C5" s="3787" t="s">
        <v>3391</v>
      </c>
      <c r="D5" s="2462"/>
      <c r="E5" s="2465"/>
      <c r="F5" s="323" t="s">
        <v>2252</v>
      </c>
      <c r="G5" s="2466" t="s">
        <v>2253</v>
      </c>
      <c r="H5" s="798"/>
      <c r="I5" s="798"/>
      <c r="J5" s="798"/>
      <c r="K5" s="798"/>
      <c r="L5" s="798"/>
      <c r="M5" s="798"/>
      <c r="N5" s="798"/>
      <c r="O5" s="798"/>
      <c r="P5" s="798"/>
      <c r="Q5" s="798"/>
      <c r="R5" s="798"/>
    </row>
    <row r="6" spans="1:29">
      <c r="A6" s="2440"/>
      <c r="B6" s="323" t="s">
        <v>2254</v>
      </c>
      <c r="C6" s="3788" t="s">
        <v>3392</v>
      </c>
      <c r="D6" s="2462"/>
      <c r="E6" s="2465"/>
      <c r="F6" s="323" t="s">
        <v>2255</v>
      </c>
      <c r="G6" s="2466" t="s">
        <v>2256</v>
      </c>
      <c r="H6" s="798"/>
      <c r="I6" s="798"/>
      <c r="J6" s="798"/>
      <c r="K6" s="798"/>
      <c r="L6" s="798"/>
      <c r="M6" s="798"/>
      <c r="N6" s="798"/>
      <c r="O6" s="798"/>
      <c r="P6" s="798"/>
      <c r="Q6" s="798"/>
      <c r="R6" s="798"/>
    </row>
    <row r="7" spans="1:29" ht="24.75" thickBot="1">
      <c r="A7" s="2440"/>
      <c r="B7" s="323" t="s">
        <v>2252</v>
      </c>
      <c r="C7" s="3788" t="s">
        <v>3392</v>
      </c>
      <c r="D7" s="2467"/>
      <c r="E7" s="2468"/>
      <c r="F7" s="2469" t="s">
        <v>2257</v>
      </c>
      <c r="G7" s="2470" t="s">
        <v>2258</v>
      </c>
      <c r="H7" s="798"/>
      <c r="I7" s="798"/>
      <c r="J7" s="798"/>
      <c r="K7" s="798"/>
      <c r="L7" s="798"/>
      <c r="M7" s="798"/>
      <c r="N7" s="798"/>
      <c r="O7" s="798"/>
      <c r="P7" s="798"/>
      <c r="Q7" s="798"/>
      <c r="R7" s="798"/>
    </row>
    <row r="8" spans="1:29">
      <c r="A8" s="2440"/>
      <c r="B8" s="323" t="s">
        <v>2255</v>
      </c>
      <c r="C8" s="3788" t="s">
        <v>3394</v>
      </c>
      <c r="D8" s="2467"/>
      <c r="E8" s="2467"/>
      <c r="F8" s="2471"/>
      <c r="G8" s="2471"/>
      <c r="H8" s="798"/>
      <c r="I8" s="798"/>
      <c r="J8" s="798"/>
      <c r="K8" s="798"/>
      <c r="L8" s="798"/>
      <c r="M8" s="798"/>
      <c r="N8" s="798"/>
      <c r="O8" s="798"/>
      <c r="P8" s="798"/>
      <c r="Q8" s="798"/>
      <c r="R8" s="798"/>
    </row>
    <row r="9" spans="1:29">
      <c r="A9" s="2440"/>
      <c r="B9" s="323" t="s">
        <v>2259</v>
      </c>
      <c r="C9" s="3787" t="s">
        <v>3395</v>
      </c>
      <c r="D9" s="2462"/>
      <c r="E9" s="2467"/>
      <c r="F9" s="2471"/>
      <c r="G9" s="2471"/>
      <c r="H9" s="798"/>
      <c r="I9" s="798"/>
      <c r="J9" s="798"/>
      <c r="K9" s="798"/>
      <c r="L9" s="798"/>
      <c r="M9" s="798"/>
      <c r="N9" s="798"/>
      <c r="O9" s="798"/>
      <c r="P9" s="798"/>
      <c r="Q9" s="798"/>
      <c r="R9" s="798"/>
    </row>
    <row r="10" spans="1:29" s="2477" customFormat="1" ht="15" thickBot="1">
      <c r="A10" s="2441"/>
      <c r="B10" s="2472" t="s">
        <v>2260</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2277</v>
      </c>
      <c r="B13" s="2480"/>
      <c r="C13" s="2480"/>
      <c r="D13" s="2478"/>
      <c r="E13" s="2480"/>
      <c r="F13" s="2480"/>
      <c r="G13" s="2480"/>
    </row>
    <row r="14" spans="1:29" ht="15" thickBot="1">
      <c r="A14" s="2490"/>
      <c r="B14" s="2490"/>
      <c r="C14" s="2491" t="s">
        <v>2261</v>
      </c>
      <c r="D14" s="2462"/>
      <c r="E14" s="2492"/>
      <c r="F14" s="2492"/>
      <c r="G14" s="2458" t="s">
        <v>2262</v>
      </c>
    </row>
    <row r="15" spans="1:29" ht="51">
      <c r="A15" s="2442" t="s">
        <v>2263</v>
      </c>
      <c r="B15" s="2493" t="s">
        <v>2246</v>
      </c>
      <c r="C15" s="2494" t="str">
        <f>C3</f>
        <v>较好</v>
      </c>
      <c r="D15" s="2462"/>
      <c r="E15" s="2443" t="s">
        <v>2264</v>
      </c>
      <c r="F15" s="2493" t="s">
        <v>2265</v>
      </c>
      <c r="G15" s="2495" t="str">
        <f>G3</f>
        <v>估价对象位于XX开发区，园区建设成熟度XX，产业集聚程度XX</v>
      </c>
    </row>
    <row r="16" spans="1:29" ht="38.25">
      <c r="A16" s="2444"/>
      <c r="B16" s="2496" t="s">
        <v>2248</v>
      </c>
      <c r="C16" s="2497" t="str">
        <f>C4</f>
        <v>较好</v>
      </c>
      <c r="D16" s="2462"/>
      <c r="E16" s="2445"/>
      <c r="F16" s="2498" t="s">
        <v>2249</v>
      </c>
      <c r="G16" s="2499" t="str">
        <f>G4</f>
        <v>估价对象周边道路状况、公共交通通达情况、停车便捷程度，综合评价交通便捷度较好</v>
      </c>
    </row>
    <row r="17" spans="1:18" ht="38.25">
      <c r="A17" s="2444"/>
      <c r="B17" s="2496" t="s">
        <v>2251</v>
      </c>
      <c r="C17" s="2497" t="str">
        <f>C5</f>
        <v>一般</v>
      </c>
      <c r="D17" s="2467"/>
      <c r="E17" s="2445"/>
      <c r="F17" s="2498" t="s">
        <v>2266</v>
      </c>
      <c r="G17" s="2500"/>
    </row>
    <row r="18" spans="1:18" ht="38.25">
      <c r="A18" s="2444"/>
      <c r="B18" s="2498" t="s">
        <v>2254</v>
      </c>
      <c r="C18" s="2499" t="str">
        <f>C6</f>
        <v>较好</v>
      </c>
      <c r="D18" s="2467"/>
      <c r="E18" s="2445"/>
      <c r="F18" s="2498" t="s">
        <v>2257</v>
      </c>
      <c r="G18" s="2499" t="str">
        <f>G7</f>
        <v>该园区内是否有污染型企业，绿化情况，卫生条件，整体环境状况判断</v>
      </c>
    </row>
    <row r="19" spans="1:18" ht="25.5">
      <c r="A19" s="2444"/>
      <c r="B19" s="2498" t="s">
        <v>2267</v>
      </c>
      <c r="C19" s="2500"/>
      <c r="D19" s="2462"/>
      <c r="E19" s="2445"/>
      <c r="F19" s="323" t="s">
        <v>2252</v>
      </c>
      <c r="G19" s="2499" t="str">
        <f>G5</f>
        <v>估价对象所在区域公共配套设施齐备情况</v>
      </c>
    </row>
    <row r="20" spans="1:18" ht="25.5">
      <c r="A20" s="2444"/>
      <c r="B20" s="2498" t="s">
        <v>2268</v>
      </c>
      <c r="C20" s="2497" t="str">
        <f>C9</f>
        <v>一般</v>
      </c>
      <c r="D20" s="2467"/>
      <c r="E20" s="2445"/>
      <c r="F20" s="323" t="s">
        <v>2255</v>
      </c>
      <c r="G20" s="2499" t="str">
        <f>G6</f>
        <v>估价对象所在区域基础设施水平</v>
      </c>
    </row>
    <row r="21" spans="1:18" ht="25.5">
      <c r="A21" s="2444"/>
      <c r="B21" s="323" t="s">
        <v>2252</v>
      </c>
      <c r="C21" s="2499" t="str">
        <f>C7</f>
        <v>较好</v>
      </c>
      <c r="D21" s="2462"/>
      <c r="E21" s="2445"/>
      <c r="F21" s="2498" t="s">
        <v>2269</v>
      </c>
      <c r="G21" s="2501"/>
    </row>
    <row r="22" spans="1:18" ht="13.5" customHeight="1">
      <c r="A22" s="2444"/>
      <c r="B22" s="323" t="s">
        <v>2255</v>
      </c>
      <c r="C22" s="2499" t="str">
        <f>C8</f>
        <v>七通</v>
      </c>
      <c r="D22" s="2462"/>
      <c r="E22" s="2445"/>
      <c r="F22" s="2498" t="s">
        <v>2260</v>
      </c>
      <c r="G22" s="2500"/>
    </row>
    <row r="23" spans="1:18" s="798" customFormat="1" ht="15" thickBot="1">
      <c r="A23" s="2444"/>
      <c r="B23" s="2498" t="s">
        <v>2269</v>
      </c>
      <c r="C23" s="2501"/>
      <c r="D23" s="1740"/>
      <c r="E23" s="2446"/>
      <c r="F23" s="2502" t="s">
        <v>2270</v>
      </c>
      <c r="G23" s="2503"/>
      <c r="H23" s="2487"/>
      <c r="I23" s="2488"/>
      <c r="J23" s="2487"/>
      <c r="K23" s="2487"/>
      <c r="L23" s="2488"/>
      <c r="M23" s="2487"/>
      <c r="N23" s="2487"/>
      <c r="O23" s="2488"/>
      <c r="P23" s="2487"/>
      <c r="Q23" s="2487"/>
      <c r="R23" s="2489"/>
    </row>
    <row r="24" spans="1:18" s="798" customFormat="1" ht="15" thickBot="1">
      <c r="A24" s="2447"/>
      <c r="B24" s="2502" t="s">
        <v>2271</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402.39</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45057</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1359</v>
      </c>
      <c r="C5" s="2508">
        <f ca="1">IF(B5=D14,结果表!H102,ROUND(B5*10000/$B$1,0))</f>
        <v>33782</v>
      </c>
      <c r="D5" s="2508" t="e">
        <f ca="1">ROUND(B5*10000/$B$2,0)</f>
        <v>#DIV/0!</v>
      </c>
      <c r="E5" s="2681"/>
      <c r="F5" s="2682"/>
      <c r="G5" s="2682"/>
      <c r="H5" s="2683"/>
      <c r="I5" s="2683"/>
      <c r="J5" s="2683"/>
      <c r="K5" s="2683"/>
    </row>
    <row r="6" spans="1:11" ht="16.5">
      <c r="A6" s="2508" t="s">
        <v>656</v>
      </c>
      <c r="B6" s="2508">
        <f ca="1">SUM(G14:G23)</f>
        <v>1359</v>
      </c>
      <c r="C6" s="2508">
        <f ca="1">IF(B6=G14,结果表!H108,ROUND(B6*10000/$B$1,0))</f>
        <v>33782</v>
      </c>
      <c r="D6" s="2508" t="e">
        <f ca="1">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3351</v>
      </c>
      <c r="D10" s="2508" t="s">
        <v>3352</v>
      </c>
      <c r="E10" s="3436"/>
      <c r="F10" s="3440" t="s">
        <v>3353</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典型户型修正!B24</f>
        <v>402.39</v>
      </c>
      <c r="C14" s="2514"/>
      <c r="D14" s="2514">
        <f ca="1">典型户型修正!S24</f>
        <v>1359</v>
      </c>
      <c r="E14" s="2514">
        <f ca="1">ROUND(D14*10000/B14,0)</f>
        <v>33773</v>
      </c>
      <c r="F14" s="2514" t="e">
        <f ca="1">ROUND(D14*10000/C14,0)</f>
        <v>#DIV/0!</v>
      </c>
      <c r="G14" s="2514">
        <f ca="1">D14</f>
        <v>1359</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0"/>
      <c r="H15" s="1330"/>
      <c r="I15" s="2515"/>
      <c r="J15" s="2682"/>
      <c r="K15" s="2683"/>
    </row>
    <row r="16" spans="1:11" ht="16.5">
      <c r="A16" s="2513" t="s">
        <v>648</v>
      </c>
      <c r="B16" s="2515"/>
      <c r="C16" s="2515"/>
      <c r="D16" s="2515"/>
      <c r="E16" s="2514" t="e">
        <f t="shared" si="0"/>
        <v>#DIV/0!</v>
      </c>
      <c r="F16" s="2514" t="e">
        <f t="shared" si="1"/>
        <v>#DIV/0!</v>
      </c>
      <c r="G16" s="1330"/>
      <c r="H16" s="1330"/>
      <c r="I16" s="2515"/>
      <c r="J16" s="2683"/>
      <c r="K16" s="2683"/>
    </row>
    <row r="17" spans="1:11" ht="16.5">
      <c r="A17" s="2513" t="s">
        <v>647</v>
      </c>
      <c r="B17" s="2515"/>
      <c r="C17" s="2515"/>
      <c r="D17" s="2515"/>
      <c r="E17" s="2514" t="e">
        <f t="shared" si="0"/>
        <v>#DIV/0!</v>
      </c>
      <c r="F17" s="2514" t="e">
        <f t="shared" si="1"/>
        <v>#DIV/0!</v>
      </c>
      <c r="G17" s="1330"/>
      <c r="H17" s="1330"/>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3380</v>
      </c>
      <c r="D1" s="1746"/>
      <c r="E1" s="1746"/>
      <c r="F1" s="1748" t="s">
        <v>1261</v>
      </c>
      <c r="G1" s="1560" t="s">
        <v>3377</v>
      </c>
      <c r="H1" s="1749" t="str">
        <f>IF(G1="现房","——","估价对象范围")</f>
        <v>——</v>
      </c>
      <c r="I1" s="1750"/>
    </row>
    <row r="2" spans="1:12" ht="21.75" customHeight="1" thickBot="1">
      <c r="A2" s="3568" t="str">
        <f>项目基本情况!S2</f>
        <v>北京市房山区怡和南路8号院8号楼1层101房地产</v>
      </c>
      <c r="B2" s="3569"/>
      <c r="C2" s="3569"/>
      <c r="D2" s="3569"/>
      <c r="E2" s="3569"/>
      <c r="F2" s="3569"/>
      <c r="G2" s="3569"/>
      <c r="H2" s="3569"/>
      <c r="I2" s="3570"/>
    </row>
    <row r="3" spans="1:12" ht="12.75">
      <c r="A3" s="3572" t="s">
        <v>1262</v>
      </c>
      <c r="B3" s="3573"/>
      <c r="C3" s="3573"/>
      <c r="D3" s="3573"/>
      <c r="E3" s="3573"/>
      <c r="F3" s="3573"/>
      <c r="G3" s="3573"/>
      <c r="H3" s="3573"/>
      <c r="I3" s="3573"/>
    </row>
    <row r="4" spans="1:12" ht="14.25">
      <c r="A4" s="1753" t="s">
        <v>1263</v>
      </c>
      <c r="B4" s="1754" t="s">
        <v>1264</v>
      </c>
      <c r="C4" s="1755" t="s">
        <v>3449</v>
      </c>
      <c r="D4" s="1755" t="s">
        <v>3385</v>
      </c>
      <c r="E4" s="3574" t="s">
        <v>1265</v>
      </c>
      <c r="F4" s="3575"/>
      <c r="G4" s="3575"/>
      <c r="H4" s="3575"/>
      <c r="I4" s="357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8" t="s">
        <v>1266</v>
      </c>
      <c r="B5" s="3535">
        <v>25</v>
      </c>
      <c r="C5" s="3551"/>
      <c r="D5" s="3571"/>
      <c r="E5" s="131" t="s">
        <v>1267</v>
      </c>
      <c r="F5" s="1756"/>
      <c r="G5" s="1756"/>
      <c r="H5" s="1756"/>
      <c r="I5" s="1372"/>
    </row>
    <row r="6" spans="1:12" ht="12.75">
      <c r="A6" s="3548"/>
      <c r="B6" s="3535"/>
      <c r="C6" s="3552"/>
      <c r="D6" s="3571"/>
      <c r="E6" s="131" t="s">
        <v>1268</v>
      </c>
      <c r="F6" s="1756"/>
      <c r="G6" s="1756"/>
      <c r="H6" s="1756"/>
      <c r="I6" s="1372"/>
    </row>
    <row r="7" spans="1:12" ht="12.75">
      <c r="A7" s="3548"/>
      <c r="B7" s="3535"/>
      <c r="C7" s="3553"/>
      <c r="D7" s="3571"/>
      <c r="E7" s="131" t="s">
        <v>1269</v>
      </c>
      <c r="F7" s="1756"/>
      <c r="G7" s="1756"/>
      <c r="H7" s="1756"/>
      <c r="I7" s="1372"/>
    </row>
    <row r="8" spans="1:12" ht="12.75">
      <c r="A8" s="3548" t="s">
        <v>1270</v>
      </c>
      <c r="B8" s="3535">
        <v>15</v>
      </c>
      <c r="C8" s="3551"/>
      <c r="D8" s="3571"/>
      <c r="E8" s="131" t="s">
        <v>1271</v>
      </c>
      <c r="F8" s="1756"/>
      <c r="G8" s="1756"/>
      <c r="H8" s="1756"/>
      <c r="I8" s="1372"/>
    </row>
    <row r="9" spans="1:12" ht="12.75">
      <c r="A9" s="3548"/>
      <c r="B9" s="3535"/>
      <c r="C9" s="3553"/>
      <c r="D9" s="3571"/>
      <c r="E9" s="131" t="s">
        <v>1272</v>
      </c>
      <c r="F9" s="1756"/>
      <c r="G9" s="1756"/>
      <c r="H9" s="1756"/>
      <c r="I9" s="1372"/>
    </row>
    <row r="10" spans="1:12" ht="12.75">
      <c r="A10" s="3548" t="s">
        <v>1273</v>
      </c>
      <c r="B10" s="3535">
        <v>15</v>
      </c>
      <c r="C10" s="3551"/>
      <c r="D10" s="3571"/>
      <c r="E10" s="131" t="s">
        <v>1274</v>
      </c>
      <c r="F10" s="1756"/>
      <c r="G10" s="1756"/>
      <c r="H10" s="1756"/>
      <c r="I10" s="1372"/>
    </row>
    <row r="11" spans="1:12" ht="12.75">
      <c r="A11" s="3548"/>
      <c r="B11" s="3535"/>
      <c r="C11" s="3553"/>
      <c r="D11" s="3571"/>
      <c r="E11" s="131" t="s">
        <v>1275</v>
      </c>
      <c r="F11" s="1756"/>
      <c r="G11" s="1756"/>
      <c r="H11" s="1756"/>
      <c r="I11" s="1372"/>
    </row>
    <row r="12" spans="1:12" ht="12.75">
      <c r="A12" s="3548" t="s">
        <v>1276</v>
      </c>
      <c r="B12" s="3535">
        <v>15</v>
      </c>
      <c r="C12" s="3551"/>
      <c r="D12" s="3571"/>
      <c r="E12" s="131" t="s">
        <v>1277</v>
      </c>
      <c r="F12" s="1756"/>
      <c r="G12" s="1756"/>
      <c r="H12" s="1756"/>
      <c r="I12" s="1372"/>
    </row>
    <row r="13" spans="1:12" ht="12.75">
      <c r="A13" s="3548"/>
      <c r="B13" s="3535"/>
      <c r="C13" s="3553"/>
      <c r="D13" s="3571"/>
      <c r="E13" s="131" t="s">
        <v>1278</v>
      </c>
      <c r="F13" s="1756"/>
      <c r="G13" s="1756"/>
      <c r="H13" s="1756"/>
      <c r="I13" s="1372"/>
    </row>
    <row r="14" spans="1:12" ht="12.75">
      <c r="A14" s="3548" t="s">
        <v>1279</v>
      </c>
      <c r="B14" s="3535">
        <v>30</v>
      </c>
      <c r="C14" s="3551">
        <v>5</v>
      </c>
      <c r="D14" s="3571">
        <v>5</v>
      </c>
      <c r="E14" s="131" t="s">
        <v>1280</v>
      </c>
      <c r="F14" s="1756"/>
      <c r="G14" s="1756"/>
      <c r="H14" s="1756"/>
      <c r="I14" s="1372"/>
    </row>
    <row r="15" spans="1:12" ht="12.75">
      <c r="A15" s="3548"/>
      <c r="B15" s="3535"/>
      <c r="C15" s="3552"/>
      <c r="D15" s="3571"/>
      <c r="E15" s="131" t="s">
        <v>1281</v>
      </c>
      <c r="F15" s="1756"/>
      <c r="G15" s="1756"/>
      <c r="H15" s="1756"/>
      <c r="I15" s="1372"/>
    </row>
    <row r="16" spans="1:12" ht="12.75">
      <c r="A16" s="3548"/>
      <c r="B16" s="3535"/>
      <c r="C16" s="3553"/>
      <c r="D16" s="3571"/>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558" t="s">
        <v>2128</v>
      </c>
      <c r="F18" s="3559"/>
      <c r="G18" s="3559"/>
      <c r="H18" s="3559"/>
      <c r="I18" s="3559"/>
      <c r="K18" s="302" t="s">
        <v>1287</v>
      </c>
      <c r="L18" s="302">
        <f>IF(C1="",'数据-汇总表'!E3,SUMIF(项目类型,C1,'数据-汇总表'!E17:E26)+SUMIF(项目类型,C1,'数据-汇总表'!I17:I26))</f>
        <v>402.39</v>
      </c>
      <c r="M18" s="302">
        <f>IF(C1="",'数据-汇总表'!E3,SUMIF(项目类型,C1,'数据-汇总表'!E17:E26))</f>
        <v>402.39</v>
      </c>
    </row>
    <row r="19" spans="1:36" ht="15">
      <c r="A19" s="1760" t="s">
        <v>1288</v>
      </c>
      <c r="B19" s="1761" t="s">
        <v>1289</v>
      </c>
      <c r="C19" s="134">
        <f ca="1">SUMIF(INDIRECT("'"&amp;C4&amp;"'"&amp;"!A:A"),结果表!B19,INDIRECT("'"&amp;C4&amp;"'"&amp;"!B:B"))</f>
        <v>1463.5728999999999</v>
      </c>
      <c r="D19" s="135">
        <f ca="1">SUMIF(INDIRECT("'"&amp;D4&amp;"'"&amp;"!A:A"),结果表!B19,INDIRECT("'"&amp;D4&amp;"'"&amp;"!B:B"))</f>
        <v>1255.0923</v>
      </c>
      <c r="E19" s="1760" t="s">
        <v>1290</v>
      </c>
      <c r="F19" s="1761" t="s">
        <v>1289</v>
      </c>
      <c r="G19" s="136">
        <f ca="1">ROUND(C19*$C$18+D19*$D$18,0)</f>
        <v>1359</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36372</v>
      </c>
      <c r="D20" s="138">
        <f ca="1">SUMIF(INDIRECT("'"&amp;D4&amp;"'"&amp;"!A:A"),结果表!B20,INDIRECT("'"&amp;D4&amp;"'"&amp;"!B:B"))</f>
        <v>31191</v>
      </c>
      <c r="E20" s="1763"/>
      <c r="F20" s="1025" t="s">
        <v>1293</v>
      </c>
      <c r="G20" s="139">
        <f ca="1">ROUND(C20*$C$18+D20*$D$18,0)</f>
        <v>33782</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0.16610778346739896</v>
      </c>
      <c r="E22" s="129"/>
      <c r="F22" s="129"/>
      <c r="G22" s="129"/>
      <c r="H22" s="129"/>
      <c r="I22" s="129"/>
    </row>
    <row r="23" spans="1:36" ht="13.5" thickBot="1">
      <c r="A23" s="1746"/>
      <c r="B23" s="1746"/>
      <c r="C23" s="1746"/>
      <c r="D23" s="1746"/>
      <c r="E23" s="129"/>
      <c r="F23" s="129"/>
      <c r="G23" s="129"/>
      <c r="H23" s="129"/>
      <c r="I23" s="129"/>
    </row>
    <row r="24" spans="1:36" ht="14.25">
      <c r="A24" s="3542" t="s">
        <v>1297</v>
      </c>
      <c r="B24" s="1761" t="s">
        <v>1289</v>
      </c>
      <c r="C24" s="136">
        <f>IF(B30=0,0,D30)</f>
        <v>0</v>
      </c>
      <c r="D24" s="1768"/>
      <c r="E24" s="129"/>
      <c r="F24" s="129"/>
      <c r="G24" s="129"/>
      <c r="H24" s="129"/>
      <c r="I24" s="129"/>
    </row>
    <row r="25" spans="1:36" ht="14.25">
      <c r="A25" s="3543"/>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33782</v>
      </c>
      <c r="D32" s="1774" t="s">
        <v>3450</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562" t="s">
        <v>1310</v>
      </c>
      <c r="B36" s="1786" t="s">
        <v>1311</v>
      </c>
      <c r="C36" s="145"/>
      <c r="D36" s="1787"/>
      <c r="E36" s="1788"/>
      <c r="F36" s="1789"/>
      <c r="G36" s="129"/>
      <c r="H36" s="129"/>
      <c r="I36" s="129"/>
    </row>
    <row r="37" spans="1:15" ht="15.75" thickBot="1">
      <c r="A37" s="3563"/>
      <c r="B37" s="1673" t="s">
        <v>1312</v>
      </c>
      <c r="C37" s="147"/>
      <c r="D37" s="1138"/>
      <c r="E37" s="1138"/>
      <c r="F37" s="1789"/>
      <c r="G37" s="129"/>
      <c r="H37" s="129"/>
      <c r="I37" s="129"/>
    </row>
    <row r="38" spans="1:15" ht="15.75" thickBot="1">
      <c r="A38" s="3564"/>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539" t="s">
        <v>1324</v>
      </c>
      <c r="B45" s="3540"/>
      <c r="C45" s="3541"/>
      <c r="D45" s="155">
        <f ca="1">ROUND(H101*F45,0)</f>
        <v>1359</v>
      </c>
      <c r="E45" s="156" t="s">
        <v>1325</v>
      </c>
      <c r="F45" s="157">
        <v>1</v>
      </c>
      <c r="G45" s="158" t="s">
        <v>1326</v>
      </c>
      <c r="H45" s="129"/>
      <c r="I45" s="129"/>
      <c r="J45" s="3617" t="s">
        <v>1327</v>
      </c>
      <c r="K45" s="3617"/>
      <c r="L45" s="3617"/>
      <c r="M45" s="3617"/>
      <c r="N45" s="3617"/>
      <c r="O45" s="3617"/>
    </row>
    <row r="46" spans="1:15" ht="14.25" hidden="1" customHeight="1">
      <c r="A46" s="3536" t="s">
        <v>1328</v>
      </c>
      <c r="B46" s="3537"/>
      <c r="C46" s="3537"/>
      <c r="D46" s="3537"/>
      <c r="E46" s="3537"/>
      <c r="F46" s="3537"/>
      <c r="G46" s="3538"/>
      <c r="H46" s="1805"/>
      <c r="I46" s="159"/>
      <c r="J46" s="2519">
        <v>1</v>
      </c>
      <c r="K46" s="3598" t="s">
        <v>1329</v>
      </c>
      <c r="L46" s="3598"/>
      <c r="M46" s="3618"/>
      <c r="N46" s="3618"/>
      <c r="O46" s="3618"/>
    </row>
    <row r="47" spans="1:15" ht="12" hidden="1" customHeight="1">
      <c r="A47" s="160" t="s">
        <v>1330</v>
      </c>
      <c r="B47" s="161"/>
      <c r="C47" s="162"/>
      <c r="D47" s="1086" t="s">
        <v>1331</v>
      </c>
      <c r="E47" s="302" t="s">
        <v>1332</v>
      </c>
      <c r="F47" s="163" t="s">
        <v>1333</v>
      </c>
      <c r="G47" s="2542" t="s">
        <v>1334</v>
      </c>
      <c r="H47" s="2543"/>
      <c r="I47" s="159"/>
      <c r="J47" s="2519">
        <v>2</v>
      </c>
      <c r="K47" s="3598" t="s">
        <v>1335</v>
      </c>
      <c r="L47" s="3598"/>
      <c r="M47" s="3619">
        <f>'数据-取费表'!B2</f>
        <v>45057</v>
      </c>
      <c r="N47" s="3619"/>
      <c r="O47" s="3619"/>
    </row>
    <row r="48" spans="1:15" ht="25.5" hidden="1">
      <c r="A48" s="3567" t="s">
        <v>1336</v>
      </c>
      <c r="B48" s="3550"/>
      <c r="C48" s="3550"/>
      <c r="D48" s="2323" t="b">
        <f>IF(H48="情况1",0,IF(H48="情况2",D52,IF(H48="情况3",D53,IF(H48="情况4",D54))))</f>
        <v>0</v>
      </c>
      <c r="E48" s="2333" t="str">
        <f>IF(H48="情况4","(销售额-原购置价)×税（费）率","销售额×税（费）率")</f>
        <v>销售额×税（费）率</v>
      </c>
      <c r="F48" s="2544">
        <f>IF(H48="情况1","免征",'数据-取费表'!B41)</f>
        <v>5.5000000000000007E-2</v>
      </c>
      <c r="G48" s="2545" t="s">
        <v>1337</v>
      </c>
      <c r="H48" s="2546"/>
      <c r="I48" s="1805"/>
      <c r="J48" s="2519">
        <v>3</v>
      </c>
      <c r="K48" s="3598" t="s">
        <v>1338</v>
      </c>
      <c r="L48" s="3598"/>
      <c r="M48" s="3620">
        <f ca="1">H101</f>
        <v>1359</v>
      </c>
      <c r="N48" s="3620"/>
      <c r="O48" s="3620"/>
    </row>
    <row r="49" spans="1:35" ht="25.5" hidden="1" customHeight="1">
      <c r="A49" s="2332" t="s">
        <v>1339</v>
      </c>
      <c r="B49" s="3534" t="s">
        <v>1340</v>
      </c>
      <c r="C49" s="3534"/>
      <c r="D49" s="1589">
        <v>0</v>
      </c>
      <c r="E49" s="324" t="s">
        <v>1341</v>
      </c>
      <c r="F49" s="2422" t="s">
        <v>28</v>
      </c>
      <c r="G49" s="3604"/>
      <c r="H49" s="2309" t="s">
        <v>2131</v>
      </c>
      <c r="I49" s="2310"/>
      <c r="J49" s="2519">
        <v>4</v>
      </c>
      <c r="K49" s="3598" t="str">
        <f>IF(项目基本情况!E8="房地产抵押价值","房地产抵押价值","抵押担保权已注销时的房地产抵押价值")</f>
        <v>房地产抵押价值</v>
      </c>
      <c r="L49" s="3598"/>
      <c r="M49" s="3620">
        <f ca="1">IF(项目基本情况!E8="房地产抵押价值",H107,H109)</f>
        <v>1359</v>
      </c>
      <c r="N49" s="3620"/>
      <c r="O49" s="3620"/>
    </row>
    <row r="50" spans="1:35" ht="25.5" hidden="1" customHeight="1">
      <c r="A50" s="2547"/>
      <c r="B50" s="3534" t="s">
        <v>1342</v>
      </c>
      <c r="C50" s="3534"/>
      <c r="D50" s="2548"/>
      <c r="E50" s="332"/>
      <c r="F50" s="2422"/>
      <c r="G50" s="3605"/>
      <c r="H50" s="2311" t="s">
        <v>2132</v>
      </c>
      <c r="I50" s="2310"/>
      <c r="J50" s="3617" t="s">
        <v>1343</v>
      </c>
      <c r="K50" s="3617"/>
      <c r="L50" s="3617"/>
      <c r="M50" s="3617"/>
      <c r="N50" s="3617"/>
      <c r="O50" s="3617"/>
    </row>
    <row r="51" spans="1:35" ht="20.45" hidden="1" customHeight="1">
      <c r="A51" s="2549"/>
      <c r="B51" s="3534" t="s">
        <v>1344</v>
      </c>
      <c r="C51" s="3534"/>
      <c r="D51" s="1086"/>
      <c r="E51" s="327"/>
      <c r="F51" s="2422"/>
      <c r="G51" s="3606"/>
      <c r="H51" s="2311" t="s">
        <v>2133</v>
      </c>
      <c r="I51" s="2310"/>
      <c r="J51" s="2520" t="s">
        <v>1345</v>
      </c>
      <c r="K51" s="3598" t="s">
        <v>1346</v>
      </c>
      <c r="L51" s="3598"/>
      <c r="M51" s="2520" t="s">
        <v>1347</v>
      </c>
      <c r="N51" s="2520" t="s">
        <v>1348</v>
      </c>
      <c r="O51" s="2520" t="s">
        <v>1349</v>
      </c>
    </row>
    <row r="52" spans="1:35" ht="24" hidden="1" customHeight="1">
      <c r="A52" s="2334" t="s">
        <v>1350</v>
      </c>
      <c r="B52" s="3534" t="s">
        <v>1351</v>
      </c>
      <c r="C52" s="3534"/>
      <c r="D52" s="1086">
        <f ca="1">ROUND(D45*'数据-取费表'!B41/(1+'数据-取费表'!C42),0)</f>
        <v>71</v>
      </c>
      <c r="E52" s="2333" t="s">
        <v>1352</v>
      </c>
      <c r="F52" s="2550">
        <f>'数据-取费表'!B41</f>
        <v>5.5000000000000007E-2</v>
      </c>
      <c r="G52" s="2551"/>
      <c r="H52" s="2540"/>
      <c r="I52" s="1806"/>
      <c r="J52" s="2519">
        <v>1</v>
      </c>
      <c r="K52" s="3599" t="s">
        <v>1353</v>
      </c>
      <c r="L52" s="3599"/>
      <c r="M52" s="2521" t="b">
        <f>D48</f>
        <v>0</v>
      </c>
      <c r="N52" s="2519" t="str">
        <f>E48</f>
        <v>销售额×税（费）率</v>
      </c>
      <c r="O52" s="2522">
        <f>F48</f>
        <v>5.5000000000000007E-2</v>
      </c>
    </row>
    <row r="53" spans="1:35" ht="12" hidden="1" customHeight="1">
      <c r="A53" s="2334" t="s">
        <v>1354</v>
      </c>
      <c r="B53" s="3560" t="s">
        <v>2281</v>
      </c>
      <c r="C53" s="3561"/>
      <c r="D53" s="1086">
        <f ca="1">ROUND(D45*'数据-取费表'!B41/(1+'数据-取费表'!C42),0)</f>
        <v>71</v>
      </c>
      <c r="E53" s="2333" t="s">
        <v>1352</v>
      </c>
      <c r="F53" s="2550">
        <f>'数据-取费表'!B41</f>
        <v>5.5000000000000007E-2</v>
      </c>
      <c r="G53" s="2551"/>
      <c r="H53" s="2540"/>
      <c r="I53" s="1806"/>
      <c r="J53" s="2519">
        <v>2</v>
      </c>
      <c r="K53" s="3599" t="s">
        <v>1355</v>
      </c>
      <c r="L53" s="3599"/>
      <c r="M53" s="2521">
        <f t="shared" ref="M53:O54" ca="1" si="0">D55</f>
        <v>1</v>
      </c>
      <c r="N53" s="2519" t="str">
        <f t="shared" si="0"/>
        <v>销售额×税（费）率</v>
      </c>
      <c r="O53" s="2522" t="str">
        <f t="shared" si="0"/>
        <v>免征</v>
      </c>
    </row>
    <row r="54" spans="1:35" ht="12" hidden="1" customHeight="1">
      <c r="A54" s="2334" t="s">
        <v>1356</v>
      </c>
      <c r="B54" s="3560" t="s">
        <v>2282</v>
      </c>
      <c r="C54" s="3561"/>
      <c r="D54" s="1086">
        <f ca="1">C68</f>
        <v>71</v>
      </c>
      <c r="E54" s="327" t="s">
        <v>1357</v>
      </c>
      <c r="F54" s="2550">
        <f>'数据-取费表'!B41</f>
        <v>5.5000000000000007E-2</v>
      </c>
      <c r="G54" s="2551"/>
      <c r="H54" s="2552"/>
      <c r="I54" s="1806"/>
      <c r="J54" s="2519">
        <v>3</v>
      </c>
      <c r="K54" s="3599" t="s">
        <v>1358</v>
      </c>
      <c r="L54" s="3599"/>
      <c r="M54" s="2521">
        <f t="shared" ca="1" si="0"/>
        <v>771</v>
      </c>
      <c r="N54" s="2519" t="str">
        <f t="shared" si="0"/>
        <v>增值额×税（费）率</v>
      </c>
      <c r="O54" s="2523" t="str">
        <f t="shared" si="0"/>
        <v>免征</v>
      </c>
    </row>
    <row r="55" spans="1:35" ht="24" hidden="1" customHeight="1">
      <c r="A55" s="3549" t="s">
        <v>1359</v>
      </c>
      <c r="B55" s="3550"/>
      <c r="C55" s="3550"/>
      <c r="D55" s="2323">
        <f ca="1">IF(H55="个人住宅",0,ROUND(D45*I55,0))</f>
        <v>1</v>
      </c>
      <c r="E55" s="2333" t="s">
        <v>1360</v>
      </c>
      <c r="F55" s="2550" t="str">
        <f>IF(H55="正常",I55,"免征")</f>
        <v>免征</v>
      </c>
      <c r="G55" s="2551"/>
      <c r="H55" s="2546"/>
      <c r="I55" s="165">
        <f>'数据-取费表'!B49</f>
        <v>5.0000000000000001E-4</v>
      </c>
      <c r="J55" s="2519">
        <f>IF(H59="非个人房产","",4)</f>
        <v>4</v>
      </c>
      <c r="K55" s="3599" t="str">
        <f>IF(H59="非个人房产","——","个人所得税")</f>
        <v>个人所得税</v>
      </c>
      <c r="L55" s="3599"/>
      <c r="M55" s="2524">
        <f ca="1">D59</f>
        <v>13</v>
      </c>
      <c r="N55" s="2039" t="str">
        <f>E59</f>
        <v>差额计税</v>
      </c>
      <c r="O55" s="2525">
        <f>F59</f>
        <v>0.01</v>
      </c>
    </row>
    <row r="56" spans="1:35" ht="24.75" hidden="1">
      <c r="A56" s="3549" t="s">
        <v>1361</v>
      </c>
      <c r="B56" s="3550"/>
      <c r="C56" s="3550"/>
      <c r="D56" s="2323">
        <f ca="1">IF(H56="个人住宅",D57,D58)</f>
        <v>771</v>
      </c>
      <c r="E56" s="2333" t="s">
        <v>1362</v>
      </c>
      <c r="F56" s="2550" t="str">
        <f>IF(H56="正常",F58,"免征")</f>
        <v>免征</v>
      </c>
      <c r="G56" s="2553" t="s">
        <v>1363</v>
      </c>
      <c r="H56" s="2554"/>
      <c r="I56" s="1807"/>
      <c r="J56" s="2519" t="str">
        <f>IF(项目基本情况!K6="上海银行",IF(J55="",4,J55+1),"")</f>
        <v/>
      </c>
      <c r="K56" s="3622" t="str">
        <f>IF(项目基本情况!K6="上海银行","其他处置费用","")</f>
        <v/>
      </c>
      <c r="L56" s="3623"/>
      <c r="M56" s="2521" t="str">
        <f>IF(项目基本情况!K6="上海银行",M69,"")</f>
        <v/>
      </c>
      <c r="N56" s="3622" t="str">
        <f>IF(项目基本情况!K6="上海银行","包含处置中涉及的律师、诉讼、拍卖、评估等费用","")</f>
        <v/>
      </c>
      <c r="O56" s="3625"/>
    </row>
    <row r="57" spans="1:35" ht="12.75" hidden="1">
      <c r="A57" s="2334" t="s">
        <v>1339</v>
      </c>
      <c r="B57" s="3560" t="s">
        <v>1364</v>
      </c>
      <c r="C57" s="3561"/>
      <c r="D57" s="1589">
        <v>0</v>
      </c>
      <c r="E57" s="324" t="s">
        <v>1341</v>
      </c>
      <c r="F57" s="302"/>
      <c r="G57" s="2551"/>
      <c r="H57" s="2555"/>
      <c r="I57" s="1807"/>
      <c r="J57" s="3599">
        <f>IF(AND(J55="",J56=""),4,IF(项目基本情况!K6="上海银行",结果表!J56+1,结果表!J55+1))</f>
        <v>5</v>
      </c>
      <c r="K57" s="3599" t="s">
        <v>1365</v>
      </c>
      <c r="L57" s="2526" t="s">
        <v>1366</v>
      </c>
      <c r="M57" s="2527"/>
      <c r="N57" s="2528">
        <f ca="1">SUMIF(M52:M56,"&lt;9e307")</f>
        <v>785</v>
      </c>
      <c r="O57" s="2529"/>
      <c r="P57" s="2685">
        <f ca="1">N57/M49</f>
        <v>0.57763061074319355</v>
      </c>
    </row>
    <row r="58" spans="1:35" ht="24.75" hidden="1">
      <c r="A58" s="2334" t="s">
        <v>1350</v>
      </c>
      <c r="B58" s="3560" t="s">
        <v>1367</v>
      </c>
      <c r="C58" s="3534"/>
      <c r="D58" s="2323">
        <f ca="1">IF(H58="转让取得",C81,C97)</f>
        <v>771</v>
      </c>
      <c r="E58" s="2333" t="s">
        <v>1362</v>
      </c>
      <c r="F58" s="302" t="s">
        <v>28</v>
      </c>
      <c r="G58" s="2551"/>
      <c r="H58" s="2554"/>
      <c r="I58" s="1807"/>
      <c r="J58" s="3599"/>
      <c r="K58" s="3599"/>
      <c r="L58" s="2526" t="s">
        <v>1368</v>
      </c>
      <c r="M58" s="2530"/>
      <c r="N58" s="2531" t="str">
        <f ca="1">NUMBERSTRING(INT(N57*10000),2)&amp;"元整"</f>
        <v>柒佰捌拾伍万元整</v>
      </c>
      <c r="O58" s="2532"/>
    </row>
    <row r="59" spans="1:35" ht="24.75" hidden="1" thickBot="1">
      <c r="A59" s="3602" t="s">
        <v>1369</v>
      </c>
      <c r="B59" s="3603"/>
      <c r="C59" s="3603"/>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3"/>
      <c r="I59" s="2312" t="s">
        <v>2134</v>
      </c>
      <c r="J59" s="3600">
        <f>J57+1</f>
        <v>6</v>
      </c>
      <c r="K59" s="3599" t="s">
        <v>1370</v>
      </c>
      <c r="L59" s="2519" t="s">
        <v>1366</v>
      </c>
      <c r="M59" s="2533"/>
      <c r="N59" s="2534">
        <f ca="1">M49-N57</f>
        <v>574</v>
      </c>
      <c r="O59" s="2535"/>
    </row>
    <row r="60" spans="1:35" ht="12" hidden="1" customHeight="1">
      <c r="A60" s="1808"/>
      <c r="B60" s="1746"/>
      <c r="C60" s="1746"/>
      <c r="D60" s="1746"/>
      <c r="E60" s="1577"/>
      <c r="F60" s="1807"/>
      <c r="G60" s="1807"/>
      <c r="H60" s="1809"/>
      <c r="I60" s="129"/>
      <c r="J60" s="3601"/>
      <c r="K60" s="3599"/>
      <c r="L60" s="2526" t="s">
        <v>1368</v>
      </c>
      <c r="M60" s="2530"/>
      <c r="N60" s="2531" t="str">
        <f ca="1">NUMBERSTRING(INT(N59*10000),2)&amp;"元整"</f>
        <v>伍佰柒拾肆万元整</v>
      </c>
      <c r="O60" s="2532"/>
    </row>
    <row r="61" spans="1:35" ht="13.5" hidden="1" thickBot="1">
      <c r="A61" s="3547" t="s">
        <v>1371</v>
      </c>
      <c r="B61" s="3547"/>
      <c r="C61" s="3547"/>
      <c r="D61" s="3547"/>
      <c r="E61" s="3547"/>
      <c r="F61" s="1807"/>
      <c r="G61" s="1807"/>
      <c r="H61" s="1809"/>
      <c r="I61" s="129"/>
      <c r="J61" s="2519">
        <f>J59+1</f>
        <v>7</v>
      </c>
      <c r="K61" s="3599" t="s">
        <v>1372</v>
      </c>
      <c r="L61" s="3599"/>
      <c r="M61" s="2536"/>
      <c r="N61" s="2537">
        <f ca="1">ROUND(N59*10000/'数据-汇总表'!E3,0)</f>
        <v>14265</v>
      </c>
      <c r="O61" s="2538"/>
    </row>
    <row r="62" spans="1:35" ht="12.75" hidden="1">
      <c r="A62" s="3565" t="s">
        <v>1373</v>
      </c>
      <c r="B62" s="3566"/>
      <c r="C62" s="2020"/>
      <c r="D62" s="2020" t="s">
        <v>1374</v>
      </c>
      <c r="E62" s="166" t="s">
        <v>1375</v>
      </c>
      <c r="F62" s="1807"/>
      <c r="G62" s="1807"/>
      <c r="H62" s="1809"/>
      <c r="I62" s="129"/>
    </row>
    <row r="63" spans="1:35" ht="12.75" hidden="1">
      <c r="A63" s="173" t="s">
        <v>330</v>
      </c>
      <c r="B63" s="167" t="s">
        <v>1376</v>
      </c>
      <c r="C63" s="2560">
        <f ca="1">ROUND((C64+C65)/(1+'数据-取费表'!C42),0)</f>
        <v>1294</v>
      </c>
      <c r="D63" s="167"/>
      <c r="E63" s="168"/>
      <c r="F63" s="1807"/>
      <c r="G63" s="1807"/>
      <c r="H63" s="1809"/>
      <c r="I63" s="129"/>
      <c r="J63" s="3624" t="s">
        <v>1377</v>
      </c>
      <c r="K63" s="1331" t="s">
        <v>1378</v>
      </c>
      <c r="L63" s="1331">
        <f ca="1">IF(M49&gt;10000,M49*0.5%,IF(AND(M49&gt;1000,M49&lt;=10000),M49*1%,IF(AND(M49&gt;100,M49&lt;=1000),M49*3%,IF(AND(M49&gt;10,M49&lt;=100),M49*5%,M49*8%))))</f>
        <v>13.59</v>
      </c>
      <c r="M63" s="302">
        <f ca="1">ROUND(L63,1)</f>
        <v>13.6</v>
      </c>
      <c r="N63" s="2539"/>
      <c r="Z63" s="1751"/>
      <c r="AI63" s="1752"/>
    </row>
    <row r="64" spans="1:35" ht="14.25" hidden="1" customHeight="1">
      <c r="A64" s="169" t="s">
        <v>325</v>
      </c>
      <c r="B64" s="170" t="s">
        <v>1379</v>
      </c>
      <c r="C64" s="2561">
        <f ca="1">D45</f>
        <v>1359</v>
      </c>
      <c r="D64" s="170" t="s">
        <v>26</v>
      </c>
      <c r="E64" s="172"/>
      <c r="F64" s="1807"/>
      <c r="G64" s="1807"/>
      <c r="H64" s="1809"/>
      <c r="I64" s="129"/>
      <c r="J64" s="3624"/>
      <c r="K64" s="1331" t="s">
        <v>1380</v>
      </c>
      <c r="L64" s="1331">
        <f ca="1">IF(M49&gt;2000,M49*0.5%,IF(AND(M49&gt;1000,M49&lt;=2000),M49*0.6%,IF(AND(M49&gt;500,M49&lt;=1000),M49*0.7%,IF(AND(M49&gt;200,M49&lt;=500),M49*0.8%,IF(AND(M49&gt;100,M49&lt;=200),M49*0.9%,IF(AND(M49&gt;50,M49&lt;=100),M49*1%,IF(AND(M49&gt;20,M49&lt;=50),M49*1.5%,IF(AND(M49&gt;10,M49&lt;=20),M49*2%,IF(AND(M49&gt;1,M49&lt;=10),M49*2.5%)))))))))</f>
        <v>8.1539999999999999</v>
      </c>
      <c r="M64" s="302">
        <f t="shared" ref="M64:M65" ca="1" si="1">ROUND(L64,1)</f>
        <v>8.1999999999999993</v>
      </c>
      <c r="N64" s="2540" t="s">
        <v>1381</v>
      </c>
      <c r="Z64" s="1751"/>
      <c r="AI64" s="1752"/>
    </row>
    <row r="65" spans="1:35" ht="14.25" hidden="1" customHeight="1">
      <c r="A65" s="169" t="s">
        <v>326</v>
      </c>
      <c r="B65" s="170" t="s">
        <v>1382</v>
      </c>
      <c r="C65" s="2562"/>
      <c r="D65" s="170"/>
      <c r="E65" s="172"/>
      <c r="F65" s="1807"/>
      <c r="G65" s="1807"/>
      <c r="H65" s="1809"/>
      <c r="I65" s="129"/>
      <c r="J65" s="3624"/>
      <c r="K65" s="1331" t="s">
        <v>1383</v>
      </c>
      <c r="L65" s="1331">
        <f ca="1">IF(M49&gt;1000,M49*0.1%,IF(AND(M49&gt;500,M49&lt;=1000),M49*0.5%,IF(AND(M49&gt;50,M49&lt;=500),M49*1%,IF(AND(M49&gt;1,M49&lt;=50),M49*1.5%))))</f>
        <v>1.359</v>
      </c>
      <c r="M65" s="302">
        <f t="shared" ca="1" si="1"/>
        <v>1.4</v>
      </c>
      <c r="N65" s="2540" t="s">
        <v>1381</v>
      </c>
      <c r="Z65" s="1751"/>
      <c r="AI65" s="1752"/>
    </row>
    <row r="66" spans="1:35" ht="14.25" hidden="1" customHeight="1">
      <c r="A66" s="173" t="s">
        <v>327</v>
      </c>
      <c r="B66" s="174" t="s">
        <v>1384</v>
      </c>
      <c r="C66" s="2563"/>
      <c r="D66" s="174" t="s">
        <v>26</v>
      </c>
      <c r="E66" s="1337" t="s">
        <v>671</v>
      </c>
      <c r="F66" s="1807"/>
      <c r="G66" s="1807"/>
      <c r="H66" s="1809"/>
      <c r="I66" s="129"/>
      <c r="J66" s="3624"/>
      <c r="K66" s="1331" t="s">
        <v>1385</v>
      </c>
      <c r="L66" s="1331">
        <f ca="1">M49*0.5%</f>
        <v>6.7949999999999999</v>
      </c>
      <c r="M66" s="302">
        <f ca="1">IF(L66&gt;0.5,0.5,ROUND(L66,0))</f>
        <v>0.5</v>
      </c>
      <c r="N66" s="2540" t="s">
        <v>1386</v>
      </c>
      <c r="Z66" s="1751"/>
      <c r="AI66" s="1752"/>
    </row>
    <row r="67" spans="1:35" ht="14.25" hidden="1" customHeight="1">
      <c r="A67" s="173" t="s">
        <v>328</v>
      </c>
      <c r="B67" s="174" t="s">
        <v>1387</v>
      </c>
      <c r="C67" s="2564">
        <f ca="1">C63-C66</f>
        <v>1294</v>
      </c>
      <c r="D67" s="170" t="s">
        <v>26</v>
      </c>
      <c r="E67" s="172"/>
      <c r="F67" s="1807"/>
      <c r="G67" s="1807"/>
      <c r="H67" s="1809"/>
      <c r="I67" s="129"/>
      <c r="J67" s="3624"/>
      <c r="K67" s="1331" t="s">
        <v>1388</v>
      </c>
      <c r="L67" s="1331">
        <f ca="1">IF(M49&gt;=10000,(8.25+(M49-10000)*0.01%),IF(AND(M49&gt;=8000,M49&lt;10000),(7.85+(M49-8000)*0.02%),IF(AND(M49&gt;=5000,M49&lt;8000),(6.65+(M49-5000)*0.04%),IF(AND(M49&gt;=2000,M49&lt;5000),(4.25+(PM49-2000)*0.08%),IF(AND(M49&gt;=1000,M49&lt;2000),(2.75+(M49-1000)*0.15%),IF(AND(M49&gt;=100,M49&lt;1000),(0.5+(M49-100)*0.25%),IF(AND(M49&gt;0,M49&lt;100),M49*0.5%)))))))</f>
        <v>3.2885</v>
      </c>
      <c r="M67" s="302">
        <f ca="1">ROUND(L67*0.9,1)</f>
        <v>3</v>
      </c>
      <c r="N67" s="2539"/>
      <c r="Z67" s="1751"/>
      <c r="AI67" s="1752"/>
    </row>
    <row r="68" spans="1:35" ht="14.25" hidden="1" customHeight="1" thickBot="1">
      <c r="A68" s="176" t="s">
        <v>329</v>
      </c>
      <c r="B68" s="177" t="s">
        <v>1389</v>
      </c>
      <c r="C68" s="2565">
        <f ca="1">IF(C67&lt;=0,0,ROUND(C67*D68,0))</f>
        <v>71</v>
      </c>
      <c r="D68" s="2566">
        <f>'数据-取费表'!B41</f>
        <v>5.5000000000000007E-2</v>
      </c>
      <c r="E68" s="178"/>
      <c r="F68" s="1807"/>
      <c r="G68" s="1807"/>
      <c r="H68" s="1809"/>
      <c r="I68" s="129"/>
      <c r="J68" s="3624"/>
      <c r="K68" s="1331" t="s">
        <v>1390</v>
      </c>
      <c r="L68" s="1331">
        <f ca="1">IF(M49&gt;10000,M49*0.5%,IF(AND(M49&gt;5000,M49&lt;=10000),M49*1%,IF(AND(M49&gt;1000,M49&lt;=5000),M49*2%,IF(AND(M49&gt;200,M49&lt;=1000),M49*3%,M49*5%))))</f>
        <v>27.18</v>
      </c>
      <c r="M68" s="302">
        <f ca="1">ROUND(L68,1)</f>
        <v>27.2</v>
      </c>
      <c r="N68" s="2539"/>
      <c r="Z68" s="1751"/>
      <c r="AI68" s="1752"/>
    </row>
    <row r="69" spans="1:35" s="1771" customFormat="1" ht="16.5" hidden="1" customHeight="1">
      <c r="A69" s="1810"/>
      <c r="B69" s="1811"/>
      <c r="C69" s="1812"/>
      <c r="D69" s="1813"/>
      <c r="E69" s="1814"/>
      <c r="F69" s="1577"/>
      <c r="G69" s="1577"/>
      <c r="H69" s="1576"/>
      <c r="I69" s="1746"/>
      <c r="J69" s="3624"/>
      <c r="K69" s="1331" t="s">
        <v>1391</v>
      </c>
      <c r="L69" s="1331"/>
      <c r="M69" s="302">
        <f ca="1">ROUND(SUM(M63:M68),0)</f>
        <v>54</v>
      </c>
      <c r="N69" s="2541">
        <f ca="1">M69/M49</f>
        <v>3.9735099337748346E-2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586" t="s">
        <v>1392</v>
      </c>
      <c r="B70" s="3587"/>
      <c r="C70" s="3587"/>
      <c r="D70" s="3587"/>
      <c r="E70" s="3587"/>
      <c r="F70" s="3587"/>
      <c r="G70" s="3587"/>
      <c r="H70" s="3587"/>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65" t="s">
        <v>1373</v>
      </c>
      <c r="B71" s="3566"/>
      <c r="C71" s="2020"/>
      <c r="D71" s="2020" t="s">
        <v>1374</v>
      </c>
      <c r="E71" s="179" t="s">
        <v>1375</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4">
        <f ca="1">ROUND(D45/(1+'数据-取费表'!C42),0)</f>
        <v>1294</v>
      </c>
      <c r="D72" s="170" t="s">
        <v>26</v>
      </c>
      <c r="E72" s="2330"/>
      <c r="F72" s="2329"/>
      <c r="G72" s="232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4">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7"/>
      <c r="D75" s="170" t="s">
        <v>26</v>
      </c>
      <c r="E75" s="184" t="s">
        <v>1397</v>
      </c>
      <c r="F75" s="2568"/>
      <c r="G75" s="184" t="s">
        <v>1398</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70">
        <v>0.05</v>
      </c>
      <c r="E76" s="3560" t="s">
        <v>1400</v>
      </c>
      <c r="F76" s="3534"/>
      <c r="G76" s="3534"/>
      <c r="H76" s="358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71">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2">
        <f ca="1">ROUND(D45*D78/(1+'数据-取费表'!C42),0)</f>
        <v>6</v>
      </c>
      <c r="D78" s="2573">
        <f>'数据-取费表'!B43</f>
        <v>5.000000000000001E-3</v>
      </c>
      <c r="E78" s="3544" t="s">
        <v>1404</v>
      </c>
      <c r="F78" s="3545"/>
      <c r="G78" s="3545"/>
      <c r="H78" s="355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4">
        <f ca="1">C72-C73</f>
        <v>1288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4">
        <f ca="1">IF(C79&lt;=0,0,C79/C73)</f>
        <v>214.66666666666666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5">
        <f ca="1">ROUND(IF(C79&lt;=0,0,IF(C80&gt;=200%,C79*60%-C73*35%,IF(C80&gt;=100%,C79*50%-C73*15%,IF(C80&gt;=50%,C79*40%-C73*5%,IF(C80&lt;50%,C79*30%,0))))),0)</f>
        <v>771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86" t="s">
        <v>1408</v>
      </c>
      <c r="B83" s="3587"/>
      <c r="C83" s="3587"/>
      <c r="D83" s="3587"/>
      <c r="E83" s="3587"/>
      <c r="F83" s="3587"/>
      <c r="G83" s="3587"/>
      <c r="H83" s="358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65" t="s">
        <v>1373</v>
      </c>
      <c r="B84" s="3566"/>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4">
        <f ca="1">ROUND(D45/(1+'数据-取费表'!C42),0)</f>
        <v>1294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4">
        <f ca="1">IF(H88="仅含出让金",C87+C90+C91+C92+C93+C94,C87+C91+C92+C93+C94)</f>
        <v>6</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8"/>
      <c r="D88" s="2573"/>
      <c r="E88" s="193" t="s">
        <v>1411</v>
      </c>
      <c r="F88" s="2326"/>
      <c r="G88" s="194" t="s">
        <v>1412</v>
      </c>
      <c r="H88" s="1823"/>
      <c r="I88" s="1820"/>
      <c r="J88" s="2517"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2">
        <f>ROUND(C88*D89,0)</f>
        <v>0</v>
      </c>
      <c r="D89" s="2573">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8"/>
      <c r="D90" s="2573"/>
      <c r="E90" s="193" t="str">
        <f>IF(H88="-","土地取得成本中已包含该笔费用"," ")</f>
        <v xml:space="preserve"> </v>
      </c>
      <c r="F90" s="2326"/>
      <c r="G90" s="3626" t="s">
        <v>2126</v>
      </c>
      <c r="H90" s="3627"/>
      <c r="I90" s="1820"/>
      <c r="J90" s="2517"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2">
        <f>IF(H91="——",成本法!C33,I91)</f>
        <v>0</v>
      </c>
      <c r="D91" s="2573"/>
      <c r="E91" s="3544" t="s">
        <v>1417</v>
      </c>
      <c r="F91" s="3545"/>
      <c r="G91" s="354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2">
        <f>ROUND((C87+C90+C91)*D92,0)</f>
        <v>0</v>
      </c>
      <c r="D92" s="2579"/>
      <c r="E92" s="3544" t="s">
        <v>1420</v>
      </c>
      <c r="F92" s="3545"/>
      <c r="G92" s="3545"/>
      <c r="H92" s="3554"/>
      <c r="I92" s="1820"/>
      <c r="J92" s="2518"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2">
        <f ca="1">ROUND(D45*D93/(1+'数据-取费表'!C42),0)</f>
        <v>6</v>
      </c>
      <c r="D93" s="2573">
        <f>'数据-取费表'!B43</f>
        <v>5.000000000000001E-3</v>
      </c>
      <c r="E93" s="3544" t="s">
        <v>1404</v>
      </c>
      <c r="F93" s="3545"/>
      <c r="G93" s="3545"/>
      <c r="H93" s="355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8">
        <f>ROUND((C87+C90+C91)*D94,0)</f>
        <v>0</v>
      </c>
      <c r="D94" s="2573">
        <v>0.2</v>
      </c>
      <c r="E94" s="3555" t="s">
        <v>1424</v>
      </c>
      <c r="F94" s="3556"/>
      <c r="G94" s="3556"/>
      <c r="H94" s="355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4">
        <f ca="1">ROUND(C85-C86,0)</f>
        <v>1288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4">
        <f ca="1">IF(C95&lt;=0,0,C95/C86)</f>
        <v>214.66666666666666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5">
        <f ca="1">ROUND(IF(C95&lt;=0,0,IF(C96&gt;=200%,C95*60%-C86*35%,IF(C96&gt;=100%,C95*50%-C86*15%,IF(C96&gt;=50%,C95*40%-C86*5%,IF(C96&lt;50%,C95*30%,0))))),0)</f>
        <v>771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28" t="s">
        <v>1426</v>
      </c>
      <c r="B100" s="3529"/>
      <c r="C100" s="3529"/>
      <c r="D100" s="3546"/>
      <c r="E100" s="3529" t="s">
        <v>1427</v>
      </c>
      <c r="F100" s="3529"/>
      <c r="G100" s="3529"/>
      <c r="H100" s="3546"/>
      <c r="I100" s="129"/>
    </row>
    <row r="101" spans="1:35" ht="18.75" customHeight="1">
      <c r="A101" s="3607" t="s">
        <v>1428</v>
      </c>
      <c r="B101" s="3608"/>
      <c r="C101" s="2581" t="str">
        <f>C4</f>
        <v>比较法-商业</v>
      </c>
      <c r="D101" s="2582" t="str">
        <f>D4</f>
        <v>收益法 (元)</v>
      </c>
      <c r="E101" s="3621" t="s">
        <v>1429</v>
      </c>
      <c r="F101" s="3578"/>
      <c r="G101" s="1826" t="s">
        <v>1430</v>
      </c>
      <c r="H101" s="2591">
        <f ca="1">H118</f>
        <v>1359</v>
      </c>
      <c r="I101" s="129"/>
    </row>
    <row r="102" spans="1:35" ht="18.75" customHeight="1">
      <c r="A102" s="3580" t="s">
        <v>1431</v>
      </c>
      <c r="B102" s="2580" t="s">
        <v>1430</v>
      </c>
      <c r="C102" s="2581">
        <f ca="1">IF(D32="楼面单价",ROUND(C19,0),C19)</f>
        <v>1464</v>
      </c>
      <c r="D102" s="2582">
        <f ca="1">IF(D32="楼面单价",ROUND(D19,0),D19)</f>
        <v>1255</v>
      </c>
      <c r="E102" s="3621"/>
      <c r="F102" s="3578"/>
      <c r="G102" s="1826" t="s">
        <v>1432</v>
      </c>
      <c r="H102" s="2551">
        <f ca="1">I118</f>
        <v>33782</v>
      </c>
      <c r="I102" s="129"/>
    </row>
    <row r="103" spans="1:35" ht="42.75" customHeight="1">
      <c r="A103" s="3580"/>
      <c r="B103" s="2580" t="s">
        <v>1432</v>
      </c>
      <c r="C103" s="2583">
        <f ca="1">C20</f>
        <v>36372</v>
      </c>
      <c r="D103" s="2584">
        <f ca="1">D20</f>
        <v>31191</v>
      </c>
      <c r="E103" s="3615" t="s">
        <v>1433</v>
      </c>
      <c r="F103" s="3616"/>
      <c r="G103" s="1827" t="s">
        <v>1434</v>
      </c>
      <c r="H103" s="2591">
        <f>IF(D36="正常操作",H104+H105+H106,H105+H106)</f>
        <v>0</v>
      </c>
      <c r="I103" s="129"/>
    </row>
    <row r="104" spans="1:35" ht="18.75" customHeight="1">
      <c r="A104" s="3580" t="s">
        <v>1435</v>
      </c>
      <c r="B104" s="2585" t="s">
        <v>1430</v>
      </c>
      <c r="C104" s="2586">
        <f ca="1">H118</f>
        <v>1359</v>
      </c>
      <c r="D104" s="2587"/>
      <c r="E104" s="1673" t="s">
        <v>1436</v>
      </c>
      <c r="F104" s="1665"/>
      <c r="G104" s="1827" t="s">
        <v>1434</v>
      </c>
      <c r="H104" s="2592">
        <f>IF(D36="同一抵押权人同一抵押物续贷",C36&amp;"（续贷，未扣减，详见特别提示）",C36)</f>
        <v>0</v>
      </c>
      <c r="I104" s="129"/>
    </row>
    <row r="105" spans="1:35" ht="18.75" customHeight="1" thickBot="1">
      <c r="A105" s="3581"/>
      <c r="B105" s="2588" t="s">
        <v>1432</v>
      </c>
      <c r="C105" s="2589">
        <f ca="1">I118</f>
        <v>33782</v>
      </c>
      <c r="D105" s="2590"/>
      <c r="E105" s="1673" t="s">
        <v>1437</v>
      </c>
      <c r="F105" s="1665"/>
      <c r="G105" s="1827" t="s">
        <v>1434</v>
      </c>
      <c r="H105" s="2593">
        <f>C37</f>
        <v>0</v>
      </c>
      <c r="I105" s="129"/>
    </row>
    <row r="106" spans="1:35" ht="18.75" customHeight="1">
      <c r="A106" s="1746" t="s">
        <v>1438</v>
      </c>
      <c r="B106" s="1746"/>
      <c r="C106" s="1746"/>
      <c r="D106" s="1746"/>
      <c r="E106" s="1828" t="s">
        <v>1439</v>
      </c>
      <c r="F106" s="1665"/>
      <c r="G106" s="1827" t="s">
        <v>1434</v>
      </c>
      <c r="H106" s="2593">
        <f>C38</f>
        <v>0</v>
      </c>
      <c r="I106" s="129"/>
    </row>
    <row r="107" spans="1:35" ht="18.75" customHeight="1">
      <c r="A107" s="129"/>
      <c r="B107" s="129"/>
      <c r="C107" s="129"/>
      <c r="D107" s="129"/>
      <c r="E107" s="3577" t="str">
        <f>IF(项目基本情况!E8="已注销","——","3.房地产抵押价值")</f>
        <v>3.房地产抵押价值</v>
      </c>
      <c r="F107" s="3578"/>
      <c r="G107" s="1826" t="s">
        <v>1430</v>
      </c>
      <c r="H107" s="2591">
        <f ca="1">IF(E107="——","——",H101-H103)</f>
        <v>1359</v>
      </c>
      <c r="I107" s="129"/>
    </row>
    <row r="108" spans="1:35" ht="18.75" customHeight="1">
      <c r="A108" s="129"/>
      <c r="B108" s="129"/>
      <c r="C108" s="129"/>
      <c r="D108" s="129"/>
      <c r="E108" s="3577"/>
      <c r="F108" s="3578"/>
      <c r="G108" s="1826" t="s">
        <v>1432</v>
      </c>
      <c r="H108" s="2551">
        <f ca="1">IF(H107=H101,H102,ROUND(H107*10000/'数据-汇总表'!E3,0))</f>
        <v>33782</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78"/>
      <c r="G109" s="1826" t="s">
        <v>1430</v>
      </c>
      <c r="H109" s="2594" t="str">
        <f>IF(E109="——","——",H101-H105-H106)</f>
        <v>——</v>
      </c>
      <c r="I109" s="129"/>
    </row>
    <row r="110" spans="1:35" ht="18.75" customHeight="1">
      <c r="A110" s="129"/>
      <c r="B110" s="129"/>
      <c r="C110" s="129"/>
      <c r="D110" s="129"/>
      <c r="E110" s="3577"/>
      <c r="F110" s="3578"/>
      <c r="G110" s="1826" t="s">
        <v>1432</v>
      </c>
      <c r="H110" s="2551"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79"/>
      <c r="G111" s="1826" t="s">
        <v>1430</v>
      </c>
      <c r="H111" s="2591" t="str">
        <f>IF(E111="——","——",N59)</f>
        <v>——</v>
      </c>
      <c r="I111" s="129"/>
    </row>
    <row r="112" spans="1:35" ht="18.75" customHeight="1" thickBot="1">
      <c r="A112" s="129"/>
      <c r="B112" s="129"/>
      <c r="C112" s="129"/>
      <c r="D112" s="129"/>
      <c r="E112" s="3610"/>
      <c r="F112" s="3611"/>
      <c r="G112" s="1829" t="s">
        <v>1432</v>
      </c>
      <c r="H112" s="2595" t="str">
        <f>IF(E111="——","——",N61)</f>
        <v>——</v>
      </c>
      <c r="I112" s="129"/>
    </row>
    <row r="113" spans="1:27" ht="18.75" customHeight="1">
      <c r="A113" s="129"/>
      <c r="B113" s="129"/>
      <c r="C113" s="129"/>
      <c r="D113" s="129"/>
      <c r="E113" s="3582" t="s">
        <v>1438</v>
      </c>
      <c r="F113" s="3582"/>
      <c r="G113" s="3582"/>
      <c r="H113" s="3582"/>
      <c r="I113" s="129"/>
    </row>
    <row r="114" spans="1:27" ht="3.75" customHeight="1">
      <c r="A114" s="1746"/>
      <c r="B114" s="1746"/>
      <c r="C114" s="1746"/>
      <c r="D114" s="1746"/>
      <c r="E114" s="1808"/>
      <c r="F114" s="1808"/>
      <c r="G114" s="1808"/>
      <c r="H114" s="1808"/>
      <c r="I114" s="1746"/>
    </row>
    <row r="115" spans="1:27" ht="18.75" customHeight="1">
      <c r="A115" s="3592" t="s">
        <v>1440</v>
      </c>
      <c r="B115" s="3593"/>
      <c r="C115" s="3593"/>
      <c r="D115" s="3593"/>
      <c r="E115" s="3593"/>
      <c r="F115" s="3593"/>
      <c r="G115" s="3593"/>
      <c r="H115" s="3593"/>
      <c r="I115" s="3594"/>
    </row>
    <row r="116" spans="1:27" ht="27" customHeight="1">
      <c r="A116" s="3548" t="s">
        <v>1441</v>
      </c>
      <c r="B116" s="3583" t="s">
        <v>1442</v>
      </c>
      <c r="C116" s="3583" t="s">
        <v>1443</v>
      </c>
      <c r="D116" s="3596" t="s">
        <v>1444</v>
      </c>
      <c r="E116" s="3597"/>
      <c r="F116" s="3591" t="s">
        <v>1445</v>
      </c>
      <c r="G116" s="3591"/>
      <c r="H116" s="3548" t="s">
        <v>1446</v>
      </c>
      <c r="I116" s="3548"/>
    </row>
    <row r="117" spans="1:27" ht="18.75" customHeight="1">
      <c r="A117" s="3548"/>
      <c r="B117" s="3584"/>
      <c r="C117" s="3584"/>
      <c r="D117" s="2328" t="s">
        <v>1447</v>
      </c>
      <c r="E117" s="2328" t="s">
        <v>1448</v>
      </c>
      <c r="F117" s="2328" t="s">
        <v>1447</v>
      </c>
      <c r="G117" s="2328" t="s">
        <v>1449</v>
      </c>
      <c r="H117" s="2328" t="s">
        <v>1447</v>
      </c>
      <c r="I117" s="2328" t="s">
        <v>1449</v>
      </c>
    </row>
    <row r="118" spans="1:27" ht="24.75" customHeight="1">
      <c r="A118" s="2596" t="str">
        <f>项目基本情况!S2</f>
        <v>北京市房山区怡和南路8号院8号楼1层101房地产</v>
      </c>
      <c r="B118" s="2328">
        <f>M18</f>
        <v>402.39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1359</v>
      </c>
      <c r="I118" s="2328">
        <f ca="1">ROUND(IF(D32="楼面单价",C32,H118*10000/B118),0)</f>
        <v>33782</v>
      </c>
    </row>
    <row r="119" spans="1:27" ht="18.75" customHeight="1">
      <c r="A119" s="3548" t="s">
        <v>1450</v>
      </c>
      <c r="B119" s="3548"/>
      <c r="C119" s="3548"/>
      <c r="D119" s="3588" t="e">
        <f ca="1">NUMBERSTRING(INT(D118*10000),2)&amp;"元整"</f>
        <v>#REF!</v>
      </c>
      <c r="E119" s="3590"/>
      <c r="F119" s="3588" t="e">
        <f ca="1">NUMBERSTRING(INT(F118*10000),2)&amp;"元整"</f>
        <v>#REF!</v>
      </c>
      <c r="G119" s="3590"/>
      <c r="H119" s="3588" t="str">
        <f ca="1">NUMBERSTRING(INT(H118*10000),2)&amp;"元整"</f>
        <v>壹仟叁佰伍拾玖万元整</v>
      </c>
      <c r="I119" s="3590"/>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8" t="s">
        <v>1450</v>
      </c>
      <c r="B121" s="3589"/>
      <c r="C121" s="3590"/>
      <c r="D121" s="3588" t="str">
        <f>IF(D120=0,"零元整",NUMBERSTRING(INT(D120*10000),2)&amp;"元整")</f>
        <v>零元整</v>
      </c>
      <c r="E121" s="3589"/>
      <c r="F121" s="3589"/>
      <c r="G121" s="3589"/>
      <c r="H121" s="3589"/>
      <c r="I121" s="3590"/>
      <c r="AA121" s="724"/>
    </row>
    <row r="122" spans="1:27" ht="18.75" customHeight="1">
      <c r="A122" s="3579" t="str">
        <f>IF(项目基本情况!B9="房地产市场价值","",MID(E107,3,LEN(E107)-2))</f>
        <v>房地产抵押价值</v>
      </c>
      <c r="B122" s="3579"/>
      <c r="C122" s="3579"/>
      <c r="D122" s="3612">
        <f ca="1">H107</f>
        <v>1359</v>
      </c>
      <c r="E122" s="3613"/>
      <c r="F122" s="3613"/>
      <c r="G122" s="3613"/>
      <c r="H122" s="3613"/>
      <c r="I122" s="3614"/>
      <c r="AA122" s="724"/>
    </row>
    <row r="123" spans="1:27" ht="18.75" customHeight="1">
      <c r="A123" s="3548" t="s">
        <v>1450</v>
      </c>
      <c r="B123" s="3548"/>
      <c r="C123" s="3548"/>
      <c r="D123" s="3588" t="str">
        <f ca="1">NUMBERSTRING(INT(D122*10000),2)&amp;"元整"</f>
        <v>壹仟叁佰伍拾玖万元整</v>
      </c>
      <c r="E123" s="3589"/>
      <c r="F123" s="3589"/>
      <c r="G123" s="3589"/>
      <c r="H123" s="3589"/>
      <c r="I123" s="3590"/>
      <c r="AA123" s="724"/>
    </row>
    <row r="124" spans="1:27" ht="18.75" customHeight="1">
      <c r="A124" s="3579" t="str">
        <f>IF(项目基本情况!B9="房地产市场价值","",MID(E109,3,LEN(E109)-2))</f>
        <v/>
      </c>
      <c r="B124" s="3579"/>
      <c r="C124" s="3579"/>
      <c r="D124" s="3612" t="str">
        <f>H109</f>
        <v>——</v>
      </c>
      <c r="E124" s="3613"/>
      <c r="F124" s="3613"/>
      <c r="G124" s="3613"/>
      <c r="H124" s="3613"/>
      <c r="I124" s="3614"/>
      <c r="AA124" s="724"/>
    </row>
    <row r="125" spans="1:27" ht="18.75" customHeight="1">
      <c r="A125" s="3548" t="s">
        <v>1450</v>
      </c>
      <c r="B125" s="3548"/>
      <c r="C125" s="3548"/>
      <c r="D125" s="3588" t="e">
        <f>NUMBERSTRING(INT(D124*10000),2)&amp;"元整"</f>
        <v>#VALUE!</v>
      </c>
      <c r="E125" s="3589"/>
      <c r="F125" s="3589"/>
      <c r="G125" s="3589"/>
      <c r="H125" s="3589"/>
      <c r="I125" s="3590"/>
      <c r="AA125" s="724"/>
    </row>
    <row r="126" spans="1:27" ht="18.75" customHeight="1">
      <c r="A126" s="3579" t="str">
        <f>IF(项目基本情况!B9="房地产市场价值","",MID(E111,3,LEN(E111)-2))</f>
        <v/>
      </c>
      <c r="B126" s="3579"/>
      <c r="C126" s="3579"/>
      <c r="D126" s="3612" t="str">
        <f>H111</f>
        <v>——</v>
      </c>
      <c r="E126" s="3613"/>
      <c r="F126" s="3613"/>
      <c r="G126" s="3613"/>
      <c r="H126" s="3613"/>
      <c r="I126" s="3614"/>
      <c r="AA126" s="724"/>
    </row>
    <row r="127" spans="1:27" ht="18.75" customHeight="1">
      <c r="A127" s="3548" t="s">
        <v>1450</v>
      </c>
      <c r="B127" s="3548"/>
      <c r="C127" s="3548"/>
      <c r="D127" s="3588" t="e">
        <f>NUMBERSTRING(INT(D126*10000),2)&amp;"元整"</f>
        <v>#VALUE!</v>
      </c>
      <c r="E127" s="3589"/>
      <c r="F127" s="3589"/>
      <c r="G127" s="3589"/>
      <c r="H127" s="3589"/>
      <c r="I127" s="3590"/>
      <c r="AA127" s="724"/>
    </row>
    <row r="128" spans="1:27" ht="21.75" customHeight="1">
      <c r="A128" s="3595" t="s">
        <v>1451</v>
      </c>
      <c r="B128" s="3595"/>
      <c r="C128" s="3595"/>
      <c r="D128" s="3595"/>
      <c r="E128" s="3595"/>
      <c r="F128" s="3595"/>
      <c r="G128" s="3595"/>
      <c r="H128" s="3595"/>
      <c r="I128" s="359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234</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5815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8.0500000000000007</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8.0500000000000007</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8</v>
      </c>
      <c r="D10" s="844">
        <f ca="1">IF(B1="",'数据-汇总表'!E6,IF(INDIRECT("'数据-取费表'!c"&amp;$G$1)="住宅",INDIRECT("'数据-取费表'!s"&amp;$G$1),INDIRECT("'数据-取费表'!k"&amp;$G$1)+INDIRECT("'数据-取费表'!s"&amp;$G$1)))</f>
        <v>402.39</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7</v>
      </c>
      <c r="D19" s="848">
        <f ca="1">D9+D10</f>
        <v>402.39</v>
      </c>
      <c r="E19" s="211">
        <f>'数据-取费表'!B31</f>
        <v>180</v>
      </c>
      <c r="F19" s="231"/>
      <c r="G19" s="1855"/>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3</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175</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161</v>
      </c>
      <c r="D34" s="217"/>
      <c r="E34" s="220"/>
      <c r="F34" s="257">
        <f ca="1">IF('数据-取费表'!B24=0,1,IF(B1="",'数据-取费表'!N16,INDIRECT("'数据-取费表'!n"&amp;$G$1)))</f>
        <v>1</v>
      </c>
      <c r="G34" s="219" t="s">
        <v>1524</v>
      </c>
    </row>
    <row r="35" spans="1:7" ht="13.5" customHeight="1">
      <c r="A35" s="779" t="s">
        <v>351</v>
      </c>
      <c r="B35" s="215" t="s">
        <v>1525</v>
      </c>
      <c r="C35" s="220">
        <f ca="1">ROUND(C34*F35,0)</f>
        <v>5</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7</v>
      </c>
      <c r="D37" s="217">
        <f ca="1">D19</f>
        <v>402.39</v>
      </c>
      <c r="E37" s="249">
        <f>'数据-取费表'!B35</f>
        <v>180</v>
      </c>
      <c r="F37" s="259"/>
      <c r="G37" s="261" t="s">
        <v>1530</v>
      </c>
    </row>
    <row r="38" spans="1:7" ht="13.5" customHeight="1">
      <c r="A38" s="779" t="s">
        <v>354</v>
      </c>
      <c r="B38" s="215" t="s">
        <v>1531</v>
      </c>
      <c r="C38" s="220">
        <f ca="1">ROUND(C34*F38,0)</f>
        <v>2</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7</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7</v>
      </c>
      <c r="D42" s="238"/>
      <c r="E42" s="238"/>
      <c r="F42" s="239"/>
      <c r="G42" s="3628" t="s">
        <v>1542</v>
      </c>
    </row>
    <row r="43" spans="1:7" ht="13.5" customHeight="1">
      <c r="A43" s="779" t="s">
        <v>347</v>
      </c>
      <c r="B43" s="215" t="s">
        <v>1543</v>
      </c>
      <c r="C43" s="238">
        <f ca="1">ROUND(IF('数据-取费表'!B22&lt;=1,C39*F22*'数据-取费表'!B21/2,C39*(POWER((1+F22),'数据-取费表'!B21/2)-1)),0)</f>
        <v>0</v>
      </c>
      <c r="D43" s="238"/>
      <c r="E43" s="238"/>
      <c r="F43" s="239"/>
      <c r="G43" s="3629"/>
    </row>
    <row r="44" spans="1:7" ht="13.5" customHeight="1">
      <c r="A44" s="779" t="s">
        <v>348</v>
      </c>
      <c r="B44" s="215" t="s">
        <v>1544</v>
      </c>
      <c r="C44" s="238">
        <f ca="1">ROUND(IF('数据-取费表'!B22&lt;=1,C40*F22*'数据-取费表'!B21/2,C40*(POWER((1+F22),'数据-取费表'!B21/2)-1)),4)</f>
        <v>8.0000000000000004E-4</v>
      </c>
      <c r="D44" s="238"/>
      <c r="E44" s="238"/>
      <c r="F44" s="239"/>
      <c r="G44" s="3630"/>
    </row>
    <row r="45" spans="1:7" s="214" customFormat="1" ht="13.5" customHeight="1">
      <c r="A45" s="255" t="s">
        <v>1545</v>
      </c>
      <c r="B45" s="244" t="s">
        <v>1511</v>
      </c>
      <c r="C45" s="245">
        <f ca="1">C46</f>
        <v>36</v>
      </c>
      <c r="D45" s="235">
        <f ca="1">C47</f>
        <v>4.0000000000000001E-3</v>
      </c>
      <c r="E45" s="236" t="s">
        <v>1537</v>
      </c>
      <c r="F45" s="246">
        <f ca="1">F27</f>
        <v>0.2</v>
      </c>
      <c r="G45" s="247" t="s">
        <v>1546</v>
      </c>
    </row>
    <row r="46" spans="1:7" s="214" customFormat="1" ht="13.5" customHeight="1">
      <c r="A46" s="779" t="s">
        <v>346</v>
      </c>
      <c r="B46" s="248" t="s">
        <v>1547</v>
      </c>
      <c r="C46" s="249">
        <f ca="1">ROUND((C33+C39)*F27,0)</f>
        <v>36</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241</v>
      </c>
      <c r="D49" s="232"/>
      <c r="E49" s="232"/>
      <c r="F49" s="264"/>
      <c r="G49" s="234" t="s">
        <v>1552</v>
      </c>
    </row>
    <row r="50" spans="1:7" s="258" customFormat="1" ht="24">
      <c r="A50" s="255" t="s">
        <v>1553</v>
      </c>
      <c r="B50" s="210" t="s">
        <v>1554</v>
      </c>
      <c r="C50" s="232"/>
      <c r="D50" s="232"/>
      <c r="E50" s="232"/>
      <c r="F50" s="264">
        <f>IF('数据-取费表'!B24=0,'数据-取费表'!N16,1)</f>
        <v>0.88</v>
      </c>
      <c r="G50" s="247" t="s">
        <v>1555</v>
      </c>
    </row>
    <row r="51" spans="1:7" ht="16.5" customHeight="1">
      <c r="A51" s="255" t="s">
        <v>1556</v>
      </c>
      <c r="B51" s="210" t="s">
        <v>1557</v>
      </c>
      <c r="C51" s="232">
        <f ca="1">ROUND(C49*F50,0)</f>
        <v>212</v>
      </c>
      <c r="D51" s="232"/>
      <c r="E51" s="232"/>
      <c r="F51" s="264"/>
      <c r="G51" s="234" t="s">
        <v>1558</v>
      </c>
    </row>
    <row r="52" spans="1:7" s="208" customFormat="1" ht="16.5" thickBot="1">
      <c r="A52" s="265" t="s">
        <v>1559</v>
      </c>
      <c r="B52" s="266"/>
      <c r="C52" s="267">
        <f ca="1">C31+C51</f>
        <v>234</v>
      </c>
      <c r="D52" s="266"/>
      <c r="E52" s="266"/>
      <c r="F52" s="266"/>
      <c r="G52" s="268"/>
    </row>
    <row r="55" spans="1:7" ht="15">
      <c r="B55" s="270" t="s">
        <v>1560</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5" t="str">
        <f>项目基本情况!B1</f>
        <v>北京市房山区怡和南路8号院8号楼1层101房地产抵押价值预评估</v>
      </c>
      <c r="C37" s="3445"/>
      <c r="D37" s="3445"/>
      <c r="E37" s="3445"/>
      <c r="F37" s="3445"/>
      <c r="G37" s="3445"/>
      <c r="H37" s="3445"/>
      <c r="I37" s="344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9">
        <f ca="1">ROUND(IF(D2="——",C52/10000,C52/10000-E2),4)</f>
        <v>233.5624</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5804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80478</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80478</v>
      </c>
      <c r="D8" s="222"/>
      <c r="E8" s="220"/>
      <c r="F8" s="221"/>
      <c r="G8" s="1855"/>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80478</v>
      </c>
      <c r="D10" s="844">
        <f ca="1">IF(B1="",'数据-汇总表'!E6,IF(INDIRECT("'数据-取费表'!c"&amp;$G$1)="住宅",INDIRECT("'数据-取费表'!s"&amp;$G$1),INDIRECT("'数据-取费表'!k"&amp;$G$1)+INDIRECT("'数据-取费表'!s"&amp;$G$1)))</f>
        <v>402.39</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72430</v>
      </c>
      <c r="D19" s="848">
        <f ca="1">D9+D10</f>
        <v>402.39</v>
      </c>
      <c r="E19" s="211">
        <f>'数据-取费表'!B31</f>
        <v>180</v>
      </c>
      <c r="F19" s="231"/>
      <c r="G19" s="1855"/>
    </row>
    <row r="20" spans="1:7" s="214" customFormat="1" ht="13.5" customHeight="1">
      <c r="A20" s="255" t="s">
        <v>1572</v>
      </c>
      <c r="B20" s="210" t="s">
        <v>1573</v>
      </c>
      <c r="C20" s="232">
        <f ca="1">ROUND((C5+C19)*F20,0)</f>
        <v>3058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13081</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6818</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6136</v>
      </c>
      <c r="D24" s="238"/>
      <c r="E24" s="238"/>
      <c r="F24" s="239"/>
      <c r="G24" s="240" t="s">
        <v>1584</v>
      </c>
    </row>
    <row r="25" spans="1:7" s="214" customFormat="1" ht="24">
      <c r="A25" s="779" t="s">
        <v>1474</v>
      </c>
      <c r="B25" s="215" t="s">
        <v>1585</v>
      </c>
      <c r="C25" s="1127">
        <f ca="1">ROUND(IF('数据-取费表'!B22&lt;=1,C20*F22*'数据-取费表'!B22/2,C20*(POWER((1+F22),'数据-取费表'!B22/2)-1)),0)</f>
        <v>127</v>
      </c>
      <c r="D25" s="238"/>
      <c r="E25" s="241"/>
      <c r="F25" s="239"/>
      <c r="G25" s="242" t="s">
        <v>1586</v>
      </c>
    </row>
    <row r="26" spans="1:7" s="214" customFormat="1">
      <c r="A26" s="779"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31193</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31193</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216992</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1754420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1609560</v>
      </c>
      <c r="D34" s="217"/>
      <c r="E34" s="220"/>
      <c r="F34" s="257"/>
      <c r="G34" s="219"/>
    </row>
    <row r="35" spans="1:7" ht="13.5" customHeight="1">
      <c r="A35" s="779" t="s">
        <v>351</v>
      </c>
      <c r="B35" s="215" t="s">
        <v>1525</v>
      </c>
      <c r="C35" s="220">
        <f ca="1">ROUND(C34*F35,0)</f>
        <v>48287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72430</v>
      </c>
      <c r="D37" s="217">
        <f ca="1">D19</f>
        <v>402.39</v>
      </c>
      <c r="E37" s="249">
        <f>'数据-取费表'!B35</f>
        <v>180</v>
      </c>
      <c r="F37" s="259"/>
      <c r="G37" s="261"/>
    </row>
    <row r="38" spans="1:7" ht="13.5" customHeight="1">
      <c r="A38" s="779" t="s">
        <v>354</v>
      </c>
      <c r="B38" s="215" t="s">
        <v>1531</v>
      </c>
      <c r="C38" s="220">
        <f ca="1">ROUND(C34*F38,0)</f>
        <v>24143</v>
      </c>
      <c r="D38" s="220"/>
      <c r="E38" s="220"/>
      <c r="F38" s="259">
        <f>'数据-取费表'!B36</f>
        <v>1.4999999999999999E-2</v>
      </c>
      <c r="G38" s="219" t="s">
        <v>1526</v>
      </c>
    </row>
    <row r="39" spans="1:7" s="214" customFormat="1" ht="13.5" customHeight="1">
      <c r="A39" s="255" t="s">
        <v>1532</v>
      </c>
      <c r="B39" s="210" t="s">
        <v>1533</v>
      </c>
      <c r="C39" s="232">
        <f ca="1">ROUND(C33*F20,0)</f>
        <v>35088</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74264</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72808</v>
      </c>
      <c r="D42" s="238"/>
      <c r="E42" s="238"/>
      <c r="F42" s="239"/>
      <c r="G42" s="3628" t="s">
        <v>1589</v>
      </c>
    </row>
    <row r="43" spans="1:7" ht="13.5" customHeight="1">
      <c r="A43" s="779" t="s">
        <v>347</v>
      </c>
      <c r="B43" s="215" t="s">
        <v>1543</v>
      </c>
      <c r="C43" s="238">
        <f ca="1">ROUND(IF('数据-取费表'!B22&lt;=1,C39*F22*'数据-取费表'!B20/2,C39*(POWER((1+F22),'数据-取费表'!B20/2)-1)),0)</f>
        <v>1456</v>
      </c>
      <c r="D43" s="238"/>
      <c r="E43" s="238"/>
      <c r="F43" s="239"/>
      <c r="G43" s="3629"/>
    </row>
    <row r="44" spans="1:7" ht="13.5" customHeight="1">
      <c r="A44" s="779" t="s">
        <v>348</v>
      </c>
      <c r="B44" s="215" t="s">
        <v>1544</v>
      </c>
      <c r="C44" s="238">
        <f ca="1">ROUND(IF('数据-取费表'!B22&lt;=1,C40*F22*'数据-取费表'!B20/2,C40*(POWER((1+F22),'数据-取费表'!B20/2)-1)),4)</f>
        <v>8.0000000000000004E-4</v>
      </c>
      <c r="D44" s="238"/>
      <c r="E44" s="238"/>
      <c r="F44" s="239"/>
      <c r="G44" s="3630"/>
    </row>
    <row r="45" spans="1:7" s="214" customFormat="1" ht="13.5" customHeight="1">
      <c r="A45" s="255" t="s">
        <v>1545</v>
      </c>
      <c r="B45" s="244" t="s">
        <v>1511</v>
      </c>
      <c r="C45" s="245">
        <f ca="1">C46</f>
        <v>357902</v>
      </c>
      <c r="D45" s="235">
        <f ca="1">C47</f>
        <v>4.0000000000000001E-3</v>
      </c>
      <c r="E45" s="236" t="s">
        <v>1537</v>
      </c>
      <c r="F45" s="246">
        <f ca="1">F27</f>
        <v>0.2</v>
      </c>
      <c r="G45" s="247" t="s">
        <v>1546</v>
      </c>
    </row>
    <row r="46" spans="1:7" s="214" customFormat="1" ht="13.5" customHeight="1">
      <c r="A46" s="779" t="s">
        <v>346</v>
      </c>
      <c r="B46" s="248" t="s">
        <v>1547</v>
      </c>
      <c r="C46" s="249">
        <f ca="1">ROUND((C33+C39)*F27,0)</f>
        <v>357902</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2407536</v>
      </c>
      <c r="D49" s="232"/>
      <c r="E49" s="232"/>
      <c r="F49" s="264"/>
      <c r="G49" s="234" t="s">
        <v>1552</v>
      </c>
    </row>
    <row r="50" spans="1:7" s="258" customFormat="1">
      <c r="A50" s="255" t="s">
        <v>1553</v>
      </c>
      <c r="B50" s="210" t="s">
        <v>1554</v>
      </c>
      <c r="C50" s="232"/>
      <c r="D50" s="232"/>
      <c r="E50" s="232"/>
      <c r="F50" s="264">
        <f>IF('数据-取费表'!B24=0,'数据-取费表'!N16,1)</f>
        <v>0.88</v>
      </c>
      <c r="G50" s="247"/>
    </row>
    <row r="51" spans="1:7" ht="16.5" customHeight="1">
      <c r="A51" s="255" t="s">
        <v>1556</v>
      </c>
      <c r="B51" s="210" t="s">
        <v>1591</v>
      </c>
      <c r="C51" s="232">
        <f ca="1">ROUND(C49*F50,0)</f>
        <v>2118632</v>
      </c>
      <c r="D51" s="232"/>
      <c r="E51" s="232"/>
      <c r="F51" s="264"/>
      <c r="G51" s="234" t="s">
        <v>1558</v>
      </c>
    </row>
    <row r="52" spans="1:7" s="208" customFormat="1" ht="16.5" thickBot="1">
      <c r="A52" s="265" t="s">
        <v>1559</v>
      </c>
      <c r="B52" s="266"/>
      <c r="C52" s="267">
        <f ca="1">C31+C51</f>
        <v>2335624</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1"/>
      <c r="F1" s="2801"/>
      <c r="G1" s="2666"/>
      <c r="H1" s="2801"/>
      <c r="I1" s="2801"/>
      <c r="J1" s="2801"/>
      <c r="K1" s="2802">
        <f>MATCH(C1,'数据-取费表'!A6:A16,0)+5</f>
        <v>7</v>
      </c>
    </row>
    <row r="2" spans="1:33" ht="18" customHeight="1">
      <c r="A2" s="201" t="s">
        <v>1460</v>
      </c>
      <c r="B2" s="204">
        <f ca="1">C32</f>
        <v>0</v>
      </c>
      <c r="C2" s="276" t="s">
        <v>1593</v>
      </c>
      <c r="D2" s="276"/>
      <c r="E2" s="2801"/>
      <c r="F2" s="2801"/>
      <c r="G2" s="2801"/>
      <c r="H2" s="2801"/>
      <c r="I2" s="2801"/>
      <c r="J2" s="2801"/>
      <c r="K2" s="2801"/>
    </row>
    <row r="3" spans="1:33" ht="18" customHeight="1" thickBot="1">
      <c r="A3" s="203" t="s">
        <v>1462</v>
      </c>
      <c r="B3" s="204">
        <f ca="1">ROUND(B2*10000/IF(C1="",'数据-汇总表'!E3,INDIRECT("'数据-取费表'!K"&amp;$K$1)),0)</f>
        <v>0</v>
      </c>
      <c r="C3" s="276" t="s">
        <v>1594</v>
      </c>
      <c r="D3" s="276"/>
      <c r="E3" s="2801"/>
      <c r="F3" s="2801"/>
      <c r="G3" s="2801"/>
      <c r="H3" s="2801"/>
      <c r="I3" s="2801"/>
      <c r="J3" s="2801"/>
      <c r="K3" s="2801"/>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402.39</v>
      </c>
      <c r="E14" s="21">
        <f>'数据-取费表'!B35</f>
        <v>180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402.39</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-5.0000000000000711E-2</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8</v>
      </c>
      <c r="D20" s="845">
        <f ca="1">IF(C1="",'数据-汇总表'!E6,IF(INDIRECT("'数据-取费表'!c"&amp;$K$1)="住宅",INDIRECT("'数据-取费表'!s"&amp;$K$1),INDIRECT("'数据-取费表'!k"&amp;$K$1)+INDIRECT("'数据-取费表'!s"&amp;$K$1)))</f>
        <v>402.39</v>
      </c>
      <c r="E20" s="21">
        <f>'数据-取费表'!B28</f>
        <v>200</v>
      </c>
      <c r="F20" s="803"/>
      <c r="G20" s="12"/>
      <c r="H20" s="808"/>
      <c r="I20" s="808"/>
      <c r="J20" s="808"/>
      <c r="K20" s="809"/>
    </row>
    <row r="21" spans="1:33" s="802" customFormat="1" ht="13.5" customHeight="1">
      <c r="A21" s="789" t="s">
        <v>357</v>
      </c>
      <c r="B21" s="812" t="s">
        <v>1626</v>
      </c>
      <c r="C21" s="813">
        <f ca="1">C16+C17+C18</f>
        <v>-5.0000000000000711E-2</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33" t="s">
        <v>694</v>
      </c>
      <c r="C6" s="1073">
        <f ca="1">ROUND(F6*F8*F7*(1-F9)/10000,0)</f>
        <v>0</v>
      </c>
      <c r="D6" s="155" t="s">
        <v>2106</v>
      </c>
      <c r="E6" s="302" t="s">
        <v>696</v>
      </c>
      <c r="F6" s="303">
        <f ca="1">INDIRECT("'数据-取费表'!u"&amp;$G$1)</f>
        <v>0</v>
      </c>
      <c r="G6" s="1383"/>
      <c r="H6" s="1068" t="s">
        <v>398</v>
      </c>
      <c r="I6" s="3633" t="s">
        <v>694</v>
      </c>
      <c r="J6" s="301">
        <f ca="1">ROUND(M6*M8*M7*(1-M9)/10000,0)</f>
        <v>0</v>
      </c>
      <c r="K6" s="155" t="s">
        <v>2105</v>
      </c>
      <c r="L6" s="302" t="s">
        <v>696</v>
      </c>
      <c r="M6" s="303">
        <f ca="1">INDIRECT("'数据-取费表'!z"&amp;$G$1)</f>
        <v>0</v>
      </c>
    </row>
    <row r="7" spans="1:37" ht="18" customHeight="1">
      <c r="A7" s="1072"/>
      <c r="B7" s="3634"/>
      <c r="C7" s="1074"/>
      <c r="D7" s="307"/>
      <c r="E7" s="1075" t="s">
        <v>697</v>
      </c>
      <c r="F7" s="303">
        <f ca="1">IF(INDIRECT("'数据-取费表'!ah"&amp;$G$1)="",INDIRECT("'数据-取费表'!k"&amp;$G$1),INDIRECT("'数据-取费表'!ah"&amp;$G$1))</f>
        <v>0</v>
      </c>
      <c r="G7" s="1383"/>
      <c r="H7" s="304"/>
      <c r="I7" s="3634"/>
      <c r="J7" s="306"/>
      <c r="K7" s="307"/>
      <c r="L7" s="302" t="s">
        <v>697</v>
      </c>
      <c r="M7" s="303">
        <f ca="1">F7</f>
        <v>0</v>
      </c>
    </row>
    <row r="8" spans="1:37" ht="18" customHeight="1">
      <c r="A8" s="304"/>
      <c r="B8" s="3634"/>
      <c r="C8" s="306"/>
      <c r="D8" s="307"/>
      <c r="E8" s="302" t="s">
        <v>698</v>
      </c>
      <c r="F8" s="303">
        <f ca="1">INDIRECT("'数据-取费表'!ai"&amp;$G$1)</f>
        <v>0</v>
      </c>
      <c r="G8" s="1383"/>
      <c r="H8" s="304"/>
      <c r="I8" s="3634"/>
      <c r="J8" s="306"/>
      <c r="K8" s="307"/>
      <c r="L8" s="302" t="s">
        <v>698</v>
      </c>
      <c r="M8" s="303">
        <f ca="1">INDIRECT("'数据-取费表'!ai"&amp;$G$1)</f>
        <v>0</v>
      </c>
    </row>
    <row r="9" spans="1:37" ht="18" customHeight="1">
      <c r="A9" s="304"/>
      <c r="B9" s="3635"/>
      <c r="C9" s="306"/>
      <c r="D9" s="307"/>
      <c r="E9" s="302" t="s">
        <v>699</v>
      </c>
      <c r="F9" s="312">
        <f ca="1">INDIRECT("'数据-取费表'!w"&amp;$G$1)</f>
        <v>0</v>
      </c>
      <c r="G9" s="1383"/>
      <c r="H9" s="304"/>
      <c r="I9" s="363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180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2"/>
      <c r="I30" s="1397"/>
      <c r="J30" s="1398"/>
      <c r="K30" s="2471"/>
      <c r="L30" s="2693"/>
      <c r="M30" s="2694"/>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3" t="s">
        <v>2300</v>
      </c>
      <c r="I31" s="1397"/>
      <c r="J31" s="1398"/>
      <c r="K31" s="2471"/>
      <c r="L31" s="2693"/>
      <c r="M31" s="2694"/>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2"/>
      <c r="I32" s="1397"/>
      <c r="J32" s="1398"/>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IF(项目基本情况!B11="自然人","——",ROUND(F34*F35/10000,2))</f>
        <v>0</v>
      </c>
      <c r="D34" s="324" t="s">
        <v>731</v>
      </c>
      <c r="E34" s="302" t="s">
        <v>732</v>
      </c>
      <c r="F34" s="325">
        <f>'数据-取费表'!B52</f>
        <v>1.5</v>
      </c>
      <c r="G34" s="1383"/>
      <c r="H34" s="2692"/>
      <c r="I34" s="1397"/>
      <c r="J34" s="1398"/>
      <c r="K34" s="2697"/>
      <c r="L34" s="2698"/>
      <c r="M34" s="2698"/>
    </row>
    <row r="35" spans="1:18" ht="18" customHeight="1">
      <c r="A35" s="1102"/>
      <c r="B35" s="1100"/>
      <c r="C35" s="26"/>
      <c r="D35" s="327"/>
      <c r="E35" s="302" t="s">
        <v>736</v>
      </c>
      <c r="F35" s="303">
        <f ca="1">INDIRECT("'数据-取费表'!r"&amp;$G$1)</f>
        <v>0</v>
      </c>
      <c r="G35" s="1383"/>
      <c r="H35" s="2692"/>
      <c r="I35" s="1397"/>
      <c r="J35" s="1398"/>
      <c r="K35" s="2696"/>
      <c r="L35" s="2695"/>
      <c r="M35" s="2695"/>
    </row>
    <row r="36" spans="1:18" ht="18" customHeight="1">
      <c r="A36" s="1101" t="s">
        <v>402</v>
      </c>
      <c r="B36" s="302" t="s">
        <v>738</v>
      </c>
      <c r="C36" s="21">
        <f ca="1">ROUND(C29*F36,2)</f>
        <v>0</v>
      </c>
      <c r="D36" s="1343" t="s">
        <v>771</v>
      </c>
      <c r="E36" s="302" t="s">
        <v>712</v>
      </c>
      <c r="F36" s="328">
        <f ca="1">INDIRECT("'数据-取费表'!Ak"&amp;$G$1)</f>
        <v>0</v>
      </c>
      <c r="G36" s="1383"/>
      <c r="H36" s="2695"/>
      <c r="I36" s="1397"/>
      <c r="J36" s="1398"/>
      <c r="K36" s="2540"/>
      <c r="L36" s="2695"/>
      <c r="M36" s="2695"/>
    </row>
    <row r="37" spans="1:18" ht="18" customHeight="1">
      <c r="A37" s="981" t="s">
        <v>437</v>
      </c>
      <c r="B37" s="302" t="s">
        <v>742</v>
      </c>
      <c r="C37" s="21">
        <f ca="1">ROUND(C13*F37,2)</f>
        <v>0</v>
      </c>
      <c r="D37" s="1343" t="s">
        <v>743</v>
      </c>
      <c r="E37" s="302" t="s">
        <v>744</v>
      </c>
      <c r="F37" s="330">
        <f ca="1">INDIRECT("'数据-取费表'!Al"&amp;$G$1)</f>
        <v>0</v>
      </c>
      <c r="G37" s="1383"/>
      <c r="H37" s="2695"/>
      <c r="I37" s="1397"/>
      <c r="J37" s="1398"/>
      <c r="K37" s="2540"/>
      <c r="L37" s="2695"/>
      <c r="M37" s="2695"/>
    </row>
    <row r="38" spans="1:18" ht="18" customHeight="1" thickBot="1">
      <c r="A38" s="1088" t="s">
        <v>684</v>
      </c>
      <c r="B38" s="1089" t="s">
        <v>728</v>
      </c>
      <c r="C38" s="1090">
        <f ca="1">ROUND(C5*F38,2)</f>
        <v>0</v>
      </c>
      <c r="D38" s="1091" t="s">
        <v>748</v>
      </c>
      <c r="E38" s="1089" t="s">
        <v>744</v>
      </c>
      <c r="F38" s="1085">
        <f ca="1">INDIRECT("'数据-取费表'!Am"&amp;$G$1)</f>
        <v>0</v>
      </c>
      <c r="G38" s="1383"/>
      <c r="H38" s="2695"/>
      <c r="I38" s="1397"/>
      <c r="J38" s="1398"/>
      <c r="K38" s="2699"/>
      <c r="L38" s="2695"/>
      <c r="M38" s="2695"/>
    </row>
    <row r="39" spans="1:18" ht="24.6" customHeight="1" thickTop="1">
      <c r="A39" s="1078" t="s">
        <v>394</v>
      </c>
      <c r="B39" s="1093" t="s">
        <v>772</v>
      </c>
      <c r="C39" s="310">
        <f ca="1">C5-C30</f>
        <v>0</v>
      </c>
      <c r="D39" s="1094" t="s">
        <v>773</v>
      </c>
      <c r="E39" s="1095"/>
      <c r="F39" s="1096"/>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0</v>
      </c>
      <c r="K53" s="3631" t="s">
        <v>837</v>
      </c>
      <c r="L53" s="363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K26" sqref="K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3380</v>
      </c>
      <c r="E1" s="3421" t="s">
        <v>3396</v>
      </c>
      <c r="F1" s="1878" t="s">
        <v>3397</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1463.5728999999999</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9"/>
      <c r="M2" s="2730"/>
      <c r="N2" s="2730"/>
      <c r="O2" s="2730"/>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36372</v>
      </c>
      <c r="C3" s="354" t="s">
        <v>1766</v>
      </c>
      <c r="D3" s="353">
        <f>IF(D1="",'数据-汇总表'!E3,SUMIF('数据-汇总表'!$C19:$C33,D1,'数据-汇总表'!$E19:$E33))</f>
        <v>402.39</v>
      </c>
      <c r="E3" s="1953"/>
      <c r="F3" s="908"/>
      <c r="G3" s="907"/>
      <c r="H3" s="907"/>
      <c r="I3" s="907"/>
      <c r="J3" s="907"/>
      <c r="K3" s="909"/>
      <c r="L3" s="2729"/>
      <c r="M3" s="2730"/>
      <c r="N3" s="2730"/>
      <c r="O3" s="2730"/>
      <c r="P3" s="1951"/>
      <c r="Q3" s="911"/>
      <c r="R3" s="911"/>
      <c r="S3" s="911"/>
      <c r="T3" s="911"/>
      <c r="U3" s="911"/>
      <c r="V3" s="911"/>
      <c r="W3" s="911"/>
      <c r="X3" s="911"/>
      <c r="Y3" s="911"/>
      <c r="Z3" s="911"/>
      <c r="AA3" s="911"/>
      <c r="AB3" s="911"/>
      <c r="AC3" s="1953"/>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91" t="s">
        <v>1771</v>
      </c>
      <c r="W4" s="3691"/>
      <c r="X4" s="1354"/>
      <c r="Y4" s="3685" t="s">
        <v>1773</v>
      </c>
      <c r="Z4" s="3686"/>
      <c r="AA4" s="3672" t="s">
        <v>1769</v>
      </c>
      <c r="AB4" s="3691" t="s">
        <v>1770</v>
      </c>
      <c r="AC4" s="3672" t="s">
        <v>1771</v>
      </c>
    </row>
    <row r="5" spans="1:29" ht="15">
      <c r="A5" s="358"/>
      <c r="B5" s="359"/>
      <c r="C5" s="3694" t="s">
        <v>1671</v>
      </c>
      <c r="D5" s="3695"/>
      <c r="E5" s="3701" t="s">
        <v>1672</v>
      </c>
      <c r="F5" s="3702"/>
      <c r="G5" s="3694" t="s">
        <v>1673</v>
      </c>
      <c r="H5" s="3695"/>
      <c r="I5" s="3694" t="s">
        <v>1674</v>
      </c>
      <c r="J5" s="3695"/>
      <c r="K5" s="559"/>
      <c r="L5" s="2710"/>
      <c r="M5" s="2711"/>
      <c r="N5" s="2711"/>
      <c r="O5" s="2711"/>
      <c r="P5" s="3681"/>
      <c r="Q5" s="3682"/>
      <c r="R5" s="3687"/>
      <c r="S5" s="3688"/>
      <c r="T5" s="3687"/>
      <c r="U5" s="3688"/>
      <c r="V5" s="3691"/>
      <c r="W5" s="3691"/>
      <c r="X5" s="1354"/>
      <c r="Y5" s="3687"/>
      <c r="Z5" s="3688"/>
      <c r="AA5" s="3673"/>
      <c r="AB5" s="3691"/>
      <c r="AC5" s="3673"/>
    </row>
    <row r="6" spans="1:29" ht="15.75" thickBot="1">
      <c r="A6" s="360"/>
      <c r="B6" s="361"/>
      <c r="C6" s="3692" t="s">
        <v>1675</v>
      </c>
      <c r="D6" s="3693"/>
      <c r="E6" s="3699" t="s">
        <v>1675</v>
      </c>
      <c r="F6" s="3700"/>
      <c r="G6" s="3692" t="s">
        <v>1675</v>
      </c>
      <c r="H6" s="3693"/>
      <c r="I6" s="3692" t="s">
        <v>1675</v>
      </c>
      <c r="J6" s="3693"/>
      <c r="K6" s="559" t="s">
        <v>1676</v>
      </c>
      <c r="L6" s="2710"/>
      <c r="M6" s="2711"/>
      <c r="N6" s="2711"/>
      <c r="O6" s="2711"/>
      <c r="P6" s="3683"/>
      <c r="Q6" s="3684"/>
      <c r="R6" s="3687"/>
      <c r="S6" s="3688"/>
      <c r="T6" s="3689"/>
      <c r="U6" s="3690"/>
      <c r="V6" s="3691"/>
      <c r="W6" s="3691"/>
      <c r="X6" s="1354"/>
      <c r="Y6" s="3689"/>
      <c r="Z6" s="3690"/>
      <c r="AA6" s="3674"/>
      <c r="AB6" s="3691"/>
      <c r="AC6" s="3674"/>
    </row>
    <row r="7" spans="1:29" s="108" customFormat="1" ht="15.75" thickBot="1">
      <c r="A7" s="362" t="s">
        <v>1677</v>
      </c>
      <c r="B7" s="363"/>
      <c r="C7" s="364">
        <f>'数据-取费表'!B2</f>
        <v>45057</v>
      </c>
      <c r="D7" s="365">
        <v>100</v>
      </c>
      <c r="E7" s="366">
        <f>C7</f>
        <v>45057</v>
      </c>
      <c r="F7" s="367">
        <f>SUMIF(58:58,YEAR(E7)&amp;"-"&amp;MONTH(E7),59:59)</f>
        <v>100</v>
      </c>
      <c r="G7" s="366">
        <f>C7</f>
        <v>45057</v>
      </c>
      <c r="H7" s="365">
        <f>SUMIF(58:58,YEAR(G7)&amp;"-"&amp;MONTH(G7),59:59)</f>
        <v>100</v>
      </c>
      <c r="I7" s="366">
        <f>C7</f>
        <v>45057</v>
      </c>
      <c r="J7" s="365">
        <f>SUMIF(58:58,YEAR(I7)&amp;"-"&amp;MONTH(I7),59:59)</f>
        <v>100</v>
      </c>
      <c r="K7" s="560"/>
      <c r="L7" s="2712"/>
      <c r="M7" s="2713"/>
      <c r="N7" s="2713"/>
      <c r="O7" s="2713"/>
      <c r="P7" s="3696" t="s">
        <v>1678</v>
      </c>
      <c r="Q7" s="3698"/>
      <c r="R7" s="700" t="s">
        <v>14</v>
      </c>
      <c r="S7" s="701">
        <f t="shared" ref="S7:S15" si="0">F7</f>
        <v>100</v>
      </c>
      <c r="T7" s="700" t="s">
        <v>14</v>
      </c>
      <c r="U7" s="701">
        <f t="shared" ref="U7:U15" si="1">H7</f>
        <v>100</v>
      </c>
      <c r="V7" s="700" t="s">
        <v>14</v>
      </c>
      <c r="W7" s="701">
        <f t="shared" ref="W7:W15" si="2">J7</f>
        <v>100</v>
      </c>
      <c r="X7" s="702"/>
      <c r="Y7" s="3696" t="s">
        <v>1678</v>
      </c>
      <c r="Z7" s="3697"/>
      <c r="AA7" s="703">
        <f>D7/F7</f>
        <v>1</v>
      </c>
      <c r="AB7" s="703">
        <f>D7/H7</f>
        <v>1</v>
      </c>
      <c r="AC7" s="703">
        <f>D7/J7</f>
        <v>1</v>
      </c>
    </row>
    <row r="8" spans="1:29" s="108" customFormat="1" ht="15.75" thickBot="1">
      <c r="A8" s="362" t="s">
        <v>1679</v>
      </c>
      <c r="B8" s="363"/>
      <c r="C8" s="368" t="s">
        <v>3442</v>
      </c>
      <c r="D8" s="365">
        <v>100</v>
      </c>
      <c r="E8" s="368" t="s">
        <v>3440</v>
      </c>
      <c r="F8" s="367">
        <f>SUMIF(61:61,E8,62:62)-SUMIF(61:61,C8,62:62)+100</f>
        <v>102</v>
      </c>
      <c r="G8" s="368" t="s">
        <v>3440</v>
      </c>
      <c r="H8" s="365">
        <f>SUMIF(61:61,G8,62:62)-SUMIF(61:61,C8,62:62)+100</f>
        <v>102</v>
      </c>
      <c r="I8" s="368" t="s">
        <v>3440</v>
      </c>
      <c r="J8" s="365">
        <f>SUMIF(61:61,I8,62:62)-SUMIF(61:61,C8,62:62)+100</f>
        <v>102</v>
      </c>
      <c r="K8" s="560"/>
      <c r="L8" s="2712"/>
      <c r="M8" s="2713"/>
      <c r="N8" s="2713"/>
      <c r="O8" s="2713"/>
      <c r="P8" s="3696" t="s">
        <v>1681</v>
      </c>
      <c r="Q8" s="3697"/>
      <c r="R8" s="700" t="s">
        <v>14</v>
      </c>
      <c r="S8" s="701">
        <f t="shared" si="0"/>
        <v>102</v>
      </c>
      <c r="T8" s="700" t="s">
        <v>14</v>
      </c>
      <c r="U8" s="701">
        <f t="shared" si="1"/>
        <v>102</v>
      </c>
      <c r="V8" s="700" t="s">
        <v>14</v>
      </c>
      <c r="W8" s="701">
        <f t="shared" si="2"/>
        <v>102</v>
      </c>
      <c r="X8" s="702"/>
      <c r="Y8" s="3696" t="s">
        <v>1681</v>
      </c>
      <c r="Z8" s="3697"/>
      <c r="AA8" s="703">
        <f t="shared" ref="AA8:AA46" si="3">D8/F8</f>
        <v>0.98039215686274506</v>
      </c>
      <c r="AB8" s="703">
        <f t="shared" ref="AB8:AB46" si="4">D8/H8</f>
        <v>0.98039215686274506</v>
      </c>
      <c r="AC8" s="703">
        <f t="shared" ref="AC8:AC46" si="5">D8/J8</f>
        <v>0.98039215686274506</v>
      </c>
    </row>
    <row r="9" spans="1:29" s="108" customFormat="1" ht="15">
      <c r="A9" s="369" t="s">
        <v>1682</v>
      </c>
      <c r="B9" s="63" t="s">
        <v>1683</v>
      </c>
      <c r="C9" s="3796" t="s">
        <v>3443</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1"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703">
        <f t="shared" si="5"/>
        <v>1</v>
      </c>
    </row>
    <row r="10" spans="1:29" s="378" customFormat="1" ht="27">
      <c r="A10" s="374"/>
      <c r="B10" s="375" t="s">
        <v>1686</v>
      </c>
      <c r="C10" s="3429" t="str">
        <f>D65</f>
        <v>20-30</v>
      </c>
      <c r="D10" s="127">
        <v>100</v>
      </c>
      <c r="E10" s="3430" t="str">
        <f>C10</f>
        <v>20-30</v>
      </c>
      <c r="F10" s="376">
        <f>SUMIF(65:65,E10,66:66)-SUMIF(65:65,C10,66:66)+100</f>
        <v>100</v>
      </c>
      <c r="G10" s="3429" t="str">
        <f>C10</f>
        <v>20-30</v>
      </c>
      <c r="H10" s="127">
        <f>SUMIF(65:65,G10,66:66)-SUMIF(65:65,C10,66:66)+100</f>
        <v>100</v>
      </c>
      <c r="I10" s="3429" t="str">
        <f>C10</f>
        <v>20-30</v>
      </c>
      <c r="J10" s="127">
        <f>SUMIF(65:65,I10,66:66)-SUMIF(65:65,C10,66:66)+100</f>
        <v>100</v>
      </c>
      <c r="K10" s="560"/>
      <c r="L10" s="2714"/>
      <c r="M10" s="2715"/>
      <c r="N10" s="2715"/>
      <c r="O10" s="2715"/>
      <c r="P10" s="3671"/>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703">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1"/>
      <c r="Q11" s="1342" t="str">
        <f t="shared" si="6"/>
        <v>容积率</v>
      </c>
      <c r="R11" s="700" t="s">
        <v>14</v>
      </c>
      <c r="S11" s="701">
        <f t="shared" si="0"/>
        <v>100</v>
      </c>
      <c r="T11" s="700" t="s">
        <v>14</v>
      </c>
      <c r="U11" s="701">
        <f t="shared" si="1"/>
        <v>100</v>
      </c>
      <c r="V11" s="700" t="s">
        <v>14</v>
      </c>
      <c r="W11" s="701">
        <f t="shared" si="2"/>
        <v>100</v>
      </c>
      <c r="X11" s="702"/>
      <c r="Y11" s="3535"/>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1"/>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1"/>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1"/>
      <c r="Q14" s="1342">
        <f t="shared" si="6"/>
        <v>111</v>
      </c>
      <c r="R14" s="700" t="s">
        <v>14</v>
      </c>
      <c r="S14" s="701">
        <f t="shared" si="0"/>
        <v>100</v>
      </c>
      <c r="T14" s="700" t="s">
        <v>14</v>
      </c>
      <c r="U14" s="701">
        <f t="shared" si="1"/>
        <v>100</v>
      </c>
      <c r="V14" s="700" t="s">
        <v>14</v>
      </c>
      <c r="W14" s="701">
        <f t="shared" si="2"/>
        <v>100</v>
      </c>
      <c r="X14" s="702"/>
      <c r="Y14" s="3535"/>
      <c r="Z14" s="52">
        <f t="shared" si="7"/>
        <v>111</v>
      </c>
      <c r="AA14" s="703">
        <f t="shared" si="3"/>
        <v>1</v>
      </c>
      <c r="AB14" s="703">
        <f t="shared" si="4"/>
        <v>1</v>
      </c>
      <c r="AC14" s="703">
        <f t="shared" si="5"/>
        <v>1</v>
      </c>
    </row>
    <row r="15" spans="1:29" ht="15">
      <c r="A15" s="391" t="s">
        <v>1688</v>
      </c>
      <c r="B15" s="61" t="s">
        <v>1775</v>
      </c>
      <c r="C15" s="1895" t="str">
        <f>估价对象房地状况!C4</f>
        <v>较好</v>
      </c>
      <c r="D15" s="392">
        <v>100</v>
      </c>
      <c r="E15" s="393" t="s">
        <v>3387</v>
      </c>
      <c r="F15" s="394">
        <f>SUMIF(76:76,E16,77:77)-SUMIF(76:76,C16,77:77)+100</f>
        <v>100</v>
      </c>
      <c r="G15" s="393" t="s">
        <v>3387</v>
      </c>
      <c r="H15" s="392">
        <f>SUMIF(76:76,G16,77:77)-SUMIF(76:76,C16,77:77)+100</f>
        <v>100</v>
      </c>
      <c r="I15" s="393" t="s">
        <v>3387</v>
      </c>
      <c r="J15" s="392">
        <f>SUMIF(76:76,I16,77:77)-SUMIF(76:76,C16,77:77)+100</f>
        <v>100</v>
      </c>
      <c r="K15" s="563">
        <v>2</v>
      </c>
      <c r="L15" s="2717"/>
      <c r="M15" s="2711"/>
      <c r="N15" s="2711"/>
      <c r="O15" s="2711"/>
      <c r="P15" s="3669" t="s">
        <v>1689</v>
      </c>
      <c r="Q15" s="1351" t="str">
        <f t="shared" si="6"/>
        <v>商业繁华度</v>
      </c>
      <c r="R15" s="704" t="s">
        <v>14</v>
      </c>
      <c r="S15" s="705">
        <f t="shared" si="0"/>
        <v>100</v>
      </c>
      <c r="T15" s="704" t="s">
        <v>14</v>
      </c>
      <c r="U15" s="705">
        <f t="shared" si="1"/>
        <v>100</v>
      </c>
      <c r="V15" s="704" t="s">
        <v>14</v>
      </c>
      <c r="W15" s="705">
        <f t="shared" si="2"/>
        <v>100</v>
      </c>
      <c r="X15" s="1354"/>
      <c r="Y15" s="3662" t="s">
        <v>1689</v>
      </c>
      <c r="Z15" s="1355" t="str">
        <f t="shared" si="7"/>
        <v>商业繁华度</v>
      </c>
      <c r="AA15" s="1352">
        <f t="shared" si="3"/>
        <v>1</v>
      </c>
      <c r="AB15" s="1352">
        <f t="shared" si="4"/>
        <v>1</v>
      </c>
      <c r="AC15" s="1352">
        <f t="shared" si="5"/>
        <v>1</v>
      </c>
    </row>
    <row r="16" spans="1:29" ht="15">
      <c r="A16" s="379"/>
      <c r="B16" s="397"/>
      <c r="C16" s="398" t="s">
        <v>3387</v>
      </c>
      <c r="D16" s="399"/>
      <c r="E16" s="398" t="s">
        <v>3387</v>
      </c>
      <c r="F16" s="400"/>
      <c r="G16" s="398" t="s">
        <v>3387</v>
      </c>
      <c r="H16" s="401"/>
      <c r="I16" s="398" t="s">
        <v>3387</v>
      </c>
      <c r="J16" s="399"/>
      <c r="K16" s="564"/>
      <c r="L16" s="2717"/>
      <c r="M16" s="2711"/>
      <c r="N16" s="2711"/>
      <c r="O16" s="2711"/>
      <c r="P16" s="3670"/>
      <c r="Q16" s="1351"/>
      <c r="R16" s="704"/>
      <c r="S16" s="705"/>
      <c r="T16" s="704"/>
      <c r="U16" s="705"/>
      <c r="V16" s="704"/>
      <c r="W16" s="705"/>
      <c r="X16" s="1354"/>
      <c r="Y16" s="3663"/>
      <c r="Z16" s="1355"/>
      <c r="AA16" s="1352">
        <v>1</v>
      </c>
      <c r="AB16" s="1352">
        <v>1</v>
      </c>
      <c r="AC16" s="1352">
        <v>1</v>
      </c>
    </row>
    <row r="17" spans="1:29" ht="15">
      <c r="A17" s="379"/>
      <c r="B17" s="402" t="s">
        <v>1257</v>
      </c>
      <c r="C17" s="1899" t="str">
        <f>估价对象房地状况!C6</f>
        <v>较好</v>
      </c>
      <c r="D17" s="401">
        <v>100</v>
      </c>
      <c r="E17" s="403" t="s">
        <v>3387</v>
      </c>
      <c r="F17" s="404">
        <f>SUMIF(78:78,E18,79:79)-SUMIF(78:78,C18,79:79)+100</f>
        <v>100</v>
      </c>
      <c r="G17" s="403" t="s">
        <v>3387</v>
      </c>
      <c r="H17" s="406">
        <f>SUMIF(78:78,G18,79:79)-SUMIF(78:78,C18,79:79)+100</f>
        <v>100</v>
      </c>
      <c r="I17" s="403" t="s">
        <v>3387</v>
      </c>
      <c r="J17" s="406">
        <f>SUMIF(78:78,I18,79:79)-SUMIF(78:78,C18,79:79)+100</f>
        <v>100</v>
      </c>
      <c r="K17" s="563">
        <v>2</v>
      </c>
      <c r="L17" s="2717"/>
      <c r="M17" s="2711"/>
      <c r="N17" s="2711"/>
      <c r="O17" s="2711"/>
      <c r="P17" s="3670"/>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407"/>
      <c r="C18" s="1900" t="s">
        <v>3387</v>
      </c>
      <c r="D18" s="401"/>
      <c r="E18" s="1902" t="s">
        <v>3387</v>
      </c>
      <c r="F18" s="404"/>
      <c r="G18" s="1902" t="s">
        <v>3387</v>
      </c>
      <c r="H18" s="399"/>
      <c r="I18" s="1902" t="s">
        <v>3387</v>
      </c>
      <c r="J18" s="399"/>
      <c r="K18" s="564"/>
      <c r="L18" s="2717"/>
      <c r="M18" s="2711"/>
      <c r="N18" s="2711"/>
      <c r="O18" s="2711"/>
      <c r="P18" s="3670"/>
      <c r="Q18" s="1351"/>
      <c r="R18" s="704"/>
      <c r="S18" s="705"/>
      <c r="T18" s="704"/>
      <c r="U18" s="705"/>
      <c r="V18" s="704"/>
      <c r="W18" s="705"/>
      <c r="X18" s="1354"/>
      <c r="Y18" s="3663"/>
      <c r="Z18" s="1355"/>
      <c r="AA18" s="1352">
        <v>1</v>
      </c>
      <c r="AB18" s="1352">
        <v>1</v>
      </c>
      <c r="AC18" s="1352">
        <v>1</v>
      </c>
    </row>
    <row r="19" spans="1:29" ht="15">
      <c r="A19" s="379"/>
      <c r="B19" s="402" t="s">
        <v>1776</v>
      </c>
      <c r="C19" s="1899" t="str">
        <f>估价对象房地状况!C7</f>
        <v>较好</v>
      </c>
      <c r="D19" s="406">
        <v>100</v>
      </c>
      <c r="E19" s="408" t="s">
        <v>3387</v>
      </c>
      <c r="F19" s="409">
        <f>SUMIF(80:80,E20,81:81)-SUMIF(80:80,C20,81:81)+100</f>
        <v>100</v>
      </c>
      <c r="G19" s="408" t="s">
        <v>3387</v>
      </c>
      <c r="H19" s="401">
        <f>SUMIF(80:80,G20,81:81)-SUMIF(80:80,C20,81:81)+100</f>
        <v>100</v>
      </c>
      <c r="I19" s="408" t="s">
        <v>3387</v>
      </c>
      <c r="J19" s="401">
        <f>SUMIF(80:80,I20,81:81)-SUMIF(80:80,C20,81:81)+100</f>
        <v>100</v>
      </c>
      <c r="K19" s="563">
        <v>2</v>
      </c>
      <c r="L19" s="2717"/>
      <c r="M19" s="2711"/>
      <c r="N19" s="2711"/>
      <c r="O19" s="2711"/>
      <c r="P19" s="3670"/>
      <c r="Q19" s="1351" t="str">
        <f>B19</f>
        <v>公共配套设施</v>
      </c>
      <c r="R19" s="704" t="s">
        <v>14</v>
      </c>
      <c r="S19" s="705">
        <f>F19</f>
        <v>100</v>
      </c>
      <c r="T19" s="704" t="s">
        <v>14</v>
      </c>
      <c r="U19" s="705">
        <f>H19</f>
        <v>100</v>
      </c>
      <c r="V19" s="704" t="s">
        <v>14</v>
      </c>
      <c r="W19" s="705">
        <f>J19</f>
        <v>100</v>
      </c>
      <c r="X19" s="1354"/>
      <c r="Y19" s="3663"/>
      <c r="Z19" s="1355" t="str">
        <f>Q19</f>
        <v>公共配套设施</v>
      </c>
      <c r="AA19" s="1352">
        <f t="shared" si="3"/>
        <v>1</v>
      </c>
      <c r="AB19" s="1352">
        <f t="shared" si="4"/>
        <v>1</v>
      </c>
      <c r="AC19" s="1352">
        <f t="shared" si="5"/>
        <v>1</v>
      </c>
    </row>
    <row r="20" spans="1:29" ht="15">
      <c r="A20" s="379"/>
      <c r="B20" s="407"/>
      <c r="C20" s="398" t="s">
        <v>3387</v>
      </c>
      <c r="D20" s="399"/>
      <c r="E20" s="1897" t="s">
        <v>3387</v>
      </c>
      <c r="F20" s="400"/>
      <c r="G20" s="1897" t="s">
        <v>3387</v>
      </c>
      <c r="H20" s="399"/>
      <c r="I20" s="1897" t="s">
        <v>3387</v>
      </c>
      <c r="J20" s="399"/>
      <c r="K20" s="564"/>
      <c r="L20" s="2717"/>
      <c r="M20" s="2711"/>
      <c r="N20" s="2711"/>
      <c r="O20" s="2711"/>
      <c r="P20" s="3670"/>
      <c r="Q20" s="1351"/>
      <c r="R20" s="704"/>
      <c r="S20" s="705"/>
      <c r="T20" s="704"/>
      <c r="U20" s="705"/>
      <c r="V20" s="704"/>
      <c r="W20" s="705"/>
      <c r="X20" s="1354"/>
      <c r="Y20" s="3663"/>
      <c r="Z20" s="1355"/>
      <c r="AA20" s="1352">
        <v>1</v>
      </c>
      <c r="AB20" s="1352">
        <v>1</v>
      </c>
      <c r="AC20" s="1352">
        <v>1</v>
      </c>
    </row>
    <row r="21" spans="1:29" ht="15">
      <c r="A21" s="379"/>
      <c r="B21" s="1130" t="s">
        <v>1777</v>
      </c>
      <c r="C21" s="1899"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7"/>
      <c r="M21" s="2711"/>
      <c r="N21" s="2711"/>
      <c r="O21" s="2711"/>
      <c r="P21" s="3670"/>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t="s">
        <v>3393</v>
      </c>
      <c r="D22" s="399"/>
      <c r="E22" s="398" t="s">
        <v>3393</v>
      </c>
      <c r="F22" s="400"/>
      <c r="G22" s="398" t="s">
        <v>3393</v>
      </c>
      <c r="H22" s="399"/>
      <c r="I22" s="398" t="s">
        <v>3393</v>
      </c>
      <c r="J22" s="399"/>
      <c r="K22" s="1129"/>
      <c r="L22" s="2717"/>
      <c r="M22" s="2711"/>
      <c r="N22" s="2711"/>
      <c r="O22" s="2711"/>
      <c r="P22" s="3670"/>
      <c r="Q22" s="1351"/>
      <c r="R22" s="704"/>
      <c r="S22" s="705"/>
      <c r="T22" s="704"/>
      <c r="U22" s="705"/>
      <c r="V22" s="704"/>
      <c r="W22" s="705"/>
      <c r="X22" s="1354"/>
      <c r="Y22" s="3663"/>
      <c r="Z22" s="1355"/>
      <c r="AA22" s="1352">
        <v>1</v>
      </c>
      <c r="AB22" s="1352">
        <v>1</v>
      </c>
      <c r="AC22" s="1352">
        <v>1</v>
      </c>
    </row>
    <row r="23" spans="1:29" ht="15">
      <c r="A23" s="379"/>
      <c r="B23" s="402" t="s">
        <v>1259</v>
      </c>
      <c r="C23" s="1954" t="str">
        <f>估价对象房地状况!C9</f>
        <v>一般</v>
      </c>
      <c r="D23" s="401">
        <v>100</v>
      </c>
      <c r="E23" s="403" t="s">
        <v>3390</v>
      </c>
      <c r="F23" s="404">
        <f>SUMIF(84:84,E24,85:85)-SUMIF(84:84,C24,85:85)+100</f>
        <v>100</v>
      </c>
      <c r="G23" s="403" t="s">
        <v>3390</v>
      </c>
      <c r="H23" s="401">
        <f>SUMIF(84:84,G24,85:85)-SUMIF(84:84,C24,85:85)+100</f>
        <v>100</v>
      </c>
      <c r="I23" s="403" t="s">
        <v>3390</v>
      </c>
      <c r="J23" s="401">
        <f>SUMIF(84:84,I24,85:85)-SUMIF(84:84,C24,85:85)+100</f>
        <v>100</v>
      </c>
      <c r="K23" s="563">
        <v>2</v>
      </c>
      <c r="L23" s="2717"/>
      <c r="M23" s="2711"/>
      <c r="N23" s="2711"/>
      <c r="O23" s="2711"/>
      <c r="P23" s="3670"/>
      <c r="Q23" s="1351" t="str">
        <f>B23</f>
        <v>自然及人文环境</v>
      </c>
      <c r="R23" s="704" t="s">
        <v>14</v>
      </c>
      <c r="S23" s="705">
        <f>F23</f>
        <v>100</v>
      </c>
      <c r="T23" s="704" t="s">
        <v>14</v>
      </c>
      <c r="U23" s="705">
        <f>H23</f>
        <v>100</v>
      </c>
      <c r="V23" s="704" t="s">
        <v>14</v>
      </c>
      <c r="W23" s="705">
        <f>J23</f>
        <v>100</v>
      </c>
      <c r="X23" s="1354"/>
      <c r="Y23" s="3663"/>
      <c r="Z23" s="1355" t="str">
        <f>Q23</f>
        <v>自然及人文环境</v>
      </c>
      <c r="AA23" s="1352">
        <f t="shared" si="3"/>
        <v>1</v>
      </c>
      <c r="AB23" s="1352">
        <f t="shared" si="4"/>
        <v>1</v>
      </c>
      <c r="AC23" s="1352">
        <f t="shared" si="5"/>
        <v>1</v>
      </c>
    </row>
    <row r="24" spans="1:29" ht="15">
      <c r="A24" s="379"/>
      <c r="B24" s="407"/>
      <c r="C24" s="398" t="s">
        <v>3390</v>
      </c>
      <c r="D24" s="399"/>
      <c r="E24" s="1897" t="s">
        <v>3390</v>
      </c>
      <c r="F24" s="400"/>
      <c r="G24" s="1897" t="s">
        <v>3390</v>
      </c>
      <c r="H24" s="399"/>
      <c r="I24" s="1897" t="s">
        <v>3390</v>
      </c>
      <c r="J24" s="399"/>
      <c r="K24" s="564"/>
      <c r="L24" s="2717"/>
      <c r="M24" s="2711"/>
      <c r="N24" s="2711"/>
      <c r="O24" s="2711"/>
      <c r="P24" s="3670"/>
      <c r="Q24" s="1351"/>
      <c r="R24" s="704"/>
      <c r="S24" s="705"/>
      <c r="T24" s="704"/>
      <c r="U24" s="705"/>
      <c r="V24" s="704"/>
      <c r="W24" s="705"/>
      <c r="X24" s="1354"/>
      <c r="Y24" s="3663"/>
      <c r="Z24" s="1355"/>
      <c r="AA24" s="1352">
        <v>1</v>
      </c>
      <c r="AB24" s="1352">
        <v>1</v>
      </c>
      <c r="AC24" s="1352">
        <v>1</v>
      </c>
    </row>
    <row r="25" spans="1:29" ht="15">
      <c r="A25" s="379"/>
      <c r="B25" s="375" t="s">
        <v>1778</v>
      </c>
      <c r="C25" s="565" t="s">
        <v>3413</v>
      </c>
      <c r="D25" s="386">
        <v>100</v>
      </c>
      <c r="E25" s="565" t="s">
        <v>3413</v>
      </c>
      <c r="F25" s="412">
        <f>SUMIF(86:86,E25,87:87)-SUMIF(86:86,C25,87:87)+100</f>
        <v>100</v>
      </c>
      <c r="G25" s="565" t="s">
        <v>3413</v>
      </c>
      <c r="H25" s="386">
        <f>SUMIF(86:86,G25,87:87)-SUMIF(86:86,C25,87:87)+100</f>
        <v>100</v>
      </c>
      <c r="I25" s="565" t="s">
        <v>3413</v>
      </c>
      <c r="J25" s="386">
        <f>SUMIF(86:86,I25,87:87)-SUMIF(86:86,C25,87:87)+100</f>
        <v>100</v>
      </c>
      <c r="K25" s="561">
        <v>2</v>
      </c>
      <c r="L25" s="2717"/>
      <c r="M25" s="2711"/>
      <c r="N25" s="2711"/>
      <c r="O25" s="2711"/>
      <c r="P25" s="3670"/>
      <c r="Q25" s="1351" t="str">
        <f t="shared" ref="Q25:Q46" si="11">B25</f>
        <v>临街状况</v>
      </c>
      <c r="R25" s="704" t="s">
        <v>14</v>
      </c>
      <c r="S25" s="705">
        <f>F25</f>
        <v>100</v>
      </c>
      <c r="T25" s="704" t="s">
        <v>14</v>
      </c>
      <c r="U25" s="705">
        <f>H25</f>
        <v>100</v>
      </c>
      <c r="V25" s="704" t="s">
        <v>14</v>
      </c>
      <c r="W25" s="705">
        <f>J25</f>
        <v>100</v>
      </c>
      <c r="X25" s="1354"/>
      <c r="Y25" s="3663"/>
      <c r="Z25" s="1355" t="str">
        <f>Q25</f>
        <v>临街状况</v>
      </c>
      <c r="AA25" s="1352">
        <f t="shared" si="3"/>
        <v>1</v>
      </c>
      <c r="AB25" s="1352">
        <f t="shared" si="4"/>
        <v>1</v>
      </c>
      <c r="AC25" s="1352">
        <f t="shared" si="5"/>
        <v>1</v>
      </c>
    </row>
    <row r="26" spans="1:29" ht="15">
      <c r="A26" s="379"/>
      <c r="B26" s="1132" t="s">
        <v>1779</v>
      </c>
      <c r="C26" s="3797" t="s">
        <v>3417</v>
      </c>
      <c r="D26" s="386">
        <v>100</v>
      </c>
      <c r="E26" s="385" t="s">
        <v>3387</v>
      </c>
      <c r="F26" s="412">
        <f>SUMIF(88:88,E26,89:89)-SUMIF(88:88,C26,89:89)+100</f>
        <v>100</v>
      </c>
      <c r="G26" s="385" t="s">
        <v>3387</v>
      </c>
      <c r="H26" s="386">
        <f>SUMIF(88:88,G26,89:89)-SUMIF(88:88,C26,89:89)+100</f>
        <v>100</v>
      </c>
      <c r="I26" s="385" t="s">
        <v>3387</v>
      </c>
      <c r="J26" s="386">
        <f>SUMIF(88:88,I26,89:89)-SUMIF(88:88,C26,89:89)+100</f>
        <v>100</v>
      </c>
      <c r="K26" s="562"/>
      <c r="L26" s="2717"/>
      <c r="M26" s="2711"/>
      <c r="N26" s="2711"/>
      <c r="O26" s="2711"/>
      <c r="P26" s="3670"/>
      <c r="Q26" s="1351" t="str">
        <f t="shared" si="11"/>
        <v>平面位置/可视性</v>
      </c>
      <c r="R26" s="704" t="s">
        <v>14</v>
      </c>
      <c r="S26" s="705">
        <f>F26</f>
        <v>100</v>
      </c>
      <c r="T26" s="704" t="s">
        <v>14</v>
      </c>
      <c r="U26" s="705">
        <f>H26</f>
        <v>100</v>
      </c>
      <c r="V26" s="704" t="s">
        <v>14</v>
      </c>
      <c r="W26" s="705">
        <f>J26</f>
        <v>100</v>
      </c>
      <c r="X26" s="1354"/>
      <c r="Y26" s="3663"/>
      <c r="Z26" s="1355" t="str">
        <f>Q26</f>
        <v>平面位置/可视性</v>
      </c>
      <c r="AA26" s="1352">
        <f t="shared" si="3"/>
        <v>1</v>
      </c>
      <c r="AB26" s="1352">
        <f t="shared" si="4"/>
        <v>1</v>
      </c>
      <c r="AC26" s="1352">
        <f t="shared" si="5"/>
        <v>1</v>
      </c>
    </row>
    <row r="27" spans="1:29" s="108" customFormat="1" ht="15">
      <c r="A27" s="382"/>
      <c r="B27" s="402" t="s">
        <v>1780</v>
      </c>
      <c r="C27" s="1955" t="s">
        <v>3422</v>
      </c>
      <c r="D27" s="413">
        <v>100</v>
      </c>
      <c r="E27" s="1955" t="s">
        <v>3422</v>
      </c>
      <c r="F27" s="415">
        <f>SUMIF(90:90,E27,91:91)-SUMIF(90:90,C27,91:91)+100</f>
        <v>100</v>
      </c>
      <c r="G27" s="1955" t="s">
        <v>3422</v>
      </c>
      <c r="H27" s="413">
        <f>SUMIF(90:90,G27,91:91)-SUMIF(90:90,C27,91:91)+100</f>
        <v>100</v>
      </c>
      <c r="I27" s="1955" t="s">
        <v>3422</v>
      </c>
      <c r="J27" s="413">
        <f>SUMIF(90:90,I27,91:91)-SUMIF(90:90,C27,91:91)+100</f>
        <v>100</v>
      </c>
      <c r="K27" s="561">
        <v>2</v>
      </c>
      <c r="L27" s="2712"/>
      <c r="M27" s="2713"/>
      <c r="N27" s="2713"/>
      <c r="O27" s="2713"/>
      <c r="P27" s="3670"/>
      <c r="Q27" s="1342" t="str">
        <f t="shared" si="11"/>
        <v>人流量</v>
      </c>
      <c r="R27" s="700" t="s">
        <v>14</v>
      </c>
      <c r="S27" s="701">
        <f>F27</f>
        <v>100</v>
      </c>
      <c r="T27" s="700" t="s">
        <v>14</v>
      </c>
      <c r="U27" s="701">
        <f>H27</f>
        <v>100</v>
      </c>
      <c r="V27" s="700" t="s">
        <v>14</v>
      </c>
      <c r="W27" s="701">
        <f>J27</f>
        <v>100</v>
      </c>
      <c r="X27" s="702"/>
      <c r="Y27" s="3663"/>
      <c r="Z27" s="52" t="str">
        <f>Q27</f>
        <v>人流量</v>
      </c>
      <c r="AA27" s="1352">
        <f>D27/F27</f>
        <v>1</v>
      </c>
      <c r="AB27" s="1352">
        <f>D27/H27</f>
        <v>1</v>
      </c>
      <c r="AC27" s="1352">
        <f>D27/J27</f>
        <v>1</v>
      </c>
    </row>
    <row r="28" spans="1:29" ht="15.75" thickBot="1">
      <c r="A28" s="379"/>
      <c r="B28" s="375" t="s">
        <v>1781</v>
      </c>
      <c r="C28" s="565" t="s">
        <v>3444</v>
      </c>
      <c r="D28" s="386">
        <v>100</v>
      </c>
      <c r="E28" s="565" t="s">
        <v>3444</v>
      </c>
      <c r="F28" s="412">
        <f>SUMIF(92:92,E28,93:93)-SUMIF(92:92,C28,93:93)+100</f>
        <v>100</v>
      </c>
      <c r="G28" s="565" t="s">
        <v>3444</v>
      </c>
      <c r="H28" s="386">
        <f>SUMIF(92:92,G28,93:93)-SUMIF(92:92,C28,93:93)+100</f>
        <v>100</v>
      </c>
      <c r="I28" s="565" t="s">
        <v>3444</v>
      </c>
      <c r="J28" s="386">
        <f>SUMIF(92:92,I28,93:93)-SUMIF(92:92,C28,93:93)+100</f>
        <v>100</v>
      </c>
      <c r="K28" s="562"/>
      <c r="L28" s="2717"/>
      <c r="M28" s="2711"/>
      <c r="N28" s="2711"/>
      <c r="O28" s="2711"/>
      <c r="P28" s="367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3"/>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0"/>
      <c r="Q29" s="1351">
        <f t="shared" si="11"/>
        <v>111</v>
      </c>
      <c r="R29" s="704" t="s">
        <v>14</v>
      </c>
      <c r="S29" s="705">
        <f t="shared" si="12"/>
        <v>100</v>
      </c>
      <c r="T29" s="704" t="s">
        <v>14</v>
      </c>
      <c r="U29" s="705">
        <f t="shared" si="13"/>
        <v>100</v>
      </c>
      <c r="V29" s="704" t="s">
        <v>14</v>
      </c>
      <c r="W29" s="705">
        <f t="shared" si="14"/>
        <v>100</v>
      </c>
      <c r="X29" s="1354"/>
      <c r="Y29" s="3663"/>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0"/>
      <c r="Q30" s="1351">
        <f t="shared" si="11"/>
        <v>111</v>
      </c>
      <c r="R30" s="704" t="s">
        <v>14</v>
      </c>
      <c r="S30" s="705">
        <f t="shared" si="12"/>
        <v>100</v>
      </c>
      <c r="T30" s="704" t="s">
        <v>14</v>
      </c>
      <c r="U30" s="705">
        <f t="shared" si="13"/>
        <v>100</v>
      </c>
      <c r="V30" s="704" t="s">
        <v>14</v>
      </c>
      <c r="W30" s="705">
        <f t="shared" si="14"/>
        <v>100</v>
      </c>
      <c r="X30" s="1354"/>
      <c r="Y30" s="3663"/>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0"/>
      <c r="Q31" s="1351">
        <f t="shared" si="11"/>
        <v>111</v>
      </c>
      <c r="R31" s="704" t="s">
        <v>14</v>
      </c>
      <c r="S31" s="705">
        <f t="shared" si="12"/>
        <v>100</v>
      </c>
      <c r="T31" s="704" t="s">
        <v>14</v>
      </c>
      <c r="U31" s="705">
        <f t="shared" si="13"/>
        <v>100</v>
      </c>
      <c r="V31" s="704" t="s">
        <v>14</v>
      </c>
      <c r="W31" s="705">
        <f t="shared" si="14"/>
        <v>100</v>
      </c>
      <c r="X31" s="1354"/>
      <c r="Y31" s="3663"/>
      <c r="Z31" s="1355">
        <f t="shared" si="15"/>
        <v>111</v>
      </c>
      <c r="AA31" s="1352">
        <f t="shared" si="3"/>
        <v>1</v>
      </c>
      <c r="AB31" s="1352">
        <f t="shared" si="4"/>
        <v>1</v>
      </c>
      <c r="AC31" s="1352">
        <f t="shared" si="5"/>
        <v>1</v>
      </c>
    </row>
    <row r="32" spans="1:29" ht="15">
      <c r="A32" s="391" t="s">
        <v>1692</v>
      </c>
      <c r="B32" s="63" t="s">
        <v>1782</v>
      </c>
      <c r="C32" s="1909" t="s">
        <v>3446</v>
      </c>
      <c r="D32" s="418">
        <v>100</v>
      </c>
      <c r="E32" s="1909" t="s">
        <v>3380</v>
      </c>
      <c r="F32" s="412">
        <f>SUMIF(100:100,E32,101:101)-SUMIF(100:100,C32,101:101)+100</f>
        <v>98</v>
      </c>
      <c r="G32" s="1909" t="s">
        <v>3380</v>
      </c>
      <c r="H32" s="386">
        <f>SUMIF(100:100,G32,101:101)-SUMIF(100:100,C32,101:101)+100</f>
        <v>98</v>
      </c>
      <c r="I32" s="1909" t="s">
        <v>3446</v>
      </c>
      <c r="J32" s="418">
        <f>SUMIF(100:100,I32,101:101)-SUMIF(100:100,C32,101:101)+100</f>
        <v>100</v>
      </c>
      <c r="K32" s="561">
        <v>2</v>
      </c>
      <c r="L32" s="2717"/>
      <c r="M32" s="2711"/>
      <c r="N32" s="2711"/>
      <c r="O32" s="2711"/>
      <c r="P32" s="3664" t="s">
        <v>1694</v>
      </c>
      <c r="Q32" s="1351" t="str">
        <f t="shared" si="11"/>
        <v>商业类型</v>
      </c>
      <c r="R32" s="704" t="s">
        <v>14</v>
      </c>
      <c r="S32" s="705">
        <f t="shared" si="12"/>
        <v>98</v>
      </c>
      <c r="T32" s="704" t="s">
        <v>14</v>
      </c>
      <c r="U32" s="705">
        <f t="shared" si="13"/>
        <v>98</v>
      </c>
      <c r="V32" s="704" t="s">
        <v>14</v>
      </c>
      <c r="W32" s="705">
        <f t="shared" si="14"/>
        <v>100</v>
      </c>
      <c r="X32" s="1354"/>
      <c r="Y32" s="3667" t="s">
        <v>1694</v>
      </c>
      <c r="Z32" s="1355" t="str">
        <f t="shared" si="15"/>
        <v>商业类型</v>
      </c>
      <c r="AA32" s="1352">
        <f t="shared" si="3"/>
        <v>1.0204081632653061</v>
      </c>
      <c r="AB32" s="1352">
        <f t="shared" si="4"/>
        <v>1.0204081632653061</v>
      </c>
      <c r="AC32" s="1352">
        <f t="shared" si="5"/>
        <v>1</v>
      </c>
    </row>
    <row r="33" spans="1:29" s="422" customFormat="1" ht="15">
      <c r="A33" s="419"/>
      <c r="B33" s="375" t="s">
        <v>1695</v>
      </c>
      <c r="C33" s="420">
        <f>'数据-汇总表'!E3</f>
        <v>402.39</v>
      </c>
      <c r="D33" s="127">
        <v>100</v>
      </c>
      <c r="E33" s="381">
        <f>案例!$C$2</f>
        <v>85.82</v>
      </c>
      <c r="F33" s="376">
        <f>LOOKUP(E33,103:103,104:104)-LOOKUP(C33,103:103,104:104)+100</f>
        <v>104</v>
      </c>
      <c r="G33" s="381">
        <f>案例!$C$3</f>
        <v>105.06</v>
      </c>
      <c r="H33" s="127">
        <f>LOOKUP(G33,103:103,104:104)-LOOKUP(C33,103:103,104:104)+100</f>
        <v>102</v>
      </c>
      <c r="I33" s="381">
        <f>案例!$C$4</f>
        <v>55.6</v>
      </c>
      <c r="J33" s="127">
        <f>LOOKUP(I33,103:103,104:104)-LOOKUP(C33,103:103,104:104)+100</f>
        <v>106</v>
      </c>
      <c r="K33" s="562"/>
      <c r="L33" s="2716"/>
      <c r="M33" s="2718"/>
      <c r="N33" s="2718"/>
      <c r="O33" s="2718"/>
      <c r="P33" s="3665"/>
      <c r="Q33" s="706" t="str">
        <f t="shared" si="11"/>
        <v>项目建筑规模</v>
      </c>
      <c r="R33" s="707" t="s">
        <v>14</v>
      </c>
      <c r="S33" s="708">
        <f t="shared" si="12"/>
        <v>104</v>
      </c>
      <c r="T33" s="707" t="s">
        <v>14</v>
      </c>
      <c r="U33" s="708">
        <f t="shared" si="13"/>
        <v>102</v>
      </c>
      <c r="V33" s="707" t="s">
        <v>14</v>
      </c>
      <c r="W33" s="708">
        <f t="shared" si="14"/>
        <v>106</v>
      </c>
      <c r="X33" s="709"/>
      <c r="Y33" s="3667"/>
      <c r="Z33" s="710" t="str">
        <f t="shared" si="15"/>
        <v>项目建筑规模</v>
      </c>
      <c r="AA33" s="1352">
        <f t="shared" si="3"/>
        <v>0.96153846153846156</v>
      </c>
      <c r="AB33" s="1352">
        <f t="shared" si="4"/>
        <v>0.98039215686274506</v>
      </c>
      <c r="AC33" s="1352">
        <f t="shared" si="5"/>
        <v>0.94339622641509435</v>
      </c>
    </row>
    <row r="34" spans="1:29" ht="15">
      <c r="A34" s="423"/>
      <c r="B34" s="375" t="s">
        <v>1696</v>
      </c>
      <c r="C34" s="1911" t="s">
        <v>3399</v>
      </c>
      <c r="D34" s="386">
        <v>100</v>
      </c>
      <c r="E34" s="1911" t="s">
        <v>3399</v>
      </c>
      <c r="F34" s="412">
        <f>SUMIF(105:105,E34,106:106)-SUMIF(105:105,C34,106:106)+100</f>
        <v>100</v>
      </c>
      <c r="G34" s="1911" t="s">
        <v>3399</v>
      </c>
      <c r="H34" s="386">
        <f>SUMIF(105:105,G34,106:106)-SUMIF(105:105,C34,106:106)+100</f>
        <v>100</v>
      </c>
      <c r="I34" s="1911" t="s">
        <v>3399</v>
      </c>
      <c r="J34" s="386">
        <f>SUMIF(105:105,I34,106:106)-SUMIF(105:105,C34,106:106)+100</f>
        <v>100</v>
      </c>
      <c r="K34" s="561">
        <v>2</v>
      </c>
      <c r="L34" s="2717"/>
      <c r="M34" s="2711"/>
      <c r="N34" s="2711"/>
      <c r="O34" s="2711"/>
      <c r="P34" s="3665"/>
      <c r="Q34" s="1351" t="str">
        <f t="shared" si="11"/>
        <v>建筑结构</v>
      </c>
      <c r="R34" s="704" t="s">
        <v>14</v>
      </c>
      <c r="S34" s="705">
        <f t="shared" si="12"/>
        <v>100</v>
      </c>
      <c r="T34" s="704" t="s">
        <v>14</v>
      </c>
      <c r="U34" s="705">
        <f t="shared" si="13"/>
        <v>100</v>
      </c>
      <c r="V34" s="704" t="s">
        <v>14</v>
      </c>
      <c r="W34" s="705">
        <f t="shared" si="14"/>
        <v>100</v>
      </c>
      <c r="X34" s="1354"/>
      <c r="Y34" s="3667"/>
      <c r="Z34" s="1355" t="str">
        <f t="shared" si="15"/>
        <v>建筑结构</v>
      </c>
      <c r="AA34" s="1352">
        <f t="shared" si="3"/>
        <v>1</v>
      </c>
      <c r="AB34" s="1352">
        <f t="shared" si="4"/>
        <v>1</v>
      </c>
      <c r="AC34" s="1352">
        <f t="shared" si="5"/>
        <v>1</v>
      </c>
    </row>
    <row r="35" spans="1:29" ht="15">
      <c r="A35" s="423"/>
      <c r="B35" s="375" t="s">
        <v>1783</v>
      </c>
      <c r="C35" s="1905" t="s">
        <v>3429</v>
      </c>
      <c r="D35" s="386">
        <v>100</v>
      </c>
      <c r="E35" s="1905" t="s">
        <v>3429</v>
      </c>
      <c r="F35" s="412">
        <f>SUMIF(107:107,E35,108:108)-SUMIF(107:107,C35,108:108)+100</f>
        <v>100</v>
      </c>
      <c r="G35" s="1905" t="s">
        <v>3429</v>
      </c>
      <c r="H35" s="386">
        <f>SUMIF(107:107,G35,108:108)-SUMIF(107:107,C35,108:108)+100</f>
        <v>100</v>
      </c>
      <c r="I35" s="1905" t="s">
        <v>3429</v>
      </c>
      <c r="J35" s="386">
        <f>SUMIF(107:107,I35,108:108)-SUMIF(107:107,C35,108:108)+100</f>
        <v>100</v>
      </c>
      <c r="K35" s="561">
        <v>2</v>
      </c>
      <c r="L35" s="2717"/>
      <c r="M35" s="2711"/>
      <c r="N35" s="2711"/>
      <c r="O35" s="2711"/>
      <c r="P35" s="3665"/>
      <c r="Q35" s="1351" t="str">
        <f t="shared" si="11"/>
        <v>公共部分装修</v>
      </c>
      <c r="R35" s="704" t="s">
        <v>14</v>
      </c>
      <c r="S35" s="705">
        <f t="shared" si="12"/>
        <v>100</v>
      </c>
      <c r="T35" s="704" t="s">
        <v>14</v>
      </c>
      <c r="U35" s="705">
        <f t="shared" si="13"/>
        <v>100</v>
      </c>
      <c r="V35" s="704" t="s">
        <v>14</v>
      </c>
      <c r="W35" s="705">
        <f t="shared" si="14"/>
        <v>100</v>
      </c>
      <c r="X35" s="1354"/>
      <c r="Y35" s="3667"/>
      <c r="Z35" s="1355" t="str">
        <f t="shared" si="15"/>
        <v>公共部分装修</v>
      </c>
      <c r="AA35" s="1352">
        <f t="shared" si="3"/>
        <v>1</v>
      </c>
      <c r="AB35" s="1352">
        <f t="shared" si="4"/>
        <v>1</v>
      </c>
      <c r="AC35" s="1352">
        <f t="shared" si="5"/>
        <v>1</v>
      </c>
    </row>
    <row r="36" spans="1:29" ht="15">
      <c r="A36" s="423"/>
      <c r="B36" s="375" t="s">
        <v>1784</v>
      </c>
      <c r="C36" s="425">
        <f>'数据-取费表'!N6</f>
        <v>0.88</v>
      </c>
      <c r="D36" s="386">
        <v>100</v>
      </c>
      <c r="E36" s="425">
        <v>0.88</v>
      </c>
      <c r="F36" s="412">
        <f>LOOKUP(E36,110:110,111:111)-LOOKUP(C36,110:110,111:111)+100</f>
        <v>100</v>
      </c>
      <c r="G36" s="425">
        <v>0.88</v>
      </c>
      <c r="H36" s="412">
        <f>LOOKUP(G36,110:110,111:111)-LOOKUP(C36,110:110,111:111)+100</f>
        <v>100</v>
      </c>
      <c r="I36" s="425">
        <v>0.88</v>
      </c>
      <c r="J36" s="386">
        <f>LOOKUP(I36,110:110,111:111)-LOOKUP(C36,110:110,111:111)+100</f>
        <v>100</v>
      </c>
      <c r="K36" s="561">
        <v>1</v>
      </c>
      <c r="L36" s="2717"/>
      <c r="M36" s="2711"/>
      <c r="N36" s="2711"/>
      <c r="O36" s="2711"/>
      <c r="P36" s="3665"/>
      <c r="Q36" s="1351" t="str">
        <f t="shared" si="11"/>
        <v>成新度</v>
      </c>
      <c r="R36" s="704" t="s">
        <v>14</v>
      </c>
      <c r="S36" s="705">
        <f t="shared" si="12"/>
        <v>100</v>
      </c>
      <c r="T36" s="704" t="s">
        <v>14</v>
      </c>
      <c r="U36" s="705">
        <f t="shared" si="13"/>
        <v>100</v>
      </c>
      <c r="V36" s="704" t="s">
        <v>14</v>
      </c>
      <c r="W36" s="705">
        <f t="shared" si="14"/>
        <v>100</v>
      </c>
      <c r="X36" s="1354"/>
      <c r="Y36" s="3667"/>
      <c r="Z36" s="1355" t="str">
        <f t="shared" si="15"/>
        <v>成新度</v>
      </c>
      <c r="AA36" s="1352">
        <f t="shared" si="3"/>
        <v>1</v>
      </c>
      <c r="AB36" s="1352">
        <f t="shared" si="4"/>
        <v>1</v>
      </c>
      <c r="AC36" s="1352">
        <f t="shared" si="5"/>
        <v>1</v>
      </c>
    </row>
    <row r="37" spans="1:29" s="108" customFormat="1" ht="15">
      <c r="A37" s="424"/>
      <c r="B37" s="375" t="s">
        <v>1785</v>
      </c>
      <c r="C37" s="1905" t="s">
        <v>3445</v>
      </c>
      <c r="D37" s="127">
        <v>100</v>
      </c>
      <c r="E37" s="1905" t="s">
        <v>3445</v>
      </c>
      <c r="F37" s="412">
        <f>SUMIF(112:112,E37,113:113)-SUMIF(112:112,C37,113:113)+100</f>
        <v>100</v>
      </c>
      <c r="G37" s="1905" t="s">
        <v>3445</v>
      </c>
      <c r="H37" s="386">
        <f>SUMIF(112:112,G37,113:113)-SUMIF(112:112,C37,113:113)+100</f>
        <v>100</v>
      </c>
      <c r="I37" s="1905" t="s">
        <v>3445</v>
      </c>
      <c r="J37" s="386">
        <f>SUMIF(112:112,I37,113:113)-SUMIF(112:112,C37,113:113)+100</f>
        <v>100</v>
      </c>
      <c r="K37" s="561">
        <v>1</v>
      </c>
      <c r="L37" s="2712"/>
      <c r="M37" s="2713"/>
      <c r="N37" s="2713"/>
      <c r="O37" s="2713"/>
      <c r="P37" s="3665"/>
      <c r="Q37" s="1342" t="str">
        <f t="shared" si="11"/>
        <v>市政基础设施</v>
      </c>
      <c r="R37" s="700" t="s">
        <v>14</v>
      </c>
      <c r="S37" s="701">
        <f t="shared" si="12"/>
        <v>100</v>
      </c>
      <c r="T37" s="700" t="s">
        <v>14</v>
      </c>
      <c r="U37" s="701">
        <f t="shared" si="13"/>
        <v>100</v>
      </c>
      <c r="V37" s="700" t="s">
        <v>14</v>
      </c>
      <c r="W37" s="701">
        <f t="shared" si="14"/>
        <v>100</v>
      </c>
      <c r="X37" s="702"/>
      <c r="Y37" s="3667"/>
      <c r="Z37" s="52" t="str">
        <f t="shared" si="15"/>
        <v>市政基础设施</v>
      </c>
      <c r="AA37" s="703">
        <f t="shared" si="3"/>
        <v>1</v>
      </c>
      <c r="AB37" s="703">
        <f t="shared" si="4"/>
        <v>1</v>
      </c>
      <c r="AC37" s="703">
        <f t="shared" si="5"/>
        <v>1</v>
      </c>
    </row>
    <row r="38" spans="1:29" ht="15">
      <c r="A38" s="423"/>
      <c r="B38" s="375" t="s">
        <v>1786</v>
      </c>
      <c r="C38" s="1905" t="s">
        <v>3433</v>
      </c>
      <c r="D38" s="386">
        <v>100</v>
      </c>
      <c r="E38" s="1905" t="s">
        <v>3435</v>
      </c>
      <c r="F38" s="412">
        <f>SUMIF(114:114,E38,115:115)-SUMIF(114:114,C38,115:115)+100</f>
        <v>98</v>
      </c>
      <c r="G38" s="1905" t="s">
        <v>3435</v>
      </c>
      <c r="H38" s="386">
        <f>SUMIF(114:114,G38,115:115)-SUMIF(114:114,C38,115:115)+100</f>
        <v>98</v>
      </c>
      <c r="I38" s="1905" t="s">
        <v>3433</v>
      </c>
      <c r="J38" s="386">
        <f>SUMIF(114:114,I38,115:115)-SUMIF(114:114,C38,115:115)+100</f>
        <v>100</v>
      </c>
      <c r="K38" s="561">
        <v>2</v>
      </c>
      <c r="L38" s="2717"/>
      <c r="M38" s="2711"/>
      <c r="N38" s="2711"/>
      <c r="O38" s="2711"/>
      <c r="P38" s="3665" t="s">
        <v>1694</v>
      </c>
      <c r="Q38" s="1351" t="str">
        <f t="shared" si="11"/>
        <v>业态</v>
      </c>
      <c r="R38" s="704" t="s">
        <v>14</v>
      </c>
      <c r="S38" s="705">
        <f t="shared" si="12"/>
        <v>98</v>
      </c>
      <c r="T38" s="704" t="s">
        <v>14</v>
      </c>
      <c r="U38" s="705">
        <f t="shared" si="13"/>
        <v>98</v>
      </c>
      <c r="V38" s="704" t="s">
        <v>14</v>
      </c>
      <c r="W38" s="705">
        <f t="shared" si="14"/>
        <v>100</v>
      </c>
      <c r="X38" s="1354"/>
      <c r="Y38" s="3667" t="s">
        <v>1694</v>
      </c>
      <c r="Z38" s="1355" t="str">
        <f t="shared" si="15"/>
        <v>业态</v>
      </c>
      <c r="AA38" s="1352">
        <f t="shared" si="3"/>
        <v>1.0204081632653061</v>
      </c>
      <c r="AB38" s="1352">
        <f t="shared" si="4"/>
        <v>1.0204081632653061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665"/>
      <c r="Q39" s="1351" t="str">
        <f t="shared" si="11"/>
        <v>层高</v>
      </c>
      <c r="R39" s="704" t="s">
        <v>14</v>
      </c>
      <c r="S39" s="705">
        <f t="shared" si="12"/>
        <v>100</v>
      </c>
      <c r="T39" s="704" t="s">
        <v>14</v>
      </c>
      <c r="U39" s="705">
        <f t="shared" si="13"/>
        <v>100</v>
      </c>
      <c r="V39" s="704" t="s">
        <v>14</v>
      </c>
      <c r="W39" s="705">
        <f t="shared" si="14"/>
        <v>100</v>
      </c>
      <c r="X39" s="1354"/>
      <c r="Y39" s="3667"/>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65"/>
      <c r="Q40" s="1351" t="str">
        <f t="shared" si="11"/>
        <v>单套建筑面积</v>
      </c>
      <c r="R40" s="704" t="s">
        <v>14</v>
      </c>
      <c r="S40" s="705">
        <f t="shared" si="12"/>
        <v>100</v>
      </c>
      <c r="T40" s="704" t="s">
        <v>14</v>
      </c>
      <c r="U40" s="705">
        <f t="shared" si="13"/>
        <v>100</v>
      </c>
      <c r="V40" s="704" t="s">
        <v>14</v>
      </c>
      <c r="W40" s="705">
        <f t="shared" si="14"/>
        <v>100</v>
      </c>
      <c r="X40" s="1354"/>
      <c r="Y40" s="3667"/>
      <c r="Z40" s="1355" t="str">
        <f t="shared" si="15"/>
        <v>单套建筑面积</v>
      </c>
      <c r="AA40" s="1352">
        <f t="shared" si="3"/>
        <v>1</v>
      </c>
      <c r="AB40" s="1352">
        <f t="shared" si="4"/>
        <v>1</v>
      </c>
      <c r="AC40" s="1352">
        <f t="shared" si="5"/>
        <v>1</v>
      </c>
    </row>
    <row r="41" spans="1:29" s="422" customFormat="1" ht="15">
      <c r="A41" s="419"/>
      <c r="B41" s="1353" t="s">
        <v>1789</v>
      </c>
      <c r="C41" s="565" t="s">
        <v>3438</v>
      </c>
      <c r="D41" s="386">
        <v>100</v>
      </c>
      <c r="E41" s="565" t="s">
        <v>3438</v>
      </c>
      <c r="F41" s="412">
        <f>SUMIF(120:120,E41,121:121)-SUMIF(120:120,C41,121:121)+100</f>
        <v>100</v>
      </c>
      <c r="G41" s="565" t="s">
        <v>3438</v>
      </c>
      <c r="H41" s="386">
        <f>SUMIF(120:120,G41,121:121)-SUMIF(120:120,C41,121:121)+100</f>
        <v>100</v>
      </c>
      <c r="I41" s="565" t="s">
        <v>3438</v>
      </c>
      <c r="J41" s="386">
        <f>SUMIF(120:120,I41,121:121)-SUMIF(120:120,C41,121:121)+100</f>
        <v>100</v>
      </c>
      <c r="K41" s="561">
        <v>2</v>
      </c>
      <c r="L41" s="2716"/>
      <c r="M41" s="2718"/>
      <c r="N41" s="2718"/>
      <c r="O41" s="2718"/>
      <c r="P41" s="3665"/>
      <c r="Q41" s="706" t="str">
        <f t="shared" si="11"/>
        <v>进深比</v>
      </c>
      <c r="R41" s="707" t="s">
        <v>14</v>
      </c>
      <c r="S41" s="708">
        <f t="shared" si="12"/>
        <v>100</v>
      </c>
      <c r="T41" s="707" t="s">
        <v>14</v>
      </c>
      <c r="U41" s="708">
        <f t="shared" si="13"/>
        <v>100</v>
      </c>
      <c r="V41" s="707" t="s">
        <v>14</v>
      </c>
      <c r="W41" s="708">
        <f t="shared" si="14"/>
        <v>100</v>
      </c>
      <c r="X41" s="709"/>
      <c r="Y41" s="3667"/>
      <c r="Z41" s="710" t="str">
        <f t="shared" si="15"/>
        <v>进深比</v>
      </c>
      <c r="AA41" s="1352">
        <f t="shared" si="3"/>
        <v>1</v>
      </c>
      <c r="AB41" s="1352">
        <f t="shared" si="4"/>
        <v>1</v>
      </c>
      <c r="AC41" s="1352">
        <f t="shared" si="5"/>
        <v>1</v>
      </c>
    </row>
    <row r="42" spans="1:29" ht="15">
      <c r="A42" s="423"/>
      <c r="B42" s="375" t="s">
        <v>1790</v>
      </c>
      <c r="C42" s="1905" t="s">
        <v>3429</v>
      </c>
      <c r="D42" s="386">
        <v>100</v>
      </c>
      <c r="E42" s="1905" t="s">
        <v>3429</v>
      </c>
      <c r="F42" s="412">
        <f>SUMIF(122:122,E42,123:123)-SUMIF(122:122,C42,123:123)+100</f>
        <v>100</v>
      </c>
      <c r="G42" s="1905" t="s">
        <v>3429</v>
      </c>
      <c r="H42" s="386">
        <f>SUMIF(122:122,G42,123:123)-SUMIF(122:122,C42,123:123)+100</f>
        <v>100</v>
      </c>
      <c r="I42" s="1905" t="s">
        <v>3429</v>
      </c>
      <c r="J42" s="386">
        <f>SUMIF(122:122,I42,123:123)-SUMIF(122:122,C42,123:123)+100</f>
        <v>100</v>
      </c>
      <c r="K42" s="561">
        <v>2</v>
      </c>
      <c r="L42" s="2717"/>
      <c r="M42" s="2711"/>
      <c r="N42" s="2711"/>
      <c r="O42" s="2711"/>
      <c r="P42" s="3665"/>
      <c r="Q42" s="1351" t="str">
        <f t="shared" si="11"/>
        <v>内部装修</v>
      </c>
      <c r="R42" s="704" t="s">
        <v>14</v>
      </c>
      <c r="S42" s="705">
        <f t="shared" si="12"/>
        <v>100</v>
      </c>
      <c r="T42" s="704" t="s">
        <v>14</v>
      </c>
      <c r="U42" s="705">
        <f t="shared" si="13"/>
        <v>100</v>
      </c>
      <c r="V42" s="704" t="s">
        <v>14</v>
      </c>
      <c r="W42" s="705">
        <f t="shared" si="14"/>
        <v>100</v>
      </c>
      <c r="X42" s="1354"/>
      <c r="Y42" s="3667"/>
      <c r="Z42" s="1355" t="str">
        <f t="shared" si="15"/>
        <v>内部装修</v>
      </c>
      <c r="AA42" s="1352">
        <f t="shared" si="3"/>
        <v>1</v>
      </c>
      <c r="AB42" s="1352">
        <f t="shared" si="4"/>
        <v>1</v>
      </c>
      <c r="AC42" s="1352">
        <f t="shared" si="5"/>
        <v>1</v>
      </c>
    </row>
    <row r="43" spans="1:29" ht="15.75" thickBot="1">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561">
        <v>2</v>
      </c>
      <c r="L43" s="2717"/>
      <c r="M43" s="2711"/>
      <c r="N43" s="2711"/>
      <c r="O43" s="2711"/>
      <c r="P43" s="3665"/>
      <c r="Q43" s="1351" t="str">
        <f t="shared" si="11"/>
        <v>内部装修维护情况</v>
      </c>
      <c r="R43" s="704" t="s">
        <v>14</v>
      </c>
      <c r="S43" s="705">
        <f t="shared" si="12"/>
        <v>100</v>
      </c>
      <c r="T43" s="704" t="s">
        <v>14</v>
      </c>
      <c r="U43" s="705">
        <f t="shared" si="13"/>
        <v>100</v>
      </c>
      <c r="V43" s="704" t="s">
        <v>14</v>
      </c>
      <c r="W43" s="705">
        <f t="shared" si="14"/>
        <v>100</v>
      </c>
      <c r="X43" s="1354"/>
      <c r="Y43" s="3667"/>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65"/>
      <c r="Q44" s="1342">
        <f t="shared" si="11"/>
        <v>111</v>
      </c>
      <c r="R44" s="700" t="s">
        <v>14</v>
      </c>
      <c r="S44" s="701">
        <f t="shared" si="12"/>
        <v>100</v>
      </c>
      <c r="T44" s="700" t="s">
        <v>14</v>
      </c>
      <c r="U44" s="701">
        <f t="shared" si="13"/>
        <v>100</v>
      </c>
      <c r="V44" s="700" t="s">
        <v>14</v>
      </c>
      <c r="W44" s="701">
        <f t="shared" si="14"/>
        <v>100</v>
      </c>
      <c r="X44" s="702"/>
      <c r="Y44" s="3667"/>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65"/>
      <c r="Q45" s="1351">
        <f t="shared" si="11"/>
        <v>111</v>
      </c>
      <c r="R45" s="704" t="s">
        <v>14</v>
      </c>
      <c r="S45" s="705">
        <f t="shared" si="12"/>
        <v>100</v>
      </c>
      <c r="T45" s="704" t="s">
        <v>14</v>
      </c>
      <c r="U45" s="705">
        <f t="shared" si="13"/>
        <v>100</v>
      </c>
      <c r="V45" s="704" t="s">
        <v>14</v>
      </c>
      <c r="W45" s="705">
        <f t="shared" si="14"/>
        <v>100</v>
      </c>
      <c r="X45" s="1354"/>
      <c r="Y45" s="3667"/>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66"/>
      <c r="Q46" s="1351">
        <f t="shared" si="11"/>
        <v>111</v>
      </c>
      <c r="R46" s="704" t="s">
        <v>14</v>
      </c>
      <c r="S46" s="705">
        <f t="shared" si="12"/>
        <v>100</v>
      </c>
      <c r="T46" s="704" t="s">
        <v>14</v>
      </c>
      <c r="U46" s="705">
        <f t="shared" si="13"/>
        <v>100</v>
      </c>
      <c r="V46" s="704" t="s">
        <v>14</v>
      </c>
      <c r="W46" s="705">
        <f t="shared" si="14"/>
        <v>100</v>
      </c>
      <c r="X46" s="1354"/>
      <c r="Y46" s="3668"/>
      <c r="Z46" s="1355">
        <f t="shared" si="15"/>
        <v>111</v>
      </c>
      <c r="AA46" s="1352">
        <f t="shared" si="3"/>
        <v>1</v>
      </c>
      <c r="AB46" s="1352">
        <f t="shared" si="4"/>
        <v>1</v>
      </c>
      <c r="AC46" s="1352">
        <f t="shared" si="5"/>
        <v>1</v>
      </c>
    </row>
    <row r="47" spans="1:29" ht="15">
      <c r="A47" s="430" t="s">
        <v>1706</v>
      </c>
      <c r="B47" s="431"/>
      <c r="C47" s="1153" t="s">
        <v>0</v>
      </c>
      <c r="D47" s="1154"/>
      <c r="E47" s="1155">
        <f>案例!$D$2</f>
        <v>38453</v>
      </c>
      <c r="F47" s="1156"/>
      <c r="G47" s="1157">
        <f>案例!$D$3</f>
        <v>38073</v>
      </c>
      <c r="H47" s="1158"/>
      <c r="I47" s="1155">
        <f>案例!$D$4</f>
        <v>35971</v>
      </c>
      <c r="J47" s="1158"/>
      <c r="K47" s="713"/>
      <c r="L47" s="2719"/>
      <c r="M47" s="2720"/>
      <c r="N47" s="2711"/>
      <c r="O47" s="2720"/>
      <c r="P47" s="3660" t="str">
        <f>A47</f>
        <v>成交单价（元/平方米）</v>
      </c>
      <c r="Q47" s="3660"/>
      <c r="R47" s="3691">
        <f>E47</f>
        <v>38453</v>
      </c>
      <c r="S47" s="3691"/>
      <c r="T47" s="3691">
        <f>G47</f>
        <v>38073</v>
      </c>
      <c r="U47" s="3691"/>
      <c r="V47" s="3691">
        <f>I47</f>
        <v>35971</v>
      </c>
      <c r="W47" s="3691"/>
      <c r="X47" s="689"/>
      <c r="Y47" s="711"/>
      <c r="Z47" s="689"/>
      <c r="AA47" s="689"/>
      <c r="AB47" s="689"/>
      <c r="AC47" s="689"/>
    </row>
    <row r="48" spans="1:29" ht="15.75" thickBot="1">
      <c r="A48" s="437" t="s">
        <v>1791</v>
      </c>
      <c r="B48" s="438"/>
      <c r="C48" s="1159">
        <f>R49</f>
        <v>36372</v>
      </c>
      <c r="D48" s="2316" t="s">
        <v>2135</v>
      </c>
      <c r="E48" s="1160">
        <f>R48</f>
        <v>37744</v>
      </c>
      <c r="F48" s="2317"/>
      <c r="G48" s="1159">
        <f>T48</f>
        <v>38103</v>
      </c>
      <c r="H48" s="2317"/>
      <c r="I48" s="1160">
        <f>V48</f>
        <v>33270</v>
      </c>
      <c r="J48" s="2317"/>
      <c r="K48" s="2319">
        <f>F48+H48+J48</f>
        <v>0</v>
      </c>
      <c r="L48" s="2719"/>
      <c r="M48" s="2720"/>
      <c r="N48" s="2711"/>
      <c r="O48" s="2720"/>
      <c r="P48" s="3660" t="str">
        <f>A48</f>
        <v>比较价值（元/平方米）</v>
      </c>
      <c r="Q48" s="3660"/>
      <c r="R48" s="3661">
        <f>IF(F1="售价",ROUND(PRODUCT(R47,AA7:AA46),0),ROUND(PRODUCT(R47,AA7:AA46),1))</f>
        <v>37744</v>
      </c>
      <c r="S48" s="3661"/>
      <c r="T48" s="3661">
        <f>IF(F1="售价",ROUND(PRODUCT(T47,AB7:AB46),0),ROUND(PRODUCT(T47,AB7:AB46),1))</f>
        <v>38103</v>
      </c>
      <c r="U48" s="3661"/>
      <c r="V48" s="3661">
        <f>IF(F1="售价",ROUND(PRODUCT(V47,AC7:AC46),0),ROUND(PRODUCT(V47,AC7:AC46),1))</f>
        <v>33270</v>
      </c>
      <c r="W48" s="3661"/>
      <c r="X48" s="689"/>
      <c r="Y48" s="689"/>
      <c r="Z48" s="689"/>
      <c r="AA48" s="689"/>
      <c r="AB48" s="689"/>
      <c r="AC48" s="689"/>
    </row>
    <row r="49" spans="1:29" ht="15.75" thickBot="1">
      <c r="A49" s="441" t="s">
        <v>1792</v>
      </c>
      <c r="B49" s="442"/>
      <c r="C49" s="1162">
        <f>R49</f>
        <v>36372</v>
      </c>
      <c r="D49" s="1162"/>
      <c r="E49" s="1162"/>
      <c r="F49" s="1162"/>
      <c r="G49" s="1162"/>
      <c r="H49" s="1162"/>
      <c r="I49" s="1162"/>
      <c r="J49" s="1162"/>
      <c r="K49" s="714"/>
      <c r="L49" s="2719"/>
      <c r="M49" s="2720"/>
      <c r="N49" s="2711"/>
      <c r="O49" s="2720"/>
      <c r="P49" s="3657" t="str">
        <f>A49</f>
        <v>估价对象XX用房的比较价值（楼面单价，元/平方米）</v>
      </c>
      <c r="Q49" s="3658"/>
      <c r="R49" s="3659">
        <f>IF(F1="售价",ROUND(IF(D48="简单平均",AVERAGE(R48:V48),R48*F48+T48*H48+V48*J48),0),ROUND(IF(D48="简单平均",AVERAGE(R48:V48),R48*F48+T48*H48+V48*J48),1))</f>
        <v>36372</v>
      </c>
      <c r="S49" s="3659"/>
      <c r="T49" s="3659"/>
      <c r="U49" s="3659"/>
      <c r="V49" s="3659"/>
      <c r="W49" s="3659"/>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f>IF(E47&lt;E48,E48/E47-1,E47/E48-1)</f>
        <v>1.87844425604069E-2</v>
      </c>
      <c r="F52" s="449" t="str">
        <f>IF(OR(E52&gt;=0.3,E52&lt;=-0.3),"超过30%","")</f>
        <v/>
      </c>
      <c r="G52" s="448">
        <f>IF(G47&lt;G48,G48/G47-1,G47/G48-1)</f>
        <v>7.879599716333896E-4</v>
      </c>
      <c r="H52" s="449" t="str">
        <f>IF(OR(G52&gt;=0.3,G52&lt;=-0.3),"超过30%","")</f>
        <v/>
      </c>
      <c r="I52" s="448">
        <f>IF(I47&lt;I48,I48/I47-1,I47/I48-1)</f>
        <v>8.1184250075142739E-2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f>IF(E48&lt;G48,G48/E48-1,E48/G48-1)</f>
        <v>9.5114455277660603E-3</v>
      </c>
      <c r="F53" s="449" t="str">
        <f>IF(OR(E53&gt;=0.2,E53&lt;=-0.2),"超过20%","")</f>
        <v/>
      </c>
      <c r="G53" s="448">
        <f>IF(G48&lt;I48,I48/G48-1,G48/I48-1)</f>
        <v>0.14526600541027945</v>
      </c>
      <c r="H53" s="449" t="str">
        <f>IF(OR(G53&gt;=0.2,G53&lt;=-0.2),"超过20%","")</f>
        <v/>
      </c>
      <c r="I53" s="448">
        <f>IF(I48&lt;E48,E48/I48-1,I48/E48-1)</f>
        <v>0.13447550345656745</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f>IF(E47&lt;G47,G47/E47-1,E47/G47-1)</f>
        <v>9.9808263073568604E-3</v>
      </c>
      <c r="F54" s="449" t="str">
        <f>IF(OR(E54&gt;=0.3,E54&lt;=-0.3),"超过30%","")</f>
        <v/>
      </c>
      <c r="G54" s="448">
        <f>IF(G47&lt;I47,I47/G47-1,G47/I47-1)</f>
        <v>5.8435962302966216E-2</v>
      </c>
      <c r="H54" s="449" t="str">
        <f>IF(OR(G54&gt;=0.3,G54&lt;=-0.3),"超过30%","")</f>
        <v/>
      </c>
      <c r="I54" s="448">
        <f>IF(I47&lt;E47,E47/I47-1,I47/E47-1)</f>
        <v>6.9000027800172337E-2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3795" t="s">
        <v>3441</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t="s">
        <v>3408</v>
      </c>
      <c r="D65" s="532" t="s">
        <v>3409</v>
      </c>
      <c r="E65" s="3790" t="s">
        <v>3410</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3791" t="s">
        <v>3411</v>
      </c>
      <c r="D86" s="3791" t="s">
        <v>3412</v>
      </c>
      <c r="E86" s="3791" t="s">
        <v>3414</v>
      </c>
      <c r="F86" s="3791" t="s">
        <v>3415</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791" t="s">
        <v>3416</v>
      </c>
      <c r="D88" s="3791" t="s">
        <v>3417</v>
      </c>
      <c r="E88" s="3791" t="s">
        <v>3418</v>
      </c>
      <c r="F88" s="3792" t="s">
        <v>3419</v>
      </c>
      <c r="G88" s="3791" t="s">
        <v>3420</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791" t="s">
        <v>3421</v>
      </c>
      <c r="D90" s="3791" t="s">
        <v>3423</v>
      </c>
      <c r="E90" s="3791" t="s">
        <v>3418</v>
      </c>
      <c r="F90" s="3791" t="s">
        <v>3424</v>
      </c>
      <c r="G90" s="3791" t="s">
        <v>3425</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3426</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7"/>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3793" t="s">
        <v>3447</v>
      </c>
      <c r="D100" s="3793" t="s">
        <v>3448</v>
      </c>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0(含)-30</v>
      </c>
      <c r="D102" s="527" t="str">
        <f t="shared" ref="D102:L102" si="23">D103&amp;"(含)"&amp;"-"&amp;E103</f>
        <v>30(含)-60</v>
      </c>
      <c r="E102" s="527" t="str">
        <f t="shared" si="23"/>
        <v>60(含)-100</v>
      </c>
      <c r="F102" s="527" t="str">
        <f t="shared" si="23"/>
        <v>100(含)-200</v>
      </c>
      <c r="G102" s="527" t="str">
        <f t="shared" si="23"/>
        <v>200(含)-500</v>
      </c>
      <c r="H102" s="527" t="str">
        <f t="shared" si="23"/>
        <v>500(含)-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30</v>
      </c>
      <c r="E103" s="544">
        <v>60</v>
      </c>
      <c r="F103" s="544">
        <v>100</v>
      </c>
      <c r="G103" s="544">
        <v>200</v>
      </c>
      <c r="H103" s="544">
        <v>500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3791" t="s">
        <v>3427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3791" t="s">
        <v>3428</v>
      </c>
      <c r="D107" s="3791" t="s">
        <v>3430</v>
      </c>
      <c r="E107" s="3791" t="s">
        <v>3431</v>
      </c>
      <c r="F107" s="3794" t="s">
        <v>3432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3791" t="s">
        <v>3434</v>
      </c>
      <c r="D114" s="3791" t="s">
        <v>3436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3794" t="s">
        <v>3437</v>
      </c>
      <c r="D120" s="3794" t="s">
        <v>3439</v>
      </c>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7"/>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3" sqref="K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3380</v>
      </c>
      <c r="D1" s="1361" t="s">
        <v>43</v>
      </c>
      <c r="E1" s="1362" t="s">
        <v>678</v>
      </c>
      <c r="F1" s="1061">
        <f ca="1">J53</f>
        <v>26.53</v>
      </c>
      <c r="G1" s="1377">
        <f>MATCH(C1,'数据-取费表'!A6:A16,0)+5</f>
        <v>6</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0">
        <f ca="1">ROUND(D2/10000,4)</f>
        <v>1255.0923</v>
      </c>
      <c r="C2" s="1386" t="s">
        <v>879</v>
      </c>
      <c r="D2" s="1470">
        <f ca="1">C40+J29+L46</f>
        <v>12550923</v>
      </c>
      <c r="E2" s="1387" t="s">
        <v>880</v>
      </c>
      <c r="F2" s="1388"/>
      <c r="G2" s="2701"/>
      <c r="H2" s="2690"/>
      <c r="I2" s="2690"/>
      <c r="J2" s="2690"/>
      <c r="K2" s="2691"/>
      <c r="L2" s="2690"/>
      <c r="M2" s="2690"/>
    </row>
    <row r="3" spans="1:37" ht="18" customHeight="1" thickBot="1">
      <c r="A3" s="1389" t="s">
        <v>881</v>
      </c>
      <c r="B3" s="1390">
        <f ca="1">IF(ISERROR(D2/F43),0,ROUND(D2/F43,0))</f>
        <v>31191</v>
      </c>
      <c r="C3" s="1386" t="s">
        <v>882</v>
      </c>
      <c r="D3" s="1386"/>
      <c r="E3" s="1387"/>
      <c r="F3" s="1388"/>
      <c r="G3" s="2701"/>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926453</v>
      </c>
      <c r="D5" s="1363" t="s">
        <v>889</v>
      </c>
      <c r="E5" s="1070"/>
      <c r="F5" s="1071"/>
      <c r="G5" s="1383"/>
      <c r="H5" s="299">
        <v>1</v>
      </c>
      <c r="I5" s="300" t="s">
        <v>888</v>
      </c>
      <c r="J5" s="1069">
        <f ca="1">J6+J10+J12</f>
        <v>0</v>
      </c>
      <c r="K5" s="1363" t="s">
        <v>889</v>
      </c>
      <c r="L5" s="1070"/>
      <c r="M5" s="1071"/>
    </row>
    <row r="6" spans="1:37" ht="18" customHeight="1">
      <c r="A6" s="1068" t="s">
        <v>398</v>
      </c>
      <c r="B6" s="3633" t="s">
        <v>694</v>
      </c>
      <c r="C6" s="1073">
        <f ca="1">ROUND(F6*F8*F7*(1-F9),0)</f>
        <v>925296</v>
      </c>
      <c r="D6" s="155" t="s">
        <v>2103</v>
      </c>
      <c r="E6" s="302" t="s">
        <v>696</v>
      </c>
      <c r="F6" s="303">
        <f ca="1">INDIRECT("'数据-取费表'!u"&amp;$G$1)</f>
        <v>7</v>
      </c>
      <c r="G6" s="1383"/>
      <c r="H6" s="1068" t="s">
        <v>398</v>
      </c>
      <c r="I6" s="3633" t="s">
        <v>694</v>
      </c>
      <c r="J6" s="301">
        <f ca="1">ROUND(M6*M8*M7*(1-M9),0)</f>
        <v>0</v>
      </c>
      <c r="K6" s="1375" t="s">
        <v>2104</v>
      </c>
      <c r="L6" s="302" t="s">
        <v>696</v>
      </c>
      <c r="M6" s="303">
        <f ca="1">INDIRECT("'数据-取费表'!z"&amp;$G$1)</f>
        <v>0</v>
      </c>
    </row>
    <row r="7" spans="1:37" ht="18" customHeight="1">
      <c r="A7" s="1072"/>
      <c r="B7" s="3634"/>
      <c r="C7" s="1074"/>
      <c r="D7" s="307"/>
      <c r="E7" s="1075" t="s">
        <v>697</v>
      </c>
      <c r="F7" s="303">
        <f ca="1">IF(INDIRECT("'数据-取费表'!ah"&amp;$G$1)="",INDIRECT("'数据-取费表'!k"&amp;$G$1),INDIRECT("'数据-取费表'!ah"&amp;$G$1))</f>
        <v>402.39</v>
      </c>
      <c r="G7" s="1383"/>
      <c r="H7" s="304"/>
      <c r="I7" s="3634"/>
      <c r="J7" s="306"/>
      <c r="K7" s="307"/>
      <c r="L7" s="302" t="s">
        <v>697</v>
      </c>
      <c r="M7" s="303">
        <f ca="1">F7</f>
        <v>402.39</v>
      </c>
    </row>
    <row r="8" spans="1:37" ht="18" customHeight="1">
      <c r="A8" s="304"/>
      <c r="B8" s="3634"/>
      <c r="C8" s="306"/>
      <c r="D8" s="307"/>
      <c r="E8" s="302" t="s">
        <v>698</v>
      </c>
      <c r="F8" s="303">
        <f ca="1">INDIRECT("'数据-取费表'!ai"&amp;$G$1)</f>
        <v>365</v>
      </c>
      <c r="G8" s="1383"/>
      <c r="H8" s="304"/>
      <c r="I8" s="3634"/>
      <c r="J8" s="306"/>
      <c r="K8" s="307"/>
      <c r="L8" s="302" t="s">
        <v>698</v>
      </c>
      <c r="M8" s="303">
        <f ca="1">INDIRECT("'数据-取费表'!ai"&amp;$G$1)</f>
        <v>365</v>
      </c>
    </row>
    <row r="9" spans="1:37" ht="18" customHeight="1">
      <c r="A9" s="304"/>
      <c r="B9" s="3635"/>
      <c r="C9" s="306"/>
      <c r="D9" s="307"/>
      <c r="E9" s="302" t="s">
        <v>699</v>
      </c>
      <c r="F9" s="312">
        <f ca="1">INDIRECT("'数据-取费表'!w"&amp;$G$1)</f>
        <v>0.1</v>
      </c>
      <c r="G9" s="1383"/>
      <c r="H9" s="304"/>
      <c r="I9" s="3635"/>
      <c r="J9" s="306"/>
      <c r="K9" s="307"/>
      <c r="L9" s="313" t="s">
        <v>699</v>
      </c>
      <c r="M9" s="314">
        <f ca="1">INDIRECT("'数据-取费表'!ab"&amp;$G$1)</f>
        <v>0</v>
      </c>
    </row>
    <row r="10" spans="1:37" ht="18" customHeight="1">
      <c r="A10" s="1068" t="s">
        <v>402</v>
      </c>
      <c r="B10" s="1364" t="s">
        <v>700</v>
      </c>
      <c r="C10" s="316">
        <f ca="1">ROUND(IF(F10="押一",C6/12*F11,IF(F10="押二",C6/12*2*F11,IF(F10="押三",C6/12*3*F11,C11*F11))),0)</f>
        <v>1157</v>
      </c>
      <c r="D10" s="1365" t="s">
        <v>2113</v>
      </c>
      <c r="E10" s="313" t="s">
        <v>701</v>
      </c>
      <c r="F10" s="1115" t="s">
        <v>3398</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2118632</v>
      </c>
      <c r="D13" s="1080" t="s">
        <v>705</v>
      </c>
      <c r="E13" s="1080" t="s">
        <v>706</v>
      </c>
      <c r="F13" s="1081">
        <f ca="1">INDIRECT("'数据-取费表'!y"&amp;$G$1)</f>
        <v>0.88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1609560</v>
      </c>
      <c r="D14" s="1344" t="s">
        <v>708</v>
      </c>
      <c r="E14" s="1341"/>
      <c r="F14" s="319"/>
      <c r="G14" s="1383"/>
      <c r="H14" s="981" t="s">
        <v>398</v>
      </c>
      <c r="I14" s="302" t="s">
        <v>709</v>
      </c>
      <c r="J14" s="21">
        <f ca="1">C29</f>
        <v>2407536</v>
      </c>
      <c r="K14" s="12"/>
      <c r="L14" s="806"/>
      <c r="M14" s="807"/>
    </row>
    <row r="15" spans="1:37" s="1396" customFormat="1" ht="18" customHeight="1" thickBot="1">
      <c r="A15" s="981" t="s">
        <v>399</v>
      </c>
      <c r="B15" s="302" t="s">
        <v>710</v>
      </c>
      <c r="C15" s="21">
        <f ca="1">ROUND(C14*F15,0)</f>
        <v>48287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24075</v>
      </c>
      <c r="K16" s="1086" t="s">
        <v>715</v>
      </c>
      <c r="L16" s="1087"/>
      <c r="M16" s="1071"/>
    </row>
    <row r="17" spans="1:37" s="1396" customFormat="1" ht="18" customHeight="1">
      <c r="A17" s="981" t="s">
        <v>681</v>
      </c>
      <c r="B17" s="302" t="s">
        <v>716</v>
      </c>
      <c r="C17" s="21">
        <f ca="1">ROUND(F17*(F43+INDIRECT("'数据-取费表'!S"&amp;$G$1)),0)</f>
        <v>72430</v>
      </c>
      <c r="D17" s="302" t="s">
        <v>717</v>
      </c>
      <c r="E17" s="302" t="s">
        <v>718</v>
      </c>
      <c r="F17" s="23">
        <f>'数据-取费表'!B35</f>
        <v>180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24143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1754420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35088</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24075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74264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-24075</v>
      </c>
      <c r="K25" s="1094" t="s">
        <v>753</v>
      </c>
      <c r="L25" s="1095"/>
      <c r="M25" s="1096"/>
    </row>
    <row r="26" spans="1:37" ht="18" customHeight="1">
      <c r="A26" s="981" t="s">
        <v>397</v>
      </c>
      <c r="B26" s="302" t="s">
        <v>754</v>
      </c>
      <c r="C26" s="21">
        <f ca="1">ROUND((C19+C20)*F26,0)</f>
        <v>357902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2407536</v>
      </c>
      <c r="D29" s="1091"/>
      <c r="E29" s="1089"/>
      <c r="F29" s="1092"/>
      <c r="G29" s="1395"/>
      <c r="H29" s="334" t="s">
        <v>396</v>
      </c>
      <c r="I29" s="335" t="s">
        <v>768</v>
      </c>
      <c r="J29" s="336">
        <f ca="1">ROUND(J26/(1+F40)^F41,0)</f>
        <v>0</v>
      </c>
      <c r="K29" s="337" t="s">
        <v>769</v>
      </c>
      <c r="L29" s="338"/>
      <c r="M29" s="339">
        <f ca="1">INDIRECT("'数据-取费表'!k"&amp;$G$1)</f>
        <v>402.39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190734</v>
      </c>
      <c r="D30" s="1086" t="s">
        <v>715</v>
      </c>
      <c r="E30" s="1087"/>
      <c r="F30" s="1071"/>
      <c r="G30" s="1383"/>
      <c r="H30" s="2692"/>
      <c r="I30" s="1397"/>
      <c r="J30" s="1398"/>
      <c r="K30" s="2471"/>
      <c r="L30" s="2693"/>
      <c r="M30" s="2694"/>
    </row>
    <row r="31" spans="1:37" ht="18" customHeight="1">
      <c r="A31" s="981" t="s">
        <v>398</v>
      </c>
      <c r="B31" s="302" t="s">
        <v>719</v>
      </c>
      <c r="C31" s="2315">
        <f ca="1">ROUND(IF(AND(项目基本情况!B11="自然人",项目基本情况!B10="北京市"),C6*F31/(1+'数据-取费表'!C42),C32+C33+C34),0)</f>
        <v>154216</v>
      </c>
      <c r="D31" s="1344" t="s">
        <v>720</v>
      </c>
      <c r="E31" s="1343" t="s">
        <v>770</v>
      </c>
      <c r="F31" s="2314" t="str">
        <f>IF(项目基本情况!B11="企业","——",IF(M47="住宅",IF(F6*F7*F8/12/(1+'数据-取费表'!F30)&gt;100000,4%,2.5%),IF(F6*F7*F8/12/(1+'数据-取费表'!F30)&gt;100000,12%,7%)))</f>
        <v>——</v>
      </c>
      <c r="G31" s="1383"/>
      <c r="H31" s="2803" t="s">
        <v>2300</v>
      </c>
      <c r="I31" s="1397"/>
      <c r="J31" s="1398"/>
      <c r="K31" s="2471"/>
      <c r="L31" s="2693"/>
      <c r="M31" s="2694"/>
    </row>
    <row r="32" spans="1:37" ht="18" customHeight="1">
      <c r="A32" s="981" t="s">
        <v>397</v>
      </c>
      <c r="B32" s="302" t="s">
        <v>723</v>
      </c>
      <c r="C32" s="21">
        <f ca="1">IF(项目基本情况!B11="自然人","——",ROUND(C6*F32/(1+'数据-取费表'!C42),0))</f>
        <v>48468</v>
      </c>
      <c r="D32" s="1343" t="s">
        <v>724</v>
      </c>
      <c r="E32" s="302" t="s">
        <v>712</v>
      </c>
      <c r="F32" s="331">
        <f>'数据-取费表'!B41</f>
        <v>5.5000000000000007E-2</v>
      </c>
      <c r="G32" s="1383"/>
      <c r="H32" s="2692"/>
      <c r="I32" s="1397"/>
      <c r="J32" s="1398"/>
      <c r="K32" s="2471"/>
      <c r="L32" s="2693"/>
      <c r="M32" s="2694"/>
    </row>
    <row r="33" spans="1:18" ht="18" customHeight="1">
      <c r="A33" s="981" t="s">
        <v>399</v>
      </c>
      <c r="B33" s="302" t="s">
        <v>727</v>
      </c>
      <c r="C33" s="21">
        <f ca="1">IF(项目基本情况!B11="自然人","——",IF(D33="按租金收入计税",ROUND(C6*F33/(1+'数据-取费表'!C42),0),IF(D33="按房产原值计税",ROUND(C29*F33*0.7,0),INDIRECT("'数据-取费表'!Aj"&amp;$G$1))))</f>
        <v>105748</v>
      </c>
      <c r="D33" s="1369" t="s">
        <v>3331</v>
      </c>
      <c r="E33" s="302" t="s">
        <v>712</v>
      </c>
      <c r="F33" s="322">
        <f>IF(D33="按票据","——",IF(D33="按租金收入计税",'数据-取费表'!B51,'数据-取费表'!B50))</f>
        <v>0.12</v>
      </c>
      <c r="G33" s="1383"/>
      <c r="H33" s="2695"/>
      <c r="I33" s="1397"/>
      <c r="J33" s="1398"/>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3"/>
      <c r="H34" s="2692"/>
      <c r="I34" s="1397"/>
      <c r="J34" s="1398"/>
      <c r="K34" s="2697"/>
      <c r="L34" s="2698"/>
      <c r="M34" s="2698"/>
    </row>
    <row r="35" spans="1:18" ht="18" customHeight="1">
      <c r="A35" s="1102"/>
      <c r="B35" s="1100"/>
      <c r="C35" s="26"/>
      <c r="D35" s="327"/>
      <c r="E35" s="302" t="s">
        <v>736</v>
      </c>
      <c r="F35" s="303">
        <f ca="1">INDIRECT("'数据-取费表'!r"&amp;$G$1)</f>
        <v>0</v>
      </c>
      <c r="G35" s="1383"/>
      <c r="H35" s="2692"/>
      <c r="I35" s="1397"/>
      <c r="J35" s="1398"/>
      <c r="K35" s="2696"/>
      <c r="L35" s="2695"/>
      <c r="M35" s="2695"/>
    </row>
    <row r="36" spans="1:18" ht="18" customHeight="1">
      <c r="A36" s="1101" t="s">
        <v>402</v>
      </c>
      <c r="B36" s="302" t="s">
        <v>738</v>
      </c>
      <c r="C36" s="21">
        <f ca="1">ROUND(C29*F36,0)</f>
        <v>24075</v>
      </c>
      <c r="D36" s="1343" t="s">
        <v>771</v>
      </c>
      <c r="E36" s="302" t="s">
        <v>712</v>
      </c>
      <c r="F36" s="328">
        <f ca="1">INDIRECT("'数据-取费表'!Ak"&amp;$G$1)</f>
        <v>0.01</v>
      </c>
      <c r="G36" s="1383"/>
      <c r="H36" s="2695"/>
      <c r="I36" s="1397"/>
      <c r="J36" s="1398"/>
      <c r="K36" s="2540"/>
      <c r="L36" s="2695"/>
      <c r="M36" s="2695"/>
    </row>
    <row r="37" spans="1:18" ht="18" customHeight="1">
      <c r="A37" s="981" t="s">
        <v>437</v>
      </c>
      <c r="B37" s="302" t="s">
        <v>742</v>
      </c>
      <c r="C37" s="21">
        <f ca="1">ROUND(C13*F37,0)</f>
        <v>3178</v>
      </c>
      <c r="D37" s="1343" t="s">
        <v>743</v>
      </c>
      <c r="E37" s="302" t="s">
        <v>744</v>
      </c>
      <c r="F37" s="330">
        <f ca="1">INDIRECT("'数据-取费表'!Al"&amp;$G$1)</f>
        <v>1.5E-3</v>
      </c>
      <c r="G37" s="1383"/>
      <c r="H37" s="2695"/>
      <c r="I37" s="1397"/>
      <c r="J37" s="1398"/>
      <c r="K37" s="2540"/>
      <c r="L37" s="2695"/>
      <c r="M37" s="2695"/>
    </row>
    <row r="38" spans="1:18" ht="18" customHeight="1" thickBot="1">
      <c r="A38" s="1088" t="s">
        <v>684</v>
      </c>
      <c r="B38" s="1089" t="s">
        <v>728</v>
      </c>
      <c r="C38" s="1090">
        <f ca="1">ROUND(C5*F38,0)</f>
        <v>9265</v>
      </c>
      <c r="D38" s="1091" t="s">
        <v>748</v>
      </c>
      <c r="E38" s="1089" t="s">
        <v>744</v>
      </c>
      <c r="F38" s="1085">
        <f ca="1">INDIRECT("'数据-取费表'!Am"&amp;$G$1)</f>
        <v>0.01</v>
      </c>
      <c r="G38" s="1383"/>
      <c r="H38" s="2695"/>
      <c r="I38" s="1397"/>
      <c r="J38" s="1398"/>
      <c r="K38" s="2699"/>
      <c r="L38" s="2695"/>
      <c r="M38" s="2695"/>
    </row>
    <row r="39" spans="1:18" ht="24.6" customHeight="1" thickTop="1">
      <c r="A39" s="1078" t="s">
        <v>394</v>
      </c>
      <c r="B39" s="1093" t="s">
        <v>772</v>
      </c>
      <c r="C39" s="310">
        <f ca="1">C5-C30</f>
        <v>735719</v>
      </c>
      <c r="D39" s="1094" t="s">
        <v>773</v>
      </c>
      <c r="E39" s="1095"/>
      <c r="F39" s="1096"/>
      <c r="G39" s="1383"/>
      <c r="H39" s="2695"/>
      <c r="I39" s="1397"/>
      <c r="J39" s="1398"/>
      <c r="K39" s="2699"/>
      <c r="L39" s="2695"/>
      <c r="M39" s="2695"/>
    </row>
    <row r="40" spans="1:18" ht="18" customHeight="1">
      <c r="A40" s="299" t="s">
        <v>395</v>
      </c>
      <c r="B40" s="300" t="s">
        <v>774</v>
      </c>
      <c r="C40" s="301">
        <f ca="1">ROUND(C39*(1-((1+F42)/(1+F40))^F41)/(F40-F42),0)</f>
        <v>12395059</v>
      </c>
      <c r="D40" s="324" t="s">
        <v>758</v>
      </c>
      <c r="E40" s="302" t="s">
        <v>759</v>
      </c>
      <c r="F40" s="312">
        <f ca="1">INDIRECT("'数据-取费表'!I"&amp;$G$1)</f>
        <v>0.06</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26.53</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ROUND(C40/F43,0)</f>
        <v>30804</v>
      </c>
      <c r="D43" s="337" t="s">
        <v>777</v>
      </c>
      <c r="E43" s="338" t="s">
        <v>778</v>
      </c>
      <c r="F43" s="339">
        <f ca="1">INDIRECT("'数据-取费表'!k"&amp;$G$1)</f>
        <v>402.39</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6" t="s">
        <v>3347</v>
      </c>
      <c r="B45" s="1399"/>
      <c r="C45" s="1471">
        <f ca="1">ROUND((C68-C40)/10000,4)</f>
        <v>-1275.2471</v>
      </c>
      <c r="D45" s="3427" t="s">
        <v>3348</v>
      </c>
      <c r="E45" s="1399"/>
      <c r="F45" s="1399"/>
      <c r="O45" s="1402" t="s">
        <v>808</v>
      </c>
      <c r="P45" s="1460"/>
      <c r="Q45" s="1460"/>
      <c r="R45" s="1460"/>
    </row>
    <row r="46" spans="1:18" s="1383" customFormat="1" ht="13.5" thickBot="1">
      <c r="A46" s="1403" t="s">
        <v>809</v>
      </c>
      <c r="C46" s="1404">
        <f ca="1">ROUND(C45,0)</f>
        <v>-1275</v>
      </c>
      <c r="D46" s="1405" t="str">
        <f>C2</f>
        <v>万元</v>
      </c>
      <c r="I46" s="1406" t="s">
        <v>810</v>
      </c>
      <c r="J46" s="1407"/>
      <c r="K46" s="1408"/>
      <c r="L46" s="1409">
        <f ca="1">IF(M47="住宅",0,IF(L48&gt;J51,L60,J60))</f>
        <v>155864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3399</v>
      </c>
      <c r="K47" s="1415" t="s">
        <v>816</v>
      </c>
      <c r="L47" s="1416">
        <f ca="1">INDIRECT("'数据-取费表'!d"&amp;$G$1)</f>
        <v>40</v>
      </c>
      <c r="M47" s="1379" t="str">
        <f>IF(ISNUMBER(FIND("住宅",C1)),"住宅","非住宅")</f>
        <v>非住宅</v>
      </c>
      <c r="O47" s="1417" t="s">
        <v>403</v>
      </c>
      <c r="P47" s="1418" t="s">
        <v>817</v>
      </c>
      <c r="Q47" s="1419">
        <f ca="1">C40+J29</f>
        <v>12395059</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26.53</v>
      </c>
      <c r="O48" s="1417" t="s">
        <v>404</v>
      </c>
      <c r="P48" s="1418" t="s">
        <v>821</v>
      </c>
      <c r="Q48" s="1419">
        <f ca="1">J60</f>
        <v>155864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2016</v>
      </c>
      <c r="K49" s="1422" t="s">
        <v>824</v>
      </c>
      <c r="L49" s="1426"/>
      <c r="O49" s="1427" t="s">
        <v>405</v>
      </c>
      <c r="P49" s="1418" t="s">
        <v>825</v>
      </c>
      <c r="Q49" s="1419">
        <f ca="1">C29</f>
        <v>2407536</v>
      </c>
      <c r="R49" s="1419" t="s">
        <v>818</v>
      </c>
    </row>
    <row r="50" spans="1:18" s="1383" customFormat="1" ht="13.5" thickBot="1">
      <c r="A50" s="975"/>
      <c r="B50" s="978"/>
      <c r="C50" s="979"/>
      <c r="D50" s="952"/>
      <c r="E50" s="1055" t="s">
        <v>697</v>
      </c>
      <c r="F50" s="1056">
        <f ca="1">F7</f>
        <v>402.39</v>
      </c>
      <c r="H50" s="722"/>
      <c r="I50" s="1420" t="s">
        <v>826</v>
      </c>
      <c r="J50" s="1428">
        <f>SUMPRODUCT((I63:I65=J47)*(J62:L62=J48)*(J63:L65))</f>
        <v>60</v>
      </c>
      <c r="K50" s="1422" t="s">
        <v>827</v>
      </c>
      <c r="L50" s="1426"/>
      <c r="M50" s="1429"/>
      <c r="O50" s="1427" t="s">
        <v>406</v>
      </c>
      <c r="P50" s="1418" t="s">
        <v>828</v>
      </c>
      <c r="Q50" s="1430">
        <f ca="1">J58</f>
        <v>0.441</v>
      </c>
      <c r="R50" s="1419"/>
    </row>
    <row r="51" spans="1:18" s="1383" customFormat="1" ht="13.5" thickBot="1">
      <c r="A51" s="976"/>
      <c r="B51" s="978"/>
      <c r="C51" s="979"/>
      <c r="D51" s="952"/>
      <c r="E51" s="980" t="s">
        <v>698</v>
      </c>
      <c r="F51" s="303">
        <f ca="1">F8</f>
        <v>365</v>
      </c>
      <c r="I51" s="1431" t="s">
        <v>829</v>
      </c>
      <c r="J51" s="1432">
        <f>IF(J49="",J50,J49+J50-YEAR('数据-取费表'!B2))</f>
        <v>53</v>
      </c>
      <c r="K51" s="1433" t="s">
        <v>830</v>
      </c>
      <c r="L51" s="1434">
        <f ca="1">ROUND(-PV(INDIRECT("'数据-取费表'!h"&amp;$G$1),J51,(C39-C13*C76),0),0)</f>
        <v>10054805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26.53</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26.53</v>
      </c>
      <c r="K53" s="3631" t="s">
        <v>837</v>
      </c>
      <c r="L53" s="3632"/>
      <c r="O53" s="1417" t="s">
        <v>409</v>
      </c>
      <c r="P53" s="1418" t="s">
        <v>838</v>
      </c>
      <c r="Q53" s="1419">
        <f ca="1">Q47+Q48</f>
        <v>12550923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0.441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2118632</v>
      </c>
      <c r="D56" s="1446"/>
      <c r="E56" s="1447"/>
      <c r="F56" s="1439"/>
      <c r="I56" s="1448" t="s">
        <v>842</v>
      </c>
      <c r="J56" s="1449" t="s">
        <v>3375</v>
      </c>
      <c r="K56" s="1420" t="s">
        <v>843</v>
      </c>
      <c r="L56" s="1423" t="str">
        <f ca="1">IF(L48&lt;J51,"——",L48-J51)</f>
        <v>——</v>
      </c>
      <c r="O56" s="1417" t="s">
        <v>403</v>
      </c>
      <c r="P56" s="1418" t="s">
        <v>817</v>
      </c>
      <c r="Q56" s="1419">
        <f ca="1">C40+J29</f>
        <v>12395059</v>
      </c>
      <c r="R56" s="1419" t="s">
        <v>818</v>
      </c>
    </row>
    <row r="57" spans="1:18" s="1383" customFormat="1" ht="24.75" thickBot="1">
      <c r="A57" s="1450"/>
      <c r="B57" s="949" t="s">
        <v>767</v>
      </c>
      <c r="C57" s="238">
        <f ca="1">C29</f>
        <v>2407536</v>
      </c>
      <c r="D57" s="1451"/>
      <c r="E57" s="1452"/>
      <c r="F57" s="1453"/>
      <c r="I57" s="1454" t="s">
        <v>844</v>
      </c>
      <c r="J57" s="1455">
        <f ca="1">IF(OR(M47="住宅",J51&lt;L48,J56="是"),"——",J51-L48)</f>
        <v>26.47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27253</v>
      </c>
      <c r="D58" s="959" t="s">
        <v>715</v>
      </c>
      <c r="E58" s="960"/>
      <c r="F58" s="961"/>
      <c r="I58" s="1454" t="s">
        <v>848</v>
      </c>
      <c r="J58" s="1456">
        <f ca="1">IF(J55&lt;0.4,0.4,J55)</f>
        <v>0.441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1061723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155864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12395059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24075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3178</v>
      </c>
      <c r="D65" s="963" t="s">
        <v>743</v>
      </c>
      <c r="E65" s="949" t="s">
        <v>744</v>
      </c>
      <c r="F65" s="330">
        <f t="shared" ca="1" si="0"/>
        <v>1.5E-3</v>
      </c>
      <c r="I65" s="1461" t="s">
        <v>867</v>
      </c>
      <c r="J65" s="1462">
        <v>40</v>
      </c>
      <c r="K65" s="1462">
        <v>30</v>
      </c>
      <c r="L65" s="1462">
        <v>50</v>
      </c>
      <c r="M65" s="1464">
        <v>0.02</v>
      </c>
      <c r="O65" s="1417" t="s">
        <v>403</v>
      </c>
      <c r="P65" s="1418" t="s">
        <v>868</v>
      </c>
      <c r="Q65" s="1419">
        <f ca="1">C40+J29</f>
        <v>12395059</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-27253</v>
      </c>
      <c r="D67" s="962" t="s">
        <v>753</v>
      </c>
      <c r="E67" s="967"/>
      <c r="F67" s="968"/>
      <c r="O67" s="1427" t="s">
        <v>405</v>
      </c>
      <c r="P67" s="1418" t="s">
        <v>850</v>
      </c>
      <c r="Q67" s="1465">
        <f ca="1">L51</f>
        <v>10054805</v>
      </c>
      <c r="R67" s="1419" t="s">
        <v>870</v>
      </c>
    </row>
    <row r="68" spans="1:18" s="1383" customFormat="1" ht="16.5" thickBot="1">
      <c r="A68" s="946" t="s">
        <v>395</v>
      </c>
      <c r="B68" s="947" t="s">
        <v>774</v>
      </c>
      <c r="C68" s="301">
        <f ca="1">ROUND(C67*(1-((1+F70)/(1+F68))^F69)/(F68-F70),0)</f>
        <v>-357412</v>
      </c>
      <c r="D68" s="964" t="s">
        <v>758</v>
      </c>
      <c r="E68" s="949" t="s">
        <v>759</v>
      </c>
      <c r="F68" s="312">
        <f ca="1">F40</f>
        <v>0.06</v>
      </c>
      <c r="O68" s="1427" t="s">
        <v>406</v>
      </c>
      <c r="P68" s="1466" t="s">
        <v>871</v>
      </c>
      <c r="Q68" s="1419">
        <f ca="1">ROUND(Q69-Q70*Q71,0)</f>
        <v>587415</v>
      </c>
      <c r="R68" s="1419" t="s">
        <v>414</v>
      </c>
    </row>
    <row r="69" spans="1:18" s="1383" customFormat="1" ht="13.5" thickBot="1">
      <c r="A69" s="950"/>
      <c r="B69" s="951"/>
      <c r="C69" s="306"/>
      <c r="D69" s="969" t="s">
        <v>762</v>
      </c>
      <c r="E69" s="949" t="s">
        <v>763</v>
      </c>
      <c r="F69" s="333">
        <f ca="1">F41</f>
        <v>26.53</v>
      </c>
      <c r="O69" s="1427" t="s">
        <v>411</v>
      </c>
      <c r="P69" s="1466" t="s">
        <v>872</v>
      </c>
      <c r="Q69" s="1419">
        <f ca="1">C39</f>
        <v>735719</v>
      </c>
      <c r="R69" s="1419" t="s">
        <v>818</v>
      </c>
    </row>
    <row r="70" spans="1:18" s="1383" customFormat="1" ht="13.5" thickBot="1">
      <c r="A70" s="953"/>
      <c r="B70" s="954"/>
      <c r="C70" s="310"/>
      <c r="D70" s="965"/>
      <c r="E70" s="949" t="s">
        <v>766</v>
      </c>
      <c r="F70" s="1053"/>
      <c r="O70" s="1427" t="s">
        <v>412</v>
      </c>
      <c r="P70" s="1466" t="s">
        <v>873</v>
      </c>
      <c r="Q70" s="1419">
        <f ca="1">C13</f>
        <v>2118632</v>
      </c>
      <c r="R70" s="1419" t="s">
        <v>818</v>
      </c>
    </row>
    <row r="71" spans="1:18" s="1383" customFormat="1" ht="13.5" thickBot="1">
      <c r="A71" s="970" t="s">
        <v>396</v>
      </c>
      <c r="B71" s="971" t="s">
        <v>776</v>
      </c>
      <c r="C71" s="336">
        <f ca="1">ROUND(C68/F71,0)</f>
        <v>-888</v>
      </c>
      <c r="D71" s="972" t="s">
        <v>777</v>
      </c>
      <c r="E71" s="973" t="s">
        <v>778</v>
      </c>
      <c r="F71" s="339">
        <f ca="1">F43</f>
        <v>402.39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148304</v>
      </c>
      <c r="D75" s="1383"/>
      <c r="E75" s="1383"/>
      <c r="F75" s="1383"/>
      <c r="K75" s="1401"/>
      <c r="L75" s="1383"/>
      <c r="O75" s="1417" t="s">
        <v>409</v>
      </c>
      <c r="P75" s="1418" t="s">
        <v>838</v>
      </c>
      <c r="Q75" s="1419">
        <f ca="1">Q65+Q66</f>
        <v>12395059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0.79800000000000004</v>
      </c>
    </row>
    <row r="80" spans="1:18">
      <c r="B80" s="340" t="s">
        <v>800</v>
      </c>
      <c r="C80" s="274">
        <f ca="1">ROUND(C75/C39,3)</f>
        <v>0.20200000000000001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2428</v>
      </c>
      <c r="B1" s="2827"/>
      <c r="C1" s="2839"/>
      <c r="D1" s="2839"/>
      <c r="E1" s="2828"/>
      <c r="F1" s="2829"/>
      <c r="G1" s="2830"/>
      <c r="J1" s="2833" t="s">
        <v>2307</v>
      </c>
      <c r="K1" s="2834"/>
      <c r="L1" s="2834"/>
      <c r="M1" s="2834"/>
      <c r="N1" s="2834"/>
      <c r="O1" s="2834"/>
      <c r="P1" s="2834"/>
      <c r="Q1" s="2834"/>
      <c r="R1" s="2835"/>
      <c r="S1" s="2836"/>
      <c r="T1" s="2836"/>
      <c r="U1" s="2836"/>
    </row>
    <row r="2" spans="1:22" s="2848" customFormat="1" ht="13.15" customHeight="1">
      <c r="A2" s="1384" t="s">
        <v>2308</v>
      </c>
      <c r="B2" s="2838" t="e">
        <f>IF(D2="——",C40,C40+E2)</f>
        <v>#DIV/0!</v>
      </c>
      <c r="C2" s="2839" t="s">
        <v>2309</v>
      </c>
      <c r="D2" s="3438" t="s">
        <v>3354</v>
      </c>
      <c r="E2" s="3439"/>
      <c r="F2" s="2841"/>
      <c r="G2" s="2842"/>
      <c r="H2" s="2843"/>
      <c r="I2" s="2844"/>
      <c r="J2" s="3642" t="s">
        <v>2310</v>
      </c>
      <c r="K2" s="3643"/>
      <c r="L2" s="2845" t="s">
        <v>2311</v>
      </c>
      <c r="M2" s="2845" t="s">
        <v>2312</v>
      </c>
      <c r="N2" s="2845" t="s">
        <v>2313</v>
      </c>
      <c r="O2" s="2845" t="s">
        <v>2314</v>
      </c>
      <c r="P2" s="2845" t="s">
        <v>2315</v>
      </c>
      <c r="Q2" s="2846" t="s">
        <v>2316</v>
      </c>
      <c r="R2" s="2847" t="s">
        <v>2317</v>
      </c>
      <c r="S2" s="2836"/>
      <c r="T2" s="2836"/>
      <c r="U2" s="2836"/>
      <c r="V2" s="2844"/>
    </row>
    <row r="3" spans="1:22" s="2848" customFormat="1" ht="13.15" customHeight="1">
      <c r="A3" s="2849" t="s">
        <v>2318</v>
      </c>
      <c r="B3" s="2850" t="e">
        <f>ROUND(B2*10000/B4,0)</f>
        <v>#DIV/0!</v>
      </c>
      <c r="C3" s="2839" t="s">
        <v>2319</v>
      </c>
      <c r="D3" s="2839"/>
      <c r="E3" s="2840"/>
      <c r="F3" s="2841"/>
      <c r="G3" s="2842"/>
      <c r="H3" s="2843"/>
      <c r="I3" s="2844"/>
      <c r="J3" s="3644" t="s">
        <v>2320</v>
      </c>
      <c r="K3" s="3645"/>
      <c r="L3" s="2851"/>
      <c r="M3" s="2851"/>
      <c r="N3" s="2851"/>
      <c r="O3" s="2851"/>
      <c r="P3" s="2851"/>
      <c r="Q3" s="2852"/>
      <c r="R3" s="2853">
        <f>SUM(L3:Q3)</f>
        <v>0</v>
      </c>
      <c r="S3" s="2836"/>
      <c r="T3" s="2836"/>
      <c r="U3" s="2836"/>
      <c r="V3" s="2844"/>
    </row>
    <row r="4" spans="1:22" s="2848" customFormat="1" ht="13.15" customHeight="1">
      <c r="A4" s="2854" t="s">
        <v>2321</v>
      </c>
      <c r="B4" s="2855"/>
      <c r="C4" s="2839"/>
      <c r="D4" s="2839"/>
      <c r="E4" s="2840"/>
      <c r="F4" s="2841"/>
      <c r="G4" s="2842"/>
      <c r="H4" s="2843"/>
      <c r="I4" s="2844"/>
      <c r="J4" s="3644" t="s">
        <v>2322</v>
      </c>
      <c r="K4" s="3645"/>
      <c r="L4" s="2856"/>
      <c r="M4" s="2856"/>
      <c r="N4" s="2856"/>
      <c r="O4" s="2856"/>
      <c r="P4" s="2856"/>
      <c r="Q4" s="2857"/>
      <c r="R4" s="2858">
        <f>SUM(L4:Q4)</f>
        <v>0</v>
      </c>
      <c r="S4" s="2836"/>
      <c r="T4" s="2836"/>
      <c r="U4" s="2836"/>
      <c r="V4" s="2844"/>
    </row>
    <row r="5" spans="1:22" s="2848" customFormat="1" ht="13.15" customHeight="1" thickBot="1">
      <c r="A5" s="2859" t="s">
        <v>2323</v>
      </c>
      <c r="B5" s="2860"/>
      <c r="C5" s="2839"/>
      <c r="D5" s="2861"/>
      <c r="E5" s="2841"/>
      <c r="F5" s="2841"/>
      <c r="G5" s="2842"/>
      <c r="H5" s="2843"/>
      <c r="I5" s="2844"/>
      <c r="J5" s="2862" t="s">
        <v>2324</v>
      </c>
      <c r="K5" s="2863"/>
      <c r="L5" s="2863"/>
      <c r="M5" s="2864"/>
      <c r="N5" s="2864"/>
      <c r="O5" s="2864"/>
      <c r="P5" s="2864"/>
      <c r="Q5" s="2864"/>
      <c r="R5" s="2847">
        <f>SUM(R14,R19,R24,R25,R27,R28)</f>
        <v>0</v>
      </c>
      <c r="S5" s="2836"/>
      <c r="T5" s="2836" t="s">
        <v>2325</v>
      </c>
      <c r="U5" s="2836" t="e">
        <f>ROUND(R5*10000/365/R3,1)</f>
        <v>#DIV/0!</v>
      </c>
      <c r="V5" s="2844"/>
    </row>
    <row r="6" spans="1:22" s="2848" customFormat="1" ht="13.15" customHeight="1" thickBot="1">
      <c r="A6" s="3650" t="s">
        <v>2326</v>
      </c>
      <c r="B6" s="3651"/>
      <c r="C6" s="3652"/>
      <c r="D6" s="2865"/>
      <c r="E6" s="2866"/>
      <c r="F6" s="2867"/>
      <c r="G6" s="2868"/>
      <c r="H6" s="2843"/>
      <c r="I6" s="2844"/>
      <c r="J6" s="3636">
        <v>1</v>
      </c>
      <c r="K6" s="3637" t="s">
        <v>2327</v>
      </c>
      <c r="L6" s="2869" t="s">
        <v>2328</v>
      </c>
      <c r="M6" s="2870" t="s">
        <v>2329</v>
      </c>
      <c r="N6" s="2870" t="s">
        <v>2330</v>
      </c>
      <c r="O6" s="2870" t="s">
        <v>2331</v>
      </c>
      <c r="P6" s="2870" t="s">
        <v>2332</v>
      </c>
      <c r="Q6" s="2870" t="s">
        <v>2333</v>
      </c>
      <c r="R6" s="2853" t="s">
        <v>2334</v>
      </c>
      <c r="S6" s="2836"/>
      <c r="T6" s="2836" t="s">
        <v>2335</v>
      </c>
      <c r="U6" s="2836"/>
      <c r="V6" s="2844"/>
    </row>
    <row r="7" spans="1:22" s="2848" customFormat="1" ht="13.15" customHeight="1">
      <c r="A7" s="2871" t="s">
        <v>2336</v>
      </c>
      <c r="B7" s="2872"/>
      <c r="C7" s="2873"/>
      <c r="D7" s="2874">
        <f>SUM(D9,D10,D11,D17,0)</f>
        <v>0</v>
      </c>
      <c r="E7" s="2875" t="e">
        <f>E9+E10+E11+E17</f>
        <v>#DIV/0!</v>
      </c>
      <c r="F7" s="2876"/>
      <c r="G7" s="2877"/>
      <c r="H7" s="2843"/>
      <c r="I7" s="2844"/>
      <c r="J7" s="3636"/>
      <c r="K7" s="3638"/>
      <c r="L7" s="2878" t="s">
        <v>2337</v>
      </c>
      <c r="M7" s="2879"/>
      <c r="N7" s="2855"/>
      <c r="O7" s="2880"/>
      <c r="P7" s="2880"/>
      <c r="Q7" s="2881">
        <v>365</v>
      </c>
      <c r="R7" s="2882">
        <f>ROUND(M7*N7*O7*P7*Q7/10000,0)</f>
        <v>0</v>
      </c>
      <c r="S7" s="2836"/>
      <c r="T7" s="2836" t="s">
        <v>2338</v>
      </c>
      <c r="U7" s="2836"/>
      <c r="V7" s="2844"/>
    </row>
    <row r="8" spans="1:22" s="2848" customFormat="1" ht="13.15" customHeight="1">
      <c r="A8" s="2883" t="s">
        <v>2339</v>
      </c>
      <c r="B8" s="3653" t="s">
        <v>2340</v>
      </c>
      <c r="C8" s="3654"/>
      <c r="D8" s="2884" t="s">
        <v>2341</v>
      </c>
      <c r="E8" s="2885" t="s">
        <v>2342</v>
      </c>
      <c r="F8" s="2886" t="s">
        <v>2343</v>
      </c>
      <c r="G8" s="2887"/>
      <c r="H8" s="2843"/>
      <c r="I8" s="2844"/>
      <c r="J8" s="3636"/>
      <c r="K8" s="3638"/>
      <c r="L8" s="2878" t="s">
        <v>2344</v>
      </c>
      <c r="M8" s="2879"/>
      <c r="N8" s="2855"/>
      <c r="O8" s="2880"/>
      <c r="P8" s="2880"/>
      <c r="Q8" s="2881">
        <v>365</v>
      </c>
      <c r="R8" s="2882">
        <f t="shared" ref="R8:R13" si="0">ROUND(M8*N8*O8*P8*Q8/10000,0)</f>
        <v>0</v>
      </c>
      <c r="S8" s="2836"/>
      <c r="T8" s="2836" t="s">
        <v>2345</v>
      </c>
      <c r="U8" s="2836"/>
      <c r="V8" s="2844"/>
    </row>
    <row r="9" spans="1:22" s="2848" customFormat="1" ht="13.15" customHeight="1">
      <c r="A9" s="2883">
        <v>1</v>
      </c>
      <c r="B9" s="3653" t="s">
        <v>2346</v>
      </c>
      <c r="C9" s="3654"/>
      <c r="D9" s="2884">
        <f>ROUND(D6*E9,0)</f>
        <v>0</v>
      </c>
      <c r="E9" s="2888"/>
      <c r="F9" s="2889" t="s">
        <v>2347</v>
      </c>
      <c r="G9" s="2868"/>
      <c r="H9" s="2843"/>
      <c r="I9" s="2844"/>
      <c r="J9" s="3636"/>
      <c r="K9" s="3638"/>
      <c r="L9" s="2878" t="s">
        <v>2348</v>
      </c>
      <c r="M9" s="2879"/>
      <c r="N9" s="2855"/>
      <c r="O9" s="2880"/>
      <c r="P9" s="2880"/>
      <c r="Q9" s="2881">
        <v>365</v>
      </c>
      <c r="R9" s="2882">
        <f t="shared" si="0"/>
        <v>0</v>
      </c>
      <c r="S9" s="2836"/>
      <c r="T9" s="2836"/>
      <c r="U9" s="2836"/>
      <c r="V9" s="2844"/>
    </row>
    <row r="10" spans="1:22" s="2848" customFormat="1" ht="13.15" customHeight="1">
      <c r="A10" s="2883">
        <v>2</v>
      </c>
      <c r="B10" s="3653" t="s">
        <v>2349</v>
      </c>
      <c r="C10" s="3654"/>
      <c r="D10" s="2884">
        <f>ROUND(D6*E10,0)</f>
        <v>0</v>
      </c>
      <c r="E10" s="2888"/>
      <c r="F10" s="2889" t="s">
        <v>2350</v>
      </c>
      <c r="G10" s="2868"/>
      <c r="H10" s="2843"/>
      <c r="I10" s="2844"/>
      <c r="J10" s="3636"/>
      <c r="K10" s="3638"/>
      <c r="L10" s="2878" t="s">
        <v>2351</v>
      </c>
      <c r="M10" s="2879"/>
      <c r="N10" s="2855"/>
      <c r="O10" s="2880"/>
      <c r="P10" s="2880"/>
      <c r="Q10" s="2881">
        <v>365</v>
      </c>
      <c r="R10" s="2882">
        <f t="shared" si="0"/>
        <v>0</v>
      </c>
      <c r="S10" s="2836"/>
      <c r="T10" s="2836"/>
      <c r="U10" s="2836"/>
      <c r="V10" s="2844"/>
    </row>
    <row r="11" spans="1:22" s="2848" customFormat="1" ht="13.15" customHeight="1">
      <c r="A11" s="2883">
        <v>3</v>
      </c>
      <c r="B11" s="3653" t="s">
        <v>2352</v>
      </c>
      <c r="C11" s="3654"/>
      <c r="D11" s="2884">
        <f>D12+D14+D15+D16</f>
        <v>0</v>
      </c>
      <c r="E11" s="2890" t="e">
        <f>D11/D6</f>
        <v>#DIV/0!</v>
      </c>
      <c r="F11" s="2886"/>
      <c r="G11" s="2887"/>
      <c r="H11" s="2843"/>
      <c r="I11" s="2844"/>
      <c r="J11" s="3636"/>
      <c r="K11" s="3638"/>
      <c r="L11" s="2878" t="s">
        <v>2353</v>
      </c>
      <c r="M11" s="2879"/>
      <c r="N11" s="2855"/>
      <c r="O11" s="2880"/>
      <c r="P11" s="2880"/>
      <c r="Q11" s="2881">
        <v>365</v>
      </c>
      <c r="R11" s="2882">
        <f t="shared" si="0"/>
        <v>0</v>
      </c>
      <c r="S11" s="2836"/>
      <c r="T11" s="2836"/>
      <c r="U11" s="2836"/>
      <c r="V11" s="2844"/>
    </row>
    <row r="12" spans="1:22" s="2848" customFormat="1" ht="13.15" customHeight="1">
      <c r="A12" s="2891" t="s">
        <v>2354</v>
      </c>
      <c r="B12" s="3646" t="s">
        <v>2355</v>
      </c>
      <c r="C12" s="3647"/>
      <c r="D12" s="2892">
        <f>ROUND(D13*1.2%*(1-30%),0)</f>
        <v>0</v>
      </c>
      <c r="E12" s="2893">
        <v>1.2E-2</v>
      </c>
      <c r="F12" s="2886" t="s">
        <v>2356</v>
      </c>
      <c r="G12" s="2887"/>
      <c r="H12" s="2843"/>
      <c r="I12" s="2844"/>
      <c r="J12" s="3636"/>
      <c r="K12" s="3638"/>
      <c r="L12" s="2878" t="s">
        <v>2357</v>
      </c>
      <c r="M12" s="2879"/>
      <c r="N12" s="2855"/>
      <c r="O12" s="2880"/>
      <c r="P12" s="2880"/>
      <c r="Q12" s="2881">
        <v>365</v>
      </c>
      <c r="R12" s="2882">
        <f t="shared" si="0"/>
        <v>0</v>
      </c>
      <c r="S12" s="2836"/>
      <c r="T12" s="2836"/>
      <c r="U12" s="2836"/>
      <c r="V12" s="2844"/>
    </row>
    <row r="13" spans="1:22" s="2848" customFormat="1" ht="13.15" customHeight="1">
      <c r="A13" s="2891"/>
      <c r="B13" s="2894"/>
      <c r="C13" s="2895" t="s">
        <v>2358</v>
      </c>
      <c r="D13" s="2896"/>
      <c r="E13" s="2897"/>
      <c r="F13" s="2886"/>
      <c r="G13" s="2887"/>
      <c r="H13" s="2843"/>
      <c r="I13" s="2844"/>
      <c r="J13" s="3636"/>
      <c r="K13" s="3638"/>
      <c r="L13" s="2878" t="s">
        <v>2359</v>
      </c>
      <c r="M13" s="2879"/>
      <c r="N13" s="2855"/>
      <c r="O13" s="2880"/>
      <c r="P13" s="2880"/>
      <c r="Q13" s="2881">
        <v>365</v>
      </c>
      <c r="R13" s="2882">
        <f t="shared" si="0"/>
        <v>0</v>
      </c>
      <c r="S13" s="2836"/>
      <c r="T13" s="2836"/>
      <c r="U13" s="2836"/>
      <c r="V13" s="2844"/>
    </row>
    <row r="14" spans="1:22" s="2848" customFormat="1" ht="13.15" customHeight="1">
      <c r="A14" s="2891" t="s">
        <v>2360</v>
      </c>
      <c r="B14" s="3646" t="s">
        <v>2361</v>
      </c>
      <c r="C14" s="3647"/>
      <c r="D14" s="2892">
        <f>ROUND(E14*B5/10000,0)</f>
        <v>0</v>
      </c>
      <c r="E14" s="2881"/>
      <c r="F14" s="2886" t="s">
        <v>2362</v>
      </c>
      <c r="G14" s="2887"/>
      <c r="H14" s="2843"/>
      <c r="I14" s="2844"/>
      <c r="J14" s="3636"/>
      <c r="K14" s="3639"/>
      <c r="L14" s="2898" t="s">
        <v>2363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2364</v>
      </c>
      <c r="B15" s="3646" t="s">
        <v>2365</v>
      </c>
      <c r="C15" s="3647"/>
      <c r="D15" s="2892">
        <f>ROUND(D6*E15,0)</f>
        <v>0</v>
      </c>
      <c r="E15" s="2893">
        <v>5.5E-2</v>
      </c>
      <c r="F15" s="2886" t="s">
        <v>2366</v>
      </c>
      <c r="G15" s="2868"/>
      <c r="H15" s="2843"/>
      <c r="I15" s="2844"/>
      <c r="J15" s="3636">
        <v>2</v>
      </c>
      <c r="K15" s="3637" t="s">
        <v>2367</v>
      </c>
      <c r="L15" s="2878" t="s">
        <v>2368</v>
      </c>
      <c r="M15" s="2879" t="s">
        <v>2369</v>
      </c>
      <c r="N15" s="2879" t="s">
        <v>2370</v>
      </c>
      <c r="O15" s="2880" t="s">
        <v>2371</v>
      </c>
      <c r="P15" s="2880" t="s">
        <v>2333</v>
      </c>
      <c r="Q15" s="2855" t="s">
        <v>2372</v>
      </c>
      <c r="R15" s="2902" t="s">
        <v>2334</v>
      </c>
      <c r="S15" s="2836"/>
      <c r="T15" s="2836"/>
      <c r="U15" s="2836"/>
      <c r="V15" s="2844"/>
    </row>
    <row r="16" spans="1:22" s="2848" customFormat="1" ht="13.15" customHeight="1">
      <c r="A16" s="2891" t="s">
        <v>2373</v>
      </c>
      <c r="B16" s="3646" t="s">
        <v>2374</v>
      </c>
      <c r="C16" s="3647"/>
      <c r="D16" s="2903">
        <f>D6*E16</f>
        <v>0</v>
      </c>
      <c r="E16" s="2904"/>
      <c r="F16" s="2889" t="s">
        <v>2375</v>
      </c>
      <c r="G16" s="2868"/>
      <c r="H16" s="2843"/>
      <c r="I16" s="2844"/>
      <c r="J16" s="3636"/>
      <c r="K16" s="3638"/>
      <c r="L16" s="2878" t="s">
        <v>2376</v>
      </c>
      <c r="M16" s="2879"/>
      <c r="N16" s="2879"/>
      <c r="O16" s="2880"/>
      <c r="P16" s="2881">
        <v>365</v>
      </c>
      <c r="Q16" s="2855"/>
      <c r="R16" s="2902">
        <f>ROUND(M16*N16*O16*P16/10000,0)</f>
        <v>0</v>
      </c>
      <c r="S16" s="2836"/>
      <c r="T16" s="2836"/>
      <c r="U16" s="2836"/>
      <c r="V16" s="2844"/>
    </row>
    <row r="17" spans="1:22" s="2848" customFormat="1" ht="13.15" customHeight="1" thickBot="1">
      <c r="A17" s="2905">
        <v>4</v>
      </c>
      <c r="B17" s="3648" t="s">
        <v>2377</v>
      </c>
      <c r="C17" s="3649"/>
      <c r="D17" s="2906">
        <f>ROUND(D6*E17,0)</f>
        <v>0</v>
      </c>
      <c r="E17" s="2907"/>
      <c r="F17" s="2908" t="s">
        <v>2378</v>
      </c>
      <c r="G17" s="2868"/>
      <c r="H17" s="2843"/>
      <c r="I17" s="2844"/>
      <c r="J17" s="3636"/>
      <c r="K17" s="3638"/>
      <c r="L17" s="2878" t="s">
        <v>2379</v>
      </c>
      <c r="M17" s="2879"/>
      <c r="N17" s="2879"/>
      <c r="O17" s="2880"/>
      <c r="P17" s="2881">
        <v>365</v>
      </c>
      <c r="Q17" s="2855"/>
      <c r="R17" s="2902">
        <f>ROUND(M17*N17*O17*P17/10000,0)</f>
        <v>0</v>
      </c>
      <c r="S17" s="2836"/>
      <c r="T17" s="2836"/>
      <c r="U17" s="2836"/>
      <c r="V17" s="2844"/>
    </row>
    <row r="18" spans="1:22" s="2848" customFormat="1" ht="13.15" customHeight="1" thickBot="1">
      <c r="A18" s="2871" t="s">
        <v>2380</v>
      </c>
      <c r="B18" s="2872"/>
      <c r="C18" s="2872"/>
      <c r="D18" s="2909">
        <f>ROUND(D6*E18,0)</f>
        <v>0</v>
      </c>
      <c r="E18" s="2910"/>
      <c r="F18" s="2911" t="s">
        <v>2381</v>
      </c>
      <c r="G18" s="2868"/>
      <c r="H18" s="2843"/>
      <c r="I18" s="2844"/>
      <c r="J18" s="3636"/>
      <c r="K18" s="3638"/>
      <c r="L18" s="2878" t="s">
        <v>2382</v>
      </c>
      <c r="M18" s="2879"/>
      <c r="N18" s="2879"/>
      <c r="O18" s="2880"/>
      <c r="P18" s="2881">
        <v>365</v>
      </c>
      <c r="Q18" s="2855"/>
      <c r="R18" s="2902">
        <f>ROUND(M18*N18*O18*P18/10000,0)</f>
        <v>0</v>
      </c>
      <c r="S18" s="2836"/>
      <c r="T18" s="2836"/>
      <c r="U18" s="2836"/>
      <c r="V18" s="2844"/>
    </row>
    <row r="19" spans="1:22" s="2848" customFormat="1" ht="13.15" customHeight="1" thickBot="1">
      <c r="A19" s="2912" t="s">
        <v>2383</v>
      </c>
      <c r="B19" s="2866"/>
      <c r="C19" s="2866"/>
      <c r="D19" s="2866"/>
      <c r="E19" s="2866"/>
      <c r="F19" s="2867"/>
      <c r="G19" s="2887"/>
      <c r="H19" s="2843"/>
      <c r="I19" s="2844"/>
      <c r="J19" s="3636"/>
      <c r="K19" s="3639"/>
      <c r="L19" s="2898" t="s">
        <v>2363</v>
      </c>
      <c r="M19" s="2899"/>
      <c r="N19" s="2899">
        <f>SUM(N16:N18)</f>
        <v>0</v>
      </c>
      <c r="O19" s="2900"/>
      <c r="P19" s="2913" t="s">
        <v>2427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36">
        <v>3</v>
      </c>
      <c r="K20" s="3637" t="s">
        <v>2384</v>
      </c>
      <c r="L20" s="2878" t="s">
        <v>2385</v>
      </c>
      <c r="M20" s="2879" t="s">
        <v>2386</v>
      </c>
      <c r="N20" s="2916" t="s">
        <v>2387</v>
      </c>
      <c r="O20" s="2880" t="s">
        <v>2388</v>
      </c>
      <c r="P20" s="2881" t="s">
        <v>2389</v>
      </c>
      <c r="Q20" s="2855" t="s">
        <v>2390</v>
      </c>
      <c r="R20" s="2902" t="s">
        <v>2391</v>
      </c>
      <c r="S20" s="2917"/>
      <c r="T20" s="2917"/>
      <c r="U20" s="2917"/>
      <c r="V20" s="2844"/>
    </row>
    <row r="21" spans="1:22" s="2848" customFormat="1" ht="13.15" customHeight="1">
      <c r="A21" s="2871"/>
      <c r="B21" s="2872"/>
      <c r="C21" s="2918" t="s">
        <v>2392</v>
      </c>
      <c r="D21" s="2919" t="s">
        <v>2393</v>
      </c>
      <c r="E21" s="2920" t="s">
        <v>2394</v>
      </c>
      <c r="F21" s="2915"/>
      <c r="G21" s="2887"/>
      <c r="H21" s="2843"/>
      <c r="I21" s="2844"/>
      <c r="J21" s="3636"/>
      <c r="K21" s="3638"/>
      <c r="L21" s="2878" t="s">
        <v>2395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2396</v>
      </c>
      <c r="D22" s="2923" t="s">
        <v>2397</v>
      </c>
      <c r="E22" s="2924" t="s">
        <v>2398</v>
      </c>
      <c r="F22" s="2915"/>
      <c r="G22" s="2925"/>
      <c r="H22" s="2843"/>
      <c r="I22" s="2844"/>
      <c r="J22" s="3636"/>
      <c r="K22" s="3638"/>
      <c r="L22" s="2878" t="s">
        <v>2399</v>
      </c>
      <c r="M22" s="2879"/>
      <c r="N22" s="2879"/>
      <c r="O22" s="2880"/>
      <c r="P22" s="2881">
        <v>365</v>
      </c>
      <c r="Q22" s="2855"/>
      <c r="R22" s="2921">
        <f>ROUND(M22*N22*O22*P22/10000,0)</f>
        <v>0</v>
      </c>
      <c r="S22" s="2917"/>
      <c r="T22" s="2917"/>
      <c r="U22" s="2917"/>
      <c r="V22" s="2844"/>
    </row>
    <row r="23" spans="1:22" s="2848" customFormat="1" ht="13.15" customHeight="1">
      <c r="A23" s="2926">
        <v>1</v>
      </c>
      <c r="B23" s="2927" t="s">
        <v>2400</v>
      </c>
      <c r="C23" s="2928">
        <f>D6</f>
        <v>0</v>
      </c>
      <c r="D23" s="2929">
        <f>C23*(1+D24)</f>
        <v>0</v>
      </c>
      <c r="E23" s="2930">
        <f>D23*(1+E24)</f>
        <v>0</v>
      </c>
      <c r="F23" s="2931"/>
      <c r="G23" s="2932"/>
      <c r="H23" s="2843"/>
      <c r="I23" s="2844"/>
      <c r="J23" s="3636"/>
      <c r="K23" s="3638"/>
      <c r="L23" s="2878" t="s">
        <v>2401</v>
      </c>
      <c r="M23" s="2879"/>
      <c r="N23" s="2879"/>
      <c r="O23" s="2880"/>
      <c r="P23" s="2881">
        <v>365</v>
      </c>
      <c r="Q23" s="2855"/>
      <c r="R23" s="2921">
        <f>ROUND(M23*N23*O23*P23/10000,0)</f>
        <v>0</v>
      </c>
      <c r="S23" s="2836"/>
      <c r="T23" s="2836"/>
      <c r="U23" s="2836"/>
      <c r="V23" s="2844"/>
    </row>
    <row r="24" spans="1:22" s="2848" customFormat="1" ht="13.15" customHeight="1">
      <c r="A24" s="2933"/>
      <c r="B24" s="2934" t="s">
        <v>2402</v>
      </c>
      <c r="C24" s="2935"/>
      <c r="D24" s="2936"/>
      <c r="E24" s="2937"/>
      <c r="F24" s="2938"/>
      <c r="G24" s="2932"/>
      <c r="H24" s="2843"/>
      <c r="I24" s="2844"/>
      <c r="J24" s="3636"/>
      <c r="K24" s="3639"/>
      <c r="L24" s="2898" t="s">
        <v>2363</v>
      </c>
      <c r="M24" s="2899">
        <f>SUM(M21:M23)</f>
        <v>0</v>
      </c>
      <c r="N24" s="2899"/>
      <c r="O24" s="2900"/>
      <c r="P24" s="2913" t="s">
        <v>2427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2403</v>
      </c>
      <c r="L25" s="2941"/>
      <c r="M25" s="2941"/>
      <c r="N25" s="2941"/>
      <c r="O25" s="2941"/>
      <c r="P25" s="2942"/>
      <c r="Q25" s="2943">
        <v>0</v>
      </c>
      <c r="R25" s="2914">
        <f>ROUND(R14*Q25,0)</f>
        <v>0</v>
      </c>
      <c r="S25" s="2836"/>
      <c r="T25" s="2836"/>
      <c r="U25" s="2836"/>
      <c r="V25" s="2944"/>
    </row>
    <row r="26" spans="1:22" s="2945" customFormat="1" ht="13.15" customHeight="1">
      <c r="A26" s="2926">
        <v>2</v>
      </c>
      <c r="B26" s="2927" t="s">
        <v>2404</v>
      </c>
      <c r="C26" s="2928">
        <f>D7</f>
        <v>0</v>
      </c>
      <c r="D26" s="2929">
        <f>D23*D27</f>
        <v>0</v>
      </c>
      <c r="E26" s="2930">
        <f>E23*E27</f>
        <v>0</v>
      </c>
      <c r="F26" s="2931"/>
      <c r="G26" s="2932"/>
      <c r="H26" s="2843"/>
      <c r="I26" s="2844"/>
      <c r="J26" s="3640">
        <v>5</v>
      </c>
      <c r="K26" s="2946" t="s">
        <v>2405</v>
      </c>
      <c r="L26" s="2947"/>
      <c r="M26" s="2948"/>
      <c r="N26" s="2949" t="s">
        <v>2406</v>
      </c>
      <c r="O26" s="2949" t="s">
        <v>2407</v>
      </c>
      <c r="P26" s="2950" t="s">
        <v>2408</v>
      </c>
      <c r="Q26" s="2950" t="s">
        <v>2409</v>
      </c>
      <c r="R26" s="2853" t="s">
        <v>2334</v>
      </c>
      <c r="S26" s="2951"/>
      <c r="T26" s="2951"/>
      <c r="U26" s="2951"/>
      <c r="V26" s="2944"/>
    </row>
    <row r="27" spans="1:22" s="2848" customFormat="1" ht="13.15" customHeight="1">
      <c r="A27" s="2933"/>
      <c r="B27" s="2934" t="s">
        <v>2410</v>
      </c>
      <c r="C27" s="2952" t="e">
        <f>E7</f>
        <v>#DIV/0!</v>
      </c>
      <c r="D27" s="2936"/>
      <c r="E27" s="2937"/>
      <c r="F27" s="2938"/>
      <c r="G27" s="2932"/>
      <c r="H27" s="2953"/>
      <c r="I27" s="2944"/>
      <c r="J27" s="364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2411</v>
      </c>
      <c r="F28" s="2938"/>
      <c r="G28" s="2925"/>
      <c r="H28" s="2953"/>
      <c r="I28" s="2944"/>
      <c r="J28" s="2959">
        <v>6</v>
      </c>
      <c r="K28" s="2960" t="s">
        <v>2412</v>
      </c>
      <c r="L28" s="2961" t="s">
        <v>2413</v>
      </c>
      <c r="M28" s="2962"/>
      <c r="N28" s="2961" t="s">
        <v>2414</v>
      </c>
      <c r="O28" s="2963"/>
      <c r="P28" s="2961" t="s">
        <v>2415</v>
      </c>
      <c r="Q28" s="2964">
        <v>1.4999999999999999E-2</v>
      </c>
      <c r="R28" s="2965"/>
      <c r="S28" s="2917"/>
      <c r="T28" s="2917"/>
      <c r="U28" s="2917"/>
      <c r="V28" s="2944"/>
    </row>
    <row r="29" spans="1:22" s="2945" customFormat="1" ht="13.15" customHeight="1">
      <c r="A29" s="2926">
        <v>3</v>
      </c>
      <c r="B29" s="2927" t="s">
        <v>2416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2417</v>
      </c>
      <c r="K31" s="2834"/>
      <c r="L31" s="2834"/>
      <c r="M31" s="2834"/>
      <c r="N31" s="2834"/>
      <c r="O31" s="2834"/>
      <c r="P31" s="2834"/>
      <c r="Q31" s="2834"/>
      <c r="R31" s="2835"/>
      <c r="S31" s="2917"/>
      <c r="T31" s="2836"/>
      <c r="U31" s="2836"/>
      <c r="V31" s="2944"/>
    </row>
    <row r="32" spans="1:22" s="2945" customFormat="1" ht="13.15" customHeight="1">
      <c r="A32" s="2926">
        <v>4</v>
      </c>
      <c r="B32" s="2927" t="s">
        <v>2418</v>
      </c>
      <c r="C32" s="2928">
        <f>C23-C26-C29</f>
        <v>0</v>
      </c>
      <c r="D32" s="2929">
        <f>D23-D26-D29</f>
        <v>0</v>
      </c>
      <c r="E32" s="2930">
        <f>E23-E26-E29</f>
        <v>0</v>
      </c>
      <c r="F32" s="2931"/>
      <c r="G32" s="2925"/>
      <c r="H32" s="2843"/>
      <c r="I32" s="2844"/>
      <c r="J32" s="3642" t="s">
        <v>2310</v>
      </c>
      <c r="K32" s="3643"/>
      <c r="L32" s="2845" t="s">
        <v>2311</v>
      </c>
      <c r="M32" s="2845" t="s">
        <v>2312</v>
      </c>
      <c r="N32" s="2845" t="s">
        <v>2313</v>
      </c>
      <c r="O32" s="2845" t="s">
        <v>2314</v>
      </c>
      <c r="P32" s="2845" t="s">
        <v>2315</v>
      </c>
      <c r="Q32" s="2846" t="s">
        <v>2316</v>
      </c>
      <c r="R32" s="2968" t="s">
        <v>2317</v>
      </c>
      <c r="S32" s="2917"/>
      <c r="T32" s="2836"/>
      <c r="U32" s="2836"/>
      <c r="V32" s="2944"/>
    </row>
    <row r="33" spans="1:23" s="2848" customFormat="1" ht="13.15" customHeight="1">
      <c r="A33" s="2926"/>
      <c r="B33" s="2927"/>
      <c r="C33" s="2928"/>
      <c r="D33" s="2969"/>
      <c r="E33" s="2970"/>
      <c r="F33" s="2931"/>
      <c r="G33" s="2925"/>
      <c r="H33" s="2953"/>
      <c r="I33" s="2944"/>
      <c r="J33" s="3644" t="s">
        <v>2320</v>
      </c>
      <c r="K33" s="3645"/>
      <c r="L33" s="2851"/>
      <c r="M33" s="2851"/>
      <c r="N33" s="2851"/>
      <c r="O33" s="2851"/>
      <c r="P33" s="2851"/>
      <c r="Q33" s="2852"/>
      <c r="R33" s="2971">
        <f>SUM(L33:Q33)</f>
        <v>0</v>
      </c>
      <c r="S33" s="2917"/>
      <c r="T33" s="2836"/>
      <c r="U33" s="2836"/>
      <c r="V33" s="2844"/>
    </row>
    <row r="34" spans="1:23" s="2848" customFormat="1" ht="13.15" customHeight="1">
      <c r="A34" s="2926">
        <v>5</v>
      </c>
      <c r="B34" s="2927" t="s">
        <v>2419</v>
      </c>
      <c r="C34" s="2972"/>
      <c r="D34" s="2973"/>
      <c r="E34" s="2974"/>
      <c r="F34" s="2931"/>
      <c r="G34" s="2925"/>
      <c r="H34" s="2953"/>
      <c r="I34" s="2944"/>
      <c r="J34" s="3644" t="s">
        <v>2322</v>
      </c>
      <c r="K34" s="364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2420</v>
      </c>
      <c r="C35" s="2976"/>
      <c r="D35" s="2977"/>
      <c r="E35" s="2978"/>
      <c r="F35" s="2931"/>
      <c r="G35" s="2979"/>
      <c r="H35" s="2843"/>
      <c r="I35" s="2944"/>
      <c r="J35" s="2862" t="s">
        <v>2324</v>
      </c>
      <c r="K35" s="2863"/>
      <c r="L35" s="2863"/>
      <c r="M35" s="2864"/>
      <c r="N35" s="2864"/>
      <c r="O35" s="2864"/>
      <c r="P35" s="2864"/>
      <c r="Q35" s="2864"/>
      <c r="R35" s="2980">
        <f>R40+R41+R43</f>
        <v>0</v>
      </c>
      <c r="S35" s="2917"/>
      <c r="T35" s="2836" t="s">
        <v>2325</v>
      </c>
      <c r="U35" s="2836"/>
      <c r="V35" s="2844"/>
    </row>
    <row r="36" spans="1:23" s="2848" customFormat="1" ht="13.15" customHeight="1" thickBot="1">
      <c r="A36" s="2926">
        <v>7</v>
      </c>
      <c r="B36" s="2981" t="s">
        <v>2421</v>
      </c>
      <c r="C36" s="2982"/>
      <c r="D36" s="2983"/>
      <c r="E36" s="2984"/>
      <c r="F36" s="2985">
        <f>C36+D36+E36</f>
        <v>0</v>
      </c>
      <c r="G36" s="2925"/>
      <c r="H36" s="2843"/>
      <c r="I36" s="2844"/>
      <c r="J36" s="3636">
        <v>1</v>
      </c>
      <c r="K36" s="3637" t="s">
        <v>2422</v>
      </c>
      <c r="L36" s="2869"/>
      <c r="M36" s="2870"/>
      <c r="N36" s="2870"/>
      <c r="O36" s="2870"/>
      <c r="P36" s="2870"/>
      <c r="Q36" s="2870"/>
      <c r="R36" s="2853" t="s">
        <v>2334</v>
      </c>
      <c r="S36" s="2917"/>
      <c r="T36" s="2836" t="s">
        <v>2335</v>
      </c>
      <c r="U36" s="2836"/>
      <c r="V36" s="2844"/>
    </row>
    <row r="37" spans="1:23" s="2848" customFormat="1" ht="13.15" customHeight="1">
      <c r="A37" s="2926"/>
      <c r="B37" s="2927"/>
      <c r="C37" s="2927"/>
      <c r="D37" s="2927"/>
      <c r="E37" s="2927"/>
      <c r="F37" s="2931"/>
      <c r="G37" s="2925"/>
      <c r="H37" s="2843"/>
      <c r="I37" s="2844"/>
      <c r="J37" s="3636"/>
      <c r="K37" s="3638"/>
      <c r="L37" s="2878"/>
      <c r="M37" s="2879"/>
      <c r="N37" s="2855"/>
      <c r="O37" s="2880"/>
      <c r="P37" s="2880"/>
      <c r="Q37" s="2881"/>
      <c r="R37" s="2882"/>
      <c r="S37" s="2917"/>
      <c r="T37" s="2836" t="s">
        <v>2338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36"/>
      <c r="K38" s="3638"/>
      <c r="L38" s="2878"/>
      <c r="M38" s="2879"/>
      <c r="N38" s="2855"/>
      <c r="O38" s="2880"/>
      <c r="P38" s="2880"/>
      <c r="Q38" s="2881"/>
      <c r="R38" s="2882"/>
      <c r="S38" s="2917"/>
      <c r="T38" s="2836" t="s">
        <v>2345</v>
      </c>
      <c r="U38" s="2836"/>
      <c r="V38" s="2844"/>
    </row>
    <row r="39" spans="1:23" s="2848" customFormat="1" ht="13.15" customHeight="1">
      <c r="A39" s="2926">
        <v>9</v>
      </c>
      <c r="B39" s="2927" t="s">
        <v>2423</v>
      </c>
      <c r="C39" s="2892" t="e">
        <f>C38</f>
        <v>#DIV/0!</v>
      </c>
      <c r="D39" s="2927">
        <f>D38/(1+D34)^C36</f>
        <v>0</v>
      </c>
      <c r="E39" s="2927">
        <f>E38/(1+E34)^(C36+D36)</f>
        <v>0</v>
      </c>
      <c r="F39" s="2931"/>
      <c r="G39" s="2986"/>
      <c r="H39" s="2843"/>
      <c r="I39" s="2844"/>
      <c r="J39" s="3636"/>
      <c r="K39" s="3638"/>
      <c r="L39" s="2878"/>
      <c r="M39" s="2879"/>
      <c r="N39" s="2855"/>
      <c r="O39" s="2880"/>
      <c r="P39" s="2880"/>
      <c r="Q39" s="2881"/>
      <c r="R39" s="2882"/>
      <c r="S39" s="2917"/>
      <c r="T39" s="2836"/>
      <c r="U39" s="2836"/>
      <c r="V39" s="2844"/>
    </row>
    <row r="40" spans="1:23" s="2848" customFormat="1" ht="13.15" customHeight="1">
      <c r="A40" s="2987">
        <v>10</v>
      </c>
      <c r="B40" s="2927" t="s">
        <v>2424</v>
      </c>
      <c r="C40" s="2988" t="e">
        <f>C39+D39+E39</f>
        <v>#DIV/0!</v>
      </c>
      <c r="D40" s="2989"/>
      <c r="E40" s="2989"/>
      <c r="F40" s="2990"/>
      <c r="G40" s="2925"/>
      <c r="H40" s="2843"/>
      <c r="I40" s="2844"/>
      <c r="J40" s="3636"/>
      <c r="K40" s="3639"/>
      <c r="L40" s="2898" t="s">
        <v>2363</v>
      </c>
      <c r="M40" s="2899"/>
      <c r="N40" s="2899"/>
      <c r="O40" s="2900"/>
      <c r="P40" s="2900"/>
      <c r="Q40" s="2901"/>
      <c r="R40" s="2847">
        <f>SUM(R37:R39)</f>
        <v>0</v>
      </c>
      <c r="S40" s="2917"/>
      <c r="T40" s="2836"/>
      <c r="U40" s="2836"/>
      <c r="V40" s="2844"/>
    </row>
    <row r="41" spans="1:23" s="2848" customFormat="1" ht="13.15" customHeight="1" thickBot="1">
      <c r="A41" s="2991">
        <v>11</v>
      </c>
      <c r="B41" s="2992" t="s">
        <v>2425</v>
      </c>
      <c r="C41" s="2992" t="e">
        <f>ROUND(C40*10000/B4,0)</f>
        <v>#DIV/0!</v>
      </c>
      <c r="D41" s="2993"/>
      <c r="E41" s="2993"/>
      <c r="F41" s="2994"/>
      <c r="G41" s="2995"/>
      <c r="H41" s="2843"/>
      <c r="I41" s="2844"/>
      <c r="J41" s="2939">
        <v>2</v>
      </c>
      <c r="K41" s="2940" t="s">
        <v>2403</v>
      </c>
      <c r="L41" s="2941"/>
      <c r="M41" s="2941"/>
      <c r="N41" s="2941"/>
      <c r="O41" s="2941"/>
      <c r="P41" s="2942"/>
      <c r="Q41" s="2943"/>
      <c r="R41" s="2914">
        <f>ROUND(R40*Q41,0)</f>
        <v>0</v>
      </c>
      <c r="S41" s="2917"/>
      <c r="T41" s="2836"/>
      <c r="U41" s="2951"/>
      <c r="V41" s="2844"/>
    </row>
    <row r="42" spans="1:23" s="2848" customFormat="1" ht="13.15" customHeight="1">
      <c r="G42" s="2995"/>
      <c r="H42" s="2843"/>
      <c r="I42" s="2844"/>
      <c r="J42" s="3640">
        <v>3</v>
      </c>
      <c r="K42" s="2946" t="s">
        <v>2405</v>
      </c>
      <c r="L42" s="2947"/>
      <c r="M42" s="2948"/>
      <c r="N42" s="2949" t="s">
        <v>2406</v>
      </c>
      <c r="O42" s="2949" t="s">
        <v>2407</v>
      </c>
      <c r="P42" s="2950" t="s">
        <v>2408</v>
      </c>
      <c r="Q42" s="2950" t="s">
        <v>2409</v>
      </c>
      <c r="R42" s="2853" t="s">
        <v>2334</v>
      </c>
      <c r="S42" s="2951"/>
      <c r="T42" s="2951"/>
      <c r="U42" s="2836"/>
      <c r="V42" s="2844"/>
    </row>
    <row r="43" spans="1:23" ht="13.15" customHeight="1">
      <c r="A43" s="2848"/>
      <c r="B43" s="2848"/>
      <c r="C43" s="2848"/>
      <c r="D43" s="2848"/>
      <c r="E43" s="2848"/>
      <c r="F43" s="2848"/>
      <c r="I43" s="2831"/>
      <c r="J43" s="364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2412</v>
      </c>
      <c r="L44" s="2999" t="s">
        <v>2413</v>
      </c>
      <c r="M44" s="2962"/>
      <c r="N44" s="2999" t="s">
        <v>2414</v>
      </c>
      <c r="O44" s="2962"/>
      <c r="P44" s="2999" t="s">
        <v>2415</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2"/>
      <c r="G1" s="1488"/>
      <c r="H1" s="1488"/>
      <c r="I1" s="1488"/>
      <c r="J1" s="1488"/>
      <c r="K1" s="1488"/>
      <c r="L1" s="1488"/>
      <c r="M1" s="1488"/>
      <c r="N1" s="1488"/>
      <c r="O1" s="1488"/>
      <c r="P1" s="1488"/>
      <c r="Q1" s="1488"/>
      <c r="R1" s="1488"/>
      <c r="S1" s="1488"/>
    </row>
    <row r="2" spans="1:22" ht="15.75">
      <c r="A2" s="1869" t="s">
        <v>1460</v>
      </c>
      <c r="B2" s="1870">
        <f ca="1">SUMIF(B6:B13,"&lt;&gt;#ref!",B6:B13)</f>
        <v>1255.0923</v>
      </c>
      <c r="C2" s="1871" t="s">
        <v>1649</v>
      </c>
      <c r="D2" s="1872" t="s">
        <v>1650</v>
      </c>
      <c r="E2" s="2603">
        <f>SUM(E6:E13)</f>
        <v>402.39</v>
      </c>
      <c r="F2" s="2702"/>
      <c r="G2" s="1488"/>
      <c r="H2" s="1488"/>
      <c r="I2" s="1488"/>
      <c r="J2" s="1488"/>
      <c r="K2" s="1488"/>
      <c r="L2" s="1488"/>
      <c r="M2" s="1488"/>
      <c r="N2" s="1488"/>
      <c r="O2" s="1488"/>
      <c r="P2" s="1488"/>
      <c r="Q2" s="1488"/>
      <c r="R2" s="1488"/>
      <c r="S2" s="1488"/>
    </row>
    <row r="3" spans="1:22" ht="15.75">
      <c r="A3" s="1869" t="s">
        <v>686</v>
      </c>
      <c r="B3" s="2597">
        <f ca="1">ROUND(B2*10000/E2,0)</f>
        <v>31191</v>
      </c>
      <c r="C3" s="1871" t="s">
        <v>1657</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9" t="s">
        <v>1651</v>
      </c>
      <c r="B5" s="3655" t="s">
        <v>1652</v>
      </c>
      <c r="C5" s="3656"/>
      <c r="D5" s="2703"/>
      <c r="E5" s="1873" t="s">
        <v>1653</v>
      </c>
      <c r="F5" s="1874" t="s">
        <v>1654</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1255.0923</v>
      </c>
      <c r="C6" s="1871" t="s">
        <v>1649</v>
      </c>
      <c r="D6" s="2704"/>
      <c r="E6" s="2602">
        <f>IF(OR(A6=0,F6="否"),0,'数据-取费表'!K6+'数据-取费表'!S6)</f>
        <v>402.39</v>
      </c>
      <c r="F6" s="1875" t="s">
        <v>1655</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1649</v>
      </c>
      <c r="D7" s="2704"/>
      <c r="E7" s="2602">
        <f>IF(OR(A7=0,F7="否"),0,'数据-取费表'!K7+'数据-取费表'!S7)</f>
        <v>0</v>
      </c>
      <c r="F7" s="1875" t="s">
        <v>1655</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1649</v>
      </c>
      <c r="D8" s="2704"/>
      <c r="E8" s="2602">
        <f>IF(OR(A8=0,F8="否"),0,'数据-取费表'!K8+'数据-取费表'!S8)</f>
        <v>0</v>
      </c>
      <c r="F8" s="1875" t="s">
        <v>1655</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1649</v>
      </c>
      <c r="D9" s="2704"/>
      <c r="E9" s="2602">
        <f>IF(OR(A9=0,F9="否"),0,'数据-取费表'!K9+'数据-取费表'!S9)</f>
        <v>0</v>
      </c>
      <c r="F9" s="1875" t="s">
        <v>1655</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1649</v>
      </c>
      <c r="D10" s="2704"/>
      <c r="E10" s="2602">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1649</v>
      </c>
      <c r="D11" s="2704"/>
      <c r="E11" s="2602">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1649</v>
      </c>
      <c r="D12" s="2704"/>
      <c r="E12" s="2602">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1649</v>
      </c>
      <c r="D13" s="2705"/>
      <c r="E13" s="2602">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1"/>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402.39</v>
      </c>
      <c r="E3" s="906"/>
      <c r="F3" s="1887"/>
      <c r="G3" s="906"/>
      <c r="H3" s="906"/>
      <c r="I3" s="906"/>
      <c r="J3" s="906"/>
      <c r="K3" s="1883"/>
      <c r="L3" s="2708"/>
      <c r="M3" s="2709"/>
      <c r="N3" s="2709"/>
      <c r="O3" s="2709"/>
      <c r="P3" s="1884"/>
      <c r="Q3" s="1885"/>
      <c r="R3" s="1885"/>
      <c r="S3" s="1885"/>
      <c r="T3" s="1885"/>
      <c r="U3" s="1885"/>
      <c r="V3" s="1885"/>
      <c r="W3" s="1885"/>
      <c r="X3" s="1885"/>
      <c r="Y3" s="1885"/>
      <c r="Z3" s="1885"/>
      <c r="AA3" s="1885"/>
      <c r="AB3" s="1885"/>
      <c r="AC3" s="1060"/>
    </row>
    <row r="4" spans="1:29" ht="15">
      <c r="A4" s="355" t="s">
        <v>1664</v>
      </c>
      <c r="B4" s="356"/>
      <c r="C4" s="3675" t="s">
        <v>1665</v>
      </c>
      <c r="D4" s="3676"/>
      <c r="E4" s="3677" t="s">
        <v>1666</v>
      </c>
      <c r="F4" s="3678"/>
      <c r="G4" s="3675" t="s">
        <v>1667</v>
      </c>
      <c r="H4" s="3676"/>
      <c r="I4" s="3675" t="s">
        <v>1668</v>
      </c>
      <c r="J4" s="3676"/>
      <c r="K4" s="1888" t="s">
        <v>1669</v>
      </c>
      <c r="L4" s="2710"/>
      <c r="M4" s="2711"/>
      <c r="N4" s="2711"/>
      <c r="O4" s="2711"/>
      <c r="P4" s="3679" t="s">
        <v>1670</v>
      </c>
      <c r="Q4" s="3680"/>
      <c r="R4" s="3685" t="s">
        <v>1666</v>
      </c>
      <c r="S4" s="3686"/>
      <c r="T4" s="3685" t="s">
        <v>1667</v>
      </c>
      <c r="U4" s="3686"/>
      <c r="V4" s="3691" t="s">
        <v>1668</v>
      </c>
      <c r="W4" s="3691"/>
      <c r="X4" s="1354"/>
      <c r="Y4" s="3685" t="s">
        <v>1670</v>
      </c>
      <c r="Z4" s="3686"/>
      <c r="AA4" s="3672" t="s">
        <v>1666</v>
      </c>
      <c r="AB4" s="3672" t="s">
        <v>1667</v>
      </c>
      <c r="AC4" s="3672" t="s">
        <v>1668</v>
      </c>
    </row>
    <row r="5" spans="1:29" ht="15">
      <c r="A5" s="358"/>
      <c r="B5" s="359"/>
      <c r="C5" s="3694" t="s">
        <v>1671</v>
      </c>
      <c r="D5" s="3695"/>
      <c r="E5" s="3701" t="s">
        <v>1672</v>
      </c>
      <c r="F5" s="3702"/>
      <c r="G5" s="3694" t="s">
        <v>1673</v>
      </c>
      <c r="H5" s="3695"/>
      <c r="I5" s="3694" t="s">
        <v>1674</v>
      </c>
      <c r="J5" s="3695"/>
      <c r="K5" s="1889"/>
      <c r="L5" s="2710"/>
      <c r="M5" s="2711"/>
      <c r="N5" s="2711"/>
      <c r="O5" s="2711"/>
      <c r="P5" s="3681"/>
      <c r="Q5" s="3682"/>
      <c r="R5" s="3687"/>
      <c r="S5" s="3688"/>
      <c r="T5" s="3687"/>
      <c r="U5" s="3688"/>
      <c r="V5" s="3691"/>
      <c r="W5" s="3691"/>
      <c r="X5" s="1354"/>
      <c r="Y5" s="3687"/>
      <c r="Z5" s="3688"/>
      <c r="AA5" s="3673"/>
      <c r="AB5" s="3673"/>
      <c r="AC5" s="3673"/>
    </row>
    <row r="6" spans="1:29" ht="15.75" thickBot="1">
      <c r="A6" s="360"/>
      <c r="B6" s="361"/>
      <c r="C6" s="3692" t="s">
        <v>1675</v>
      </c>
      <c r="D6" s="3693"/>
      <c r="E6" s="3699" t="s">
        <v>1675</v>
      </c>
      <c r="F6" s="3700"/>
      <c r="G6" s="3692" t="s">
        <v>1675</v>
      </c>
      <c r="H6" s="3693"/>
      <c r="I6" s="3692" t="s">
        <v>1675</v>
      </c>
      <c r="J6" s="3693"/>
      <c r="K6" s="1889" t="s">
        <v>1676</v>
      </c>
      <c r="L6" s="2710"/>
      <c r="M6" s="2711"/>
      <c r="N6" s="2711"/>
      <c r="O6" s="2711"/>
      <c r="P6" s="3683"/>
      <c r="Q6" s="3684"/>
      <c r="R6" s="3687"/>
      <c r="S6" s="3688"/>
      <c r="T6" s="3689"/>
      <c r="U6" s="3690"/>
      <c r="V6" s="3691"/>
      <c r="W6" s="3691"/>
      <c r="X6" s="1354"/>
      <c r="Y6" s="3689"/>
      <c r="Z6" s="3690"/>
      <c r="AA6" s="3674"/>
      <c r="AB6" s="3674"/>
      <c r="AC6" s="3674"/>
    </row>
    <row r="7" spans="1:29" s="108" customFormat="1" ht="15.75" thickBot="1">
      <c r="A7" s="362" t="s">
        <v>1677</v>
      </c>
      <c r="B7" s="363"/>
      <c r="C7" s="364">
        <f>'数据-取费表'!B2</f>
        <v>45057</v>
      </c>
      <c r="D7" s="365">
        <v>100</v>
      </c>
      <c r="E7" s="366"/>
      <c r="F7" s="367">
        <f>SUMIF(58:58,YEAR(E7)&amp;"-"&amp;MONTH(E7),59:59)</f>
        <v>0</v>
      </c>
      <c r="G7" s="366"/>
      <c r="H7" s="365">
        <f>SUMIF(58:58,YEAR(G7)&amp;"-"&amp;MONTH(G7),59:59)</f>
        <v>0</v>
      </c>
      <c r="I7" s="366"/>
      <c r="J7" s="365">
        <f>SUMIF(58:58,YEAR(I7)&amp;"-"&amp;MONTH(I7),59:59)</f>
        <v>0</v>
      </c>
      <c r="K7" s="1890"/>
      <c r="L7" s="2712"/>
      <c r="M7" s="2713"/>
      <c r="N7" s="2713"/>
      <c r="O7" s="2713"/>
      <c r="P7" s="3696" t="s">
        <v>1678</v>
      </c>
      <c r="Q7" s="3698"/>
      <c r="R7" s="700" t="s">
        <v>20</v>
      </c>
      <c r="S7" s="701">
        <f t="shared" ref="S7:S15" si="0">F7</f>
        <v>0</v>
      </c>
      <c r="T7" s="700" t="s">
        <v>20</v>
      </c>
      <c r="U7" s="701">
        <f t="shared" ref="U7:U15" si="1">H7</f>
        <v>0</v>
      </c>
      <c r="V7" s="700" t="s">
        <v>20</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2"/>
      <c r="M8" s="2713"/>
      <c r="N8" s="2713"/>
      <c r="O8" s="2713"/>
      <c r="P8" s="3696" t="s">
        <v>1681</v>
      </c>
      <c r="Q8" s="3697"/>
      <c r="R8" s="700" t="s">
        <v>20</v>
      </c>
      <c r="S8" s="701">
        <f t="shared" si="0"/>
        <v>100</v>
      </c>
      <c r="T8" s="700" t="s">
        <v>20</v>
      </c>
      <c r="U8" s="701">
        <f t="shared" si="1"/>
        <v>100</v>
      </c>
      <c r="V8" s="700" t="s">
        <v>20</v>
      </c>
      <c r="W8" s="701">
        <f t="shared" si="2"/>
        <v>100</v>
      </c>
      <c r="X8" s="702"/>
      <c r="Y8" s="3696" t="s">
        <v>1681</v>
      </c>
      <c r="Z8" s="3697"/>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2"/>
      <c r="M9" s="2713"/>
      <c r="N9" s="2713"/>
      <c r="O9" s="2713"/>
      <c r="P9" s="3671"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671"/>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1"/>
      <c r="Q11" s="1342" t="str">
        <f t="shared" si="6"/>
        <v>容积率</v>
      </c>
      <c r="R11" s="700" t="s">
        <v>18</v>
      </c>
      <c r="S11" s="701" t="e">
        <f t="shared" si="0"/>
        <v>#N/A</v>
      </c>
      <c r="T11" s="700" t="s">
        <v>18</v>
      </c>
      <c r="U11" s="701" t="e">
        <f t="shared" si="1"/>
        <v>#N/A</v>
      </c>
      <c r="V11" s="700" t="s">
        <v>18</v>
      </c>
      <c r="W11" s="701" t="e">
        <f t="shared" si="2"/>
        <v>#N/A</v>
      </c>
      <c r="X11" s="702"/>
      <c r="Y11" s="353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671"/>
      <c r="Q12" s="1342">
        <f t="shared" si="6"/>
        <v>111</v>
      </c>
      <c r="R12" s="700" t="s">
        <v>18</v>
      </c>
      <c r="S12" s="701">
        <f t="shared" si="0"/>
        <v>100</v>
      </c>
      <c r="T12" s="700" t="s">
        <v>18</v>
      </c>
      <c r="U12" s="701">
        <f t="shared" si="1"/>
        <v>100</v>
      </c>
      <c r="V12" s="700" t="s">
        <v>18</v>
      </c>
      <c r="W12" s="701">
        <f t="shared" si="2"/>
        <v>100</v>
      </c>
      <c r="X12" s="702"/>
      <c r="Y12" s="353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671"/>
      <c r="Q13" s="1342">
        <f t="shared" si="6"/>
        <v>111</v>
      </c>
      <c r="R13" s="700" t="s">
        <v>18</v>
      </c>
      <c r="S13" s="701">
        <f t="shared" si="0"/>
        <v>100</v>
      </c>
      <c r="T13" s="700" t="s">
        <v>18</v>
      </c>
      <c r="U13" s="701">
        <f t="shared" si="1"/>
        <v>100</v>
      </c>
      <c r="V13" s="700" t="s">
        <v>18</v>
      </c>
      <c r="W13" s="701">
        <f t="shared" si="2"/>
        <v>100</v>
      </c>
      <c r="X13" s="702"/>
      <c r="Y13" s="353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671"/>
      <c r="Q14" s="1342">
        <f t="shared" si="6"/>
        <v>111</v>
      </c>
      <c r="R14" s="700" t="s">
        <v>18</v>
      </c>
      <c r="S14" s="701">
        <f t="shared" si="0"/>
        <v>100</v>
      </c>
      <c r="T14" s="700" t="s">
        <v>18</v>
      </c>
      <c r="U14" s="701">
        <f t="shared" si="1"/>
        <v>100</v>
      </c>
      <c r="V14" s="700" t="s">
        <v>18</v>
      </c>
      <c r="W14" s="701">
        <f t="shared" si="2"/>
        <v>100</v>
      </c>
      <c r="X14" s="702"/>
      <c r="Y14" s="3535"/>
      <c r="Z14" s="52">
        <f t="shared" si="7"/>
        <v>111</v>
      </c>
      <c r="AA14" s="703">
        <f t="shared" si="3"/>
        <v>1</v>
      </c>
      <c r="AB14" s="703">
        <f t="shared" si="4"/>
        <v>1</v>
      </c>
      <c r="AC14" s="703">
        <f t="shared" si="5"/>
        <v>1</v>
      </c>
    </row>
    <row r="15" spans="1:29" ht="85.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69" t="s">
        <v>1689</v>
      </c>
      <c r="Q15" s="1351" t="str">
        <f t="shared" si="6"/>
        <v>居住社区成熟度</v>
      </c>
      <c r="R15" s="704" t="s">
        <v>18</v>
      </c>
      <c r="S15" s="705">
        <f t="shared" si="0"/>
        <v>100</v>
      </c>
      <c r="T15" s="704" t="s">
        <v>18</v>
      </c>
      <c r="U15" s="705">
        <f t="shared" si="1"/>
        <v>100</v>
      </c>
      <c r="V15" s="704" t="s">
        <v>18</v>
      </c>
      <c r="W15" s="705">
        <f t="shared" si="2"/>
        <v>100</v>
      </c>
      <c r="X15" s="1354"/>
      <c r="Y15" s="3662"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7"/>
      <c r="M16" s="2711"/>
      <c r="N16" s="2711"/>
      <c r="O16" s="2711"/>
      <c r="P16" s="3670"/>
      <c r="Q16" s="1351"/>
      <c r="R16" s="704"/>
      <c r="S16" s="705"/>
      <c r="T16" s="704"/>
      <c r="U16" s="705"/>
      <c r="V16" s="704"/>
      <c r="W16" s="705"/>
      <c r="X16" s="1354"/>
      <c r="Y16" s="3663"/>
      <c r="Z16" s="1355"/>
      <c r="AA16" s="1352">
        <v>1</v>
      </c>
      <c r="AB16" s="1352">
        <v>1</v>
      </c>
      <c r="AC16" s="1352">
        <v>1</v>
      </c>
    </row>
    <row r="17" spans="1:29" ht="71.25">
      <c r="A17" s="379"/>
      <c r="B17" s="402" t="s">
        <v>1257</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70"/>
      <c r="Q17" s="1351" t="str">
        <f>B17</f>
        <v>交通便捷度</v>
      </c>
      <c r="R17" s="704" t="s">
        <v>18</v>
      </c>
      <c r="S17" s="705">
        <f>F17</f>
        <v>100</v>
      </c>
      <c r="T17" s="704" t="s">
        <v>18</v>
      </c>
      <c r="U17" s="705">
        <f>H17</f>
        <v>100</v>
      </c>
      <c r="V17" s="704" t="s">
        <v>18</v>
      </c>
      <c r="W17" s="705">
        <f>J17</f>
        <v>100</v>
      </c>
      <c r="X17" s="1354"/>
      <c r="Y17" s="366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7"/>
      <c r="M18" s="2711"/>
      <c r="N18" s="2711"/>
      <c r="O18" s="2711"/>
      <c r="P18" s="3670"/>
      <c r="Q18" s="1351"/>
      <c r="R18" s="704"/>
      <c r="S18" s="705"/>
      <c r="T18" s="704"/>
      <c r="U18" s="705"/>
      <c r="V18" s="704"/>
      <c r="W18" s="705"/>
      <c r="X18" s="1354"/>
      <c r="Y18" s="3663"/>
      <c r="Z18" s="1355"/>
      <c r="AA18" s="1352">
        <v>1</v>
      </c>
      <c r="AB18" s="1352">
        <v>1</v>
      </c>
      <c r="AC18" s="1352">
        <v>1</v>
      </c>
    </row>
    <row r="19" spans="1:29" ht="42.7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70"/>
      <c r="Q19" s="1351" t="str">
        <f>B19</f>
        <v>公共配套设施</v>
      </c>
      <c r="R19" s="704" t="s">
        <v>18</v>
      </c>
      <c r="S19" s="705">
        <f>F19</f>
        <v>100</v>
      </c>
      <c r="T19" s="704" t="s">
        <v>18</v>
      </c>
      <c r="U19" s="705">
        <f>H19</f>
        <v>100</v>
      </c>
      <c r="V19" s="704" t="s">
        <v>18</v>
      </c>
      <c r="W19" s="705">
        <f>J19</f>
        <v>100</v>
      </c>
      <c r="X19" s="1354"/>
      <c r="Y19" s="366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7"/>
      <c r="M20" s="2711"/>
      <c r="N20" s="2711"/>
      <c r="O20" s="2711"/>
      <c r="P20" s="3670"/>
      <c r="Q20" s="1351"/>
      <c r="R20" s="704"/>
      <c r="S20" s="705"/>
      <c r="T20" s="704"/>
      <c r="U20" s="705"/>
      <c r="V20" s="704"/>
      <c r="W20" s="705"/>
      <c r="X20" s="1354"/>
      <c r="Y20" s="3663"/>
      <c r="Z20" s="1355"/>
      <c r="AA20" s="1352">
        <v>1</v>
      </c>
      <c r="AB20" s="1352">
        <v>1</v>
      </c>
      <c r="AC20" s="1352">
        <v>1</v>
      </c>
    </row>
    <row r="21" spans="1:29" ht="28.5">
      <c r="A21" s="379"/>
      <c r="B21" s="1130"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70"/>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7"/>
      <c r="M22" s="2711"/>
      <c r="N22" s="2711"/>
      <c r="O22" s="2711"/>
      <c r="P22" s="3670"/>
      <c r="Q22" s="1351"/>
      <c r="R22" s="704"/>
      <c r="S22" s="705"/>
      <c r="T22" s="704"/>
      <c r="U22" s="705"/>
      <c r="V22" s="704"/>
      <c r="W22" s="705"/>
      <c r="X22" s="1354"/>
      <c r="Y22" s="3663"/>
      <c r="Z22" s="1355"/>
      <c r="AA22" s="1352">
        <v>1</v>
      </c>
      <c r="AB22" s="1352">
        <v>1</v>
      </c>
      <c r="AC22" s="1352">
        <v>1</v>
      </c>
    </row>
    <row r="23" spans="1:29" ht="42.75">
      <c r="A23" s="379"/>
      <c r="B23" s="402" t="s">
        <v>1259</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70"/>
      <c r="Q23" s="1351" t="str">
        <f>B23</f>
        <v>自然及人文环境</v>
      </c>
      <c r="R23" s="704" t="s">
        <v>18</v>
      </c>
      <c r="S23" s="705">
        <f>F23</f>
        <v>100</v>
      </c>
      <c r="T23" s="704" t="s">
        <v>18</v>
      </c>
      <c r="U23" s="705">
        <f>H23</f>
        <v>100</v>
      </c>
      <c r="V23" s="704" t="s">
        <v>18</v>
      </c>
      <c r="W23" s="705">
        <f>J23</f>
        <v>100</v>
      </c>
      <c r="X23" s="1354"/>
      <c r="Y23" s="366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7"/>
      <c r="M24" s="2711"/>
      <c r="N24" s="2711"/>
      <c r="O24" s="2711"/>
      <c r="P24" s="3670"/>
      <c r="Q24" s="1351"/>
      <c r="R24" s="704"/>
      <c r="S24" s="705"/>
      <c r="T24" s="704"/>
      <c r="U24" s="705"/>
      <c r="V24" s="704"/>
      <c r="W24" s="705"/>
      <c r="X24" s="1354"/>
      <c r="Y24" s="3663"/>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67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3"/>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670"/>
      <c r="Q26" s="1351" t="str">
        <f t="shared" si="11"/>
        <v>朝向</v>
      </c>
      <c r="R26" s="704" t="s">
        <v>18</v>
      </c>
      <c r="S26" s="705">
        <f t="shared" si="12"/>
        <v>100</v>
      </c>
      <c r="T26" s="704" t="s">
        <v>18</v>
      </c>
      <c r="U26" s="705">
        <f t="shared" si="13"/>
        <v>100</v>
      </c>
      <c r="V26" s="704" t="s">
        <v>18</v>
      </c>
      <c r="W26" s="705">
        <f t="shared" si="14"/>
        <v>100</v>
      </c>
      <c r="X26" s="1354"/>
      <c r="Y26" s="366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670"/>
      <c r="Q27" s="1342">
        <f t="shared" si="11"/>
        <v>111</v>
      </c>
      <c r="R27" s="700" t="s">
        <v>18</v>
      </c>
      <c r="S27" s="701">
        <f t="shared" si="12"/>
        <v>100</v>
      </c>
      <c r="T27" s="700" t="s">
        <v>18</v>
      </c>
      <c r="U27" s="701">
        <f t="shared" si="13"/>
        <v>100</v>
      </c>
      <c r="V27" s="700" t="s">
        <v>18</v>
      </c>
      <c r="W27" s="701">
        <f t="shared" si="14"/>
        <v>100</v>
      </c>
      <c r="X27" s="702"/>
      <c r="Y27" s="366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670"/>
      <c r="Q28" s="1351">
        <f t="shared" si="11"/>
        <v>111</v>
      </c>
      <c r="R28" s="704" t="s">
        <v>18</v>
      </c>
      <c r="S28" s="705">
        <f t="shared" si="12"/>
        <v>100</v>
      </c>
      <c r="T28" s="704" t="s">
        <v>18</v>
      </c>
      <c r="U28" s="705">
        <f t="shared" si="13"/>
        <v>100</v>
      </c>
      <c r="V28" s="704" t="s">
        <v>18</v>
      </c>
      <c r="W28" s="705">
        <f t="shared" si="14"/>
        <v>100</v>
      </c>
      <c r="X28" s="1354"/>
      <c r="Y28" s="366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670"/>
      <c r="Q29" s="1351">
        <f t="shared" si="11"/>
        <v>111</v>
      </c>
      <c r="R29" s="704" t="s">
        <v>18</v>
      </c>
      <c r="S29" s="705">
        <f t="shared" si="12"/>
        <v>100</v>
      </c>
      <c r="T29" s="704" t="s">
        <v>18</v>
      </c>
      <c r="U29" s="705">
        <f t="shared" si="13"/>
        <v>100</v>
      </c>
      <c r="V29" s="704" t="s">
        <v>18</v>
      </c>
      <c r="W29" s="705">
        <f t="shared" si="14"/>
        <v>100</v>
      </c>
      <c r="X29" s="1354"/>
      <c r="Y29" s="366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670"/>
      <c r="Q30" s="1351">
        <f t="shared" si="11"/>
        <v>111</v>
      </c>
      <c r="R30" s="704" t="s">
        <v>18</v>
      </c>
      <c r="S30" s="705">
        <f t="shared" si="12"/>
        <v>100</v>
      </c>
      <c r="T30" s="704" t="s">
        <v>18</v>
      </c>
      <c r="U30" s="705">
        <f t="shared" si="13"/>
        <v>100</v>
      </c>
      <c r="V30" s="704" t="s">
        <v>18</v>
      </c>
      <c r="W30" s="705">
        <f t="shared" si="14"/>
        <v>100</v>
      </c>
      <c r="X30" s="1354"/>
      <c r="Y30" s="366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670"/>
      <c r="Q31" s="1351">
        <f t="shared" si="11"/>
        <v>111</v>
      </c>
      <c r="R31" s="704" t="s">
        <v>18</v>
      </c>
      <c r="S31" s="705">
        <f t="shared" si="12"/>
        <v>100</v>
      </c>
      <c r="T31" s="704" t="s">
        <v>18</v>
      </c>
      <c r="U31" s="705">
        <f t="shared" si="13"/>
        <v>100</v>
      </c>
      <c r="V31" s="704" t="s">
        <v>18</v>
      </c>
      <c r="W31" s="705">
        <f t="shared" si="14"/>
        <v>100</v>
      </c>
      <c r="X31" s="1354"/>
      <c r="Y31" s="3663"/>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7"/>
      <c r="M32" s="2711"/>
      <c r="N32" s="2711"/>
      <c r="O32" s="2711"/>
      <c r="P32" s="3664" t="s">
        <v>1694</v>
      </c>
      <c r="Q32" s="1351" t="str">
        <f t="shared" si="11"/>
        <v>建筑类型</v>
      </c>
      <c r="R32" s="704" t="s">
        <v>18</v>
      </c>
      <c r="S32" s="705">
        <f t="shared" si="12"/>
        <v>100</v>
      </c>
      <c r="T32" s="704" t="s">
        <v>18</v>
      </c>
      <c r="U32" s="705">
        <f t="shared" si="13"/>
        <v>100</v>
      </c>
      <c r="V32" s="704" t="s">
        <v>18</v>
      </c>
      <c r="W32" s="705">
        <f t="shared" si="14"/>
        <v>100</v>
      </c>
      <c r="X32" s="1354"/>
      <c r="Y32" s="3667"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6"/>
      <c r="M33" s="2718"/>
      <c r="N33" s="2718"/>
      <c r="O33" s="2718"/>
      <c r="P33" s="3665"/>
      <c r="Q33" s="706" t="str">
        <f t="shared" si="11"/>
        <v>项目建筑规模</v>
      </c>
      <c r="R33" s="707" t="s">
        <v>18</v>
      </c>
      <c r="S33" s="708" t="e">
        <f t="shared" si="12"/>
        <v>#N/A</v>
      </c>
      <c r="T33" s="707" t="s">
        <v>18</v>
      </c>
      <c r="U33" s="708" t="e">
        <f t="shared" si="13"/>
        <v>#N/A</v>
      </c>
      <c r="V33" s="707" t="s">
        <v>18</v>
      </c>
      <c r="W33" s="708" t="e">
        <f t="shared" si="14"/>
        <v>#N/A</v>
      </c>
      <c r="X33" s="709"/>
      <c r="Y33" s="3667"/>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7"/>
      <c r="M34" s="2711"/>
      <c r="N34" s="2711"/>
      <c r="O34" s="2711"/>
      <c r="P34" s="3665"/>
      <c r="Q34" s="1351" t="str">
        <f t="shared" si="11"/>
        <v>建筑结构</v>
      </c>
      <c r="R34" s="704" t="s">
        <v>18</v>
      </c>
      <c r="S34" s="705">
        <f t="shared" si="12"/>
        <v>100</v>
      </c>
      <c r="T34" s="704" t="s">
        <v>18</v>
      </c>
      <c r="U34" s="705">
        <f t="shared" si="13"/>
        <v>100</v>
      </c>
      <c r="V34" s="704" t="s">
        <v>18</v>
      </c>
      <c r="W34" s="705">
        <f t="shared" si="14"/>
        <v>100</v>
      </c>
      <c r="X34" s="1354"/>
      <c r="Y34" s="3667"/>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665"/>
      <c r="Q35" s="1351" t="str">
        <f t="shared" si="11"/>
        <v>建筑品质</v>
      </c>
      <c r="R35" s="704" t="s">
        <v>18</v>
      </c>
      <c r="S35" s="705">
        <f t="shared" si="12"/>
        <v>100</v>
      </c>
      <c r="T35" s="704" t="s">
        <v>18</v>
      </c>
      <c r="U35" s="705">
        <f t="shared" si="13"/>
        <v>100</v>
      </c>
      <c r="V35" s="704" t="s">
        <v>18</v>
      </c>
      <c r="W35" s="705">
        <f t="shared" si="14"/>
        <v>100</v>
      </c>
      <c r="X35" s="1354"/>
      <c r="Y35" s="3667"/>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665"/>
      <c r="Q36" s="1351" t="str">
        <f t="shared" si="11"/>
        <v>公共部分装修</v>
      </c>
      <c r="R36" s="704" t="s">
        <v>18</v>
      </c>
      <c r="S36" s="705">
        <f t="shared" si="12"/>
        <v>100</v>
      </c>
      <c r="T36" s="704" t="s">
        <v>18</v>
      </c>
      <c r="U36" s="705">
        <f t="shared" si="13"/>
        <v>100</v>
      </c>
      <c r="V36" s="704" t="s">
        <v>18</v>
      </c>
      <c r="W36" s="705">
        <f t="shared" si="14"/>
        <v>100</v>
      </c>
      <c r="X36" s="1354"/>
      <c r="Y36" s="3667"/>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65"/>
      <c r="Q37" s="1342" t="str">
        <f t="shared" si="11"/>
        <v>成新度</v>
      </c>
      <c r="R37" s="700" t="s">
        <v>18</v>
      </c>
      <c r="S37" s="701" t="e">
        <f t="shared" si="12"/>
        <v>#N/A</v>
      </c>
      <c r="T37" s="700" t="s">
        <v>18</v>
      </c>
      <c r="U37" s="701" t="e">
        <f t="shared" si="13"/>
        <v>#N/A</v>
      </c>
      <c r="V37" s="700" t="s">
        <v>18</v>
      </c>
      <c r="W37" s="701" t="e">
        <f t="shared" si="14"/>
        <v>#N/A</v>
      </c>
      <c r="X37" s="702"/>
      <c r="Y37" s="3667"/>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665" t="s">
        <v>1694</v>
      </c>
      <c r="Q38" s="1351" t="str">
        <f t="shared" si="11"/>
        <v>物业管理</v>
      </c>
      <c r="R38" s="704" t="s">
        <v>18</v>
      </c>
      <c r="S38" s="705">
        <f t="shared" si="12"/>
        <v>100</v>
      </c>
      <c r="T38" s="704" t="s">
        <v>18</v>
      </c>
      <c r="U38" s="705">
        <f t="shared" si="13"/>
        <v>100</v>
      </c>
      <c r="V38" s="704" t="s">
        <v>18</v>
      </c>
      <c r="W38" s="705">
        <f t="shared" si="14"/>
        <v>100</v>
      </c>
      <c r="X38" s="1354"/>
      <c r="Y38" s="3667"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665"/>
      <c r="Q39" s="1351" t="str">
        <f t="shared" si="11"/>
        <v>市政基础设施</v>
      </c>
      <c r="R39" s="704" t="s">
        <v>18</v>
      </c>
      <c r="S39" s="705">
        <f t="shared" si="12"/>
        <v>100</v>
      </c>
      <c r="T39" s="704" t="s">
        <v>18</v>
      </c>
      <c r="U39" s="705">
        <f t="shared" si="13"/>
        <v>100</v>
      </c>
      <c r="V39" s="704" t="s">
        <v>18</v>
      </c>
      <c r="W39" s="705">
        <f t="shared" si="14"/>
        <v>100</v>
      </c>
      <c r="X39" s="1354"/>
      <c r="Y39" s="3667"/>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665"/>
      <c r="Q40" s="1351" t="str">
        <f t="shared" si="11"/>
        <v>房型</v>
      </c>
      <c r="R40" s="704" t="s">
        <v>18</v>
      </c>
      <c r="S40" s="705">
        <f t="shared" si="12"/>
        <v>100</v>
      </c>
      <c r="T40" s="704" t="s">
        <v>18</v>
      </c>
      <c r="U40" s="705">
        <f t="shared" si="13"/>
        <v>100</v>
      </c>
      <c r="V40" s="704" t="s">
        <v>18</v>
      </c>
      <c r="W40" s="705">
        <f t="shared" si="14"/>
        <v>100</v>
      </c>
      <c r="X40" s="1354"/>
      <c r="Y40" s="3667"/>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665"/>
      <c r="Q41" s="706" t="str">
        <f t="shared" si="11"/>
        <v>单套/主力户型建筑面积</v>
      </c>
      <c r="R41" s="707" t="s">
        <v>18</v>
      </c>
      <c r="S41" s="708">
        <f t="shared" si="12"/>
        <v>100</v>
      </c>
      <c r="T41" s="707" t="s">
        <v>18</v>
      </c>
      <c r="U41" s="708">
        <f t="shared" si="13"/>
        <v>100</v>
      </c>
      <c r="V41" s="707" t="s">
        <v>18</v>
      </c>
      <c r="W41" s="708">
        <f t="shared" si="14"/>
        <v>100</v>
      </c>
      <c r="X41" s="709"/>
      <c r="Y41" s="3667"/>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7"/>
      <c r="M42" s="2711"/>
      <c r="N42" s="2711"/>
      <c r="O42" s="2711"/>
      <c r="P42" s="3665"/>
      <c r="Q42" s="1351" t="str">
        <f t="shared" si="11"/>
        <v>内部装修</v>
      </c>
      <c r="R42" s="704" t="s">
        <v>18</v>
      </c>
      <c r="S42" s="705">
        <f t="shared" si="12"/>
        <v>100</v>
      </c>
      <c r="T42" s="704" t="s">
        <v>18</v>
      </c>
      <c r="U42" s="705">
        <f t="shared" si="13"/>
        <v>100</v>
      </c>
      <c r="V42" s="704" t="s">
        <v>18</v>
      </c>
      <c r="W42" s="705">
        <f t="shared" si="14"/>
        <v>100</v>
      </c>
      <c r="X42" s="1354"/>
      <c r="Y42" s="3667"/>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7"/>
      <c r="M43" s="2711"/>
      <c r="N43" s="2711"/>
      <c r="O43" s="2711"/>
      <c r="P43" s="3665"/>
      <c r="Q43" s="1351" t="str">
        <f t="shared" si="11"/>
        <v>内部装修维护情况</v>
      </c>
      <c r="R43" s="704" t="s">
        <v>18</v>
      </c>
      <c r="S43" s="705">
        <f t="shared" si="12"/>
        <v>100</v>
      </c>
      <c r="T43" s="704" t="s">
        <v>18</v>
      </c>
      <c r="U43" s="705">
        <f t="shared" si="13"/>
        <v>100</v>
      </c>
      <c r="V43" s="704" t="s">
        <v>18</v>
      </c>
      <c r="W43" s="705">
        <f t="shared" si="14"/>
        <v>100</v>
      </c>
      <c r="X43" s="1354"/>
      <c r="Y43" s="366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665"/>
      <c r="Q44" s="1342">
        <f t="shared" si="11"/>
        <v>111</v>
      </c>
      <c r="R44" s="700" t="s">
        <v>18</v>
      </c>
      <c r="S44" s="701">
        <f t="shared" si="12"/>
        <v>100</v>
      </c>
      <c r="T44" s="700" t="s">
        <v>18</v>
      </c>
      <c r="U44" s="701">
        <f t="shared" si="13"/>
        <v>100</v>
      </c>
      <c r="V44" s="700" t="s">
        <v>18</v>
      </c>
      <c r="W44" s="701">
        <f t="shared" si="14"/>
        <v>100</v>
      </c>
      <c r="X44" s="702"/>
      <c r="Y44" s="366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665"/>
      <c r="Q45" s="1351">
        <f t="shared" si="11"/>
        <v>111</v>
      </c>
      <c r="R45" s="704" t="s">
        <v>18</v>
      </c>
      <c r="S45" s="705">
        <f t="shared" si="12"/>
        <v>100</v>
      </c>
      <c r="T45" s="704" t="s">
        <v>18</v>
      </c>
      <c r="U45" s="705">
        <f t="shared" si="13"/>
        <v>100</v>
      </c>
      <c r="V45" s="704" t="s">
        <v>18</v>
      </c>
      <c r="W45" s="705">
        <f t="shared" si="14"/>
        <v>100</v>
      </c>
      <c r="X45" s="1354"/>
      <c r="Y45" s="366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666"/>
      <c r="Q46" s="1351">
        <f t="shared" si="11"/>
        <v>111</v>
      </c>
      <c r="R46" s="704" t="s">
        <v>17</v>
      </c>
      <c r="S46" s="705">
        <f t="shared" si="12"/>
        <v>100</v>
      </c>
      <c r="T46" s="704" t="s">
        <v>17</v>
      </c>
      <c r="U46" s="705">
        <f t="shared" si="13"/>
        <v>100</v>
      </c>
      <c r="V46" s="704" t="s">
        <v>17</v>
      </c>
      <c r="W46" s="705">
        <f t="shared" si="14"/>
        <v>100</v>
      </c>
      <c r="X46" s="1354"/>
      <c r="Y46" s="3668"/>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19"/>
      <c r="M47" s="2720"/>
      <c r="N47" s="2711"/>
      <c r="O47" s="2720"/>
      <c r="P47" s="3660" t="str">
        <f>A47</f>
        <v>成交单价（元/平方米）</v>
      </c>
      <c r="Q47" s="3660"/>
      <c r="R47" s="3661">
        <f>E47</f>
        <v>0</v>
      </c>
      <c r="S47" s="3661"/>
      <c r="T47" s="3661">
        <f>G47</f>
        <v>0</v>
      </c>
      <c r="U47" s="3661"/>
      <c r="V47" s="3661">
        <f>I47</f>
        <v>0</v>
      </c>
      <c r="W47" s="3661"/>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19"/>
      <c r="M48" s="2720"/>
      <c r="N48" s="2720"/>
      <c r="O48" s="2720"/>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19"/>
      <c r="M49" s="2720"/>
      <c r="N49" s="2720"/>
      <c r="O49" s="2720"/>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6"/>
    </row>
    <row r="55" spans="1:29" s="451" customFormat="1">
      <c r="A55" s="2723"/>
      <c r="B55" s="2726"/>
      <c r="C55" s="2727"/>
      <c r="D55" s="2723"/>
      <c r="E55" s="2723"/>
      <c r="F55" s="2723"/>
      <c r="G55" s="2723"/>
      <c r="H55" s="2723"/>
      <c r="I55" s="2723"/>
      <c r="J55" s="2723"/>
      <c r="K55" s="2728"/>
      <c r="L55" s="2722"/>
      <c r="M55" s="2723"/>
      <c r="N55" s="2723"/>
      <c r="O55" s="2723"/>
      <c r="P55" s="1916"/>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402.39</v>
      </c>
      <c r="E3" s="1953"/>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709" t="s">
        <v>1773</v>
      </c>
      <c r="Q4" s="3710"/>
      <c r="R4" s="3713" t="s">
        <v>1769</v>
      </c>
      <c r="S4" s="3714"/>
      <c r="T4" s="3713" t="s">
        <v>1770</v>
      </c>
      <c r="U4" s="3714"/>
      <c r="V4" s="3715" t="s">
        <v>1771</v>
      </c>
      <c r="W4" s="3715"/>
      <c r="X4" s="1957"/>
      <c r="Y4" s="3713" t="s">
        <v>1773</v>
      </c>
      <c r="Z4" s="3714"/>
      <c r="AA4" s="3717" t="s">
        <v>1769</v>
      </c>
      <c r="AB4" s="3717" t="s">
        <v>1770</v>
      </c>
      <c r="AC4" s="3706" t="s">
        <v>1771</v>
      </c>
    </row>
    <row r="5" spans="1:29" ht="15">
      <c r="A5" s="358"/>
      <c r="B5" s="359"/>
      <c r="C5" s="3694" t="s">
        <v>1671</v>
      </c>
      <c r="D5" s="3695"/>
      <c r="E5" s="3701" t="s">
        <v>1672</v>
      </c>
      <c r="F5" s="3702"/>
      <c r="G5" s="3694" t="s">
        <v>1673</v>
      </c>
      <c r="H5" s="3695"/>
      <c r="I5" s="3694" t="s">
        <v>1674</v>
      </c>
      <c r="J5" s="3695"/>
      <c r="K5" s="559"/>
      <c r="L5" s="2710"/>
      <c r="M5" s="2711"/>
      <c r="N5" s="2711"/>
      <c r="O5" s="2711"/>
      <c r="P5" s="3711"/>
      <c r="Q5" s="3682"/>
      <c r="R5" s="3687"/>
      <c r="S5" s="3688"/>
      <c r="T5" s="3687"/>
      <c r="U5" s="3688"/>
      <c r="V5" s="3691"/>
      <c r="W5" s="3691"/>
      <c r="X5" s="1354"/>
      <c r="Y5" s="3687"/>
      <c r="Z5" s="3688"/>
      <c r="AA5" s="3673"/>
      <c r="AB5" s="3673"/>
      <c r="AC5" s="3707"/>
    </row>
    <row r="6" spans="1:29" ht="15.75" thickBot="1">
      <c r="A6" s="360"/>
      <c r="B6" s="361"/>
      <c r="C6" s="3692" t="s">
        <v>1675</v>
      </c>
      <c r="D6" s="3693"/>
      <c r="E6" s="3699" t="s">
        <v>1675</v>
      </c>
      <c r="F6" s="3700"/>
      <c r="G6" s="3692" t="s">
        <v>1675</v>
      </c>
      <c r="H6" s="3693"/>
      <c r="I6" s="3692" t="s">
        <v>1675</v>
      </c>
      <c r="J6" s="3693"/>
      <c r="K6" s="559" t="s">
        <v>1676</v>
      </c>
      <c r="L6" s="2710"/>
      <c r="M6" s="2711"/>
      <c r="N6" s="2711"/>
      <c r="O6" s="2711"/>
      <c r="P6" s="3712"/>
      <c r="Q6" s="3684"/>
      <c r="R6" s="3687"/>
      <c r="S6" s="3688"/>
      <c r="T6" s="3689"/>
      <c r="U6" s="3690"/>
      <c r="V6" s="3691"/>
      <c r="W6" s="3691"/>
      <c r="X6" s="1354"/>
      <c r="Y6" s="3689"/>
      <c r="Z6" s="3690"/>
      <c r="AA6" s="3674"/>
      <c r="AB6" s="3674"/>
      <c r="AC6" s="3708"/>
    </row>
    <row r="7" spans="1:29" s="108" customFormat="1" ht="15.75" thickBot="1">
      <c r="A7" s="362" t="s">
        <v>1677</v>
      </c>
      <c r="B7" s="363"/>
      <c r="C7" s="364">
        <f>'数据-取费表'!B2</f>
        <v>45057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16" t="s">
        <v>1678</v>
      </c>
      <c r="Q7" s="3698"/>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16" t="s">
        <v>1681</v>
      </c>
      <c r="Q8" s="3697"/>
      <c r="R8" s="700" t="s">
        <v>14</v>
      </c>
      <c r="S8" s="701">
        <f t="shared" si="0"/>
        <v>100</v>
      </c>
      <c r="T8" s="700" t="s">
        <v>14</v>
      </c>
      <c r="U8" s="701">
        <f t="shared" si="1"/>
        <v>100</v>
      </c>
      <c r="V8" s="700" t="s">
        <v>14</v>
      </c>
      <c r="W8" s="701">
        <f t="shared" si="2"/>
        <v>100</v>
      </c>
      <c r="X8" s="702"/>
      <c r="Y8" s="3696" t="s">
        <v>1681</v>
      </c>
      <c r="Z8" s="3697"/>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1"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1958">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1"/>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1"/>
      <c r="Q11" s="1342" t="str">
        <f t="shared" si="6"/>
        <v>容积率</v>
      </c>
      <c r="R11" s="700" t="s">
        <v>14</v>
      </c>
      <c r="S11" s="701">
        <f t="shared" si="0"/>
        <v>100</v>
      </c>
      <c r="T11" s="700" t="s">
        <v>14</v>
      </c>
      <c r="U11" s="701">
        <f t="shared" si="1"/>
        <v>100</v>
      </c>
      <c r="V11" s="700" t="s">
        <v>14</v>
      </c>
      <c r="W11" s="701">
        <f t="shared" si="2"/>
        <v>100</v>
      </c>
      <c r="X11" s="702"/>
      <c r="Y11" s="353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2"/>
      <c r="M12" s="2713"/>
      <c r="N12" s="2713"/>
      <c r="O12" s="2713"/>
      <c r="P12" s="3671"/>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7"/>
      <c r="M13" s="2711"/>
      <c r="N13" s="2711"/>
      <c r="O13" s="2711"/>
      <c r="P13" s="3671"/>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7"/>
      <c r="M14" s="2711"/>
      <c r="N14" s="2711"/>
      <c r="O14" s="2711"/>
      <c r="P14" s="3671"/>
      <c r="Q14" s="1342">
        <f t="shared" si="6"/>
        <v>111</v>
      </c>
      <c r="R14" s="700" t="s">
        <v>14</v>
      </c>
      <c r="S14" s="701">
        <f t="shared" si="0"/>
        <v>100</v>
      </c>
      <c r="T14" s="700" t="s">
        <v>14</v>
      </c>
      <c r="U14" s="701">
        <f t="shared" si="1"/>
        <v>100</v>
      </c>
      <c r="V14" s="700" t="s">
        <v>14</v>
      </c>
      <c r="W14" s="701">
        <f t="shared" si="2"/>
        <v>100</v>
      </c>
      <c r="X14" s="702"/>
      <c r="Y14" s="3535"/>
      <c r="Z14" s="52">
        <f t="shared" si="7"/>
        <v>111</v>
      </c>
      <c r="AA14" s="703">
        <f t="shared" si="3"/>
        <v>1</v>
      </c>
      <c r="AB14" s="703">
        <f t="shared" si="4"/>
        <v>1</v>
      </c>
      <c r="AC14" s="1958">
        <f t="shared" si="5"/>
        <v>1</v>
      </c>
    </row>
    <row r="15" spans="1:29" ht="71.25">
      <c r="A15" s="391" t="s">
        <v>1688</v>
      </c>
      <c r="B15" s="577" t="s">
        <v>1809</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69" t="s">
        <v>1689</v>
      </c>
      <c r="Q15" s="1351" t="str">
        <f t="shared" si="6"/>
        <v>办公集聚程度</v>
      </c>
      <c r="R15" s="704" t="s">
        <v>14</v>
      </c>
      <c r="S15" s="705">
        <f t="shared" si="0"/>
        <v>100</v>
      </c>
      <c r="T15" s="704" t="s">
        <v>14</v>
      </c>
      <c r="U15" s="705">
        <f t="shared" si="1"/>
        <v>100</v>
      </c>
      <c r="V15" s="704" t="s">
        <v>14</v>
      </c>
      <c r="W15" s="705">
        <f t="shared" si="2"/>
        <v>100</v>
      </c>
      <c r="X15" s="1354"/>
      <c r="Y15" s="3662" t="s">
        <v>1689</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7"/>
      <c r="M16" s="2711"/>
      <c r="N16" s="2711"/>
      <c r="O16" s="2711"/>
      <c r="P16" s="3670"/>
      <c r="Q16" s="1351"/>
      <c r="R16" s="704"/>
      <c r="S16" s="705"/>
      <c r="T16" s="704"/>
      <c r="U16" s="705"/>
      <c r="V16" s="704"/>
      <c r="W16" s="705"/>
      <c r="X16" s="1354"/>
      <c r="Y16" s="3663"/>
      <c r="Z16" s="1355"/>
      <c r="AA16" s="1352">
        <v>1</v>
      </c>
      <c r="AB16" s="1352">
        <v>1</v>
      </c>
      <c r="AC16" s="1961">
        <v>1</v>
      </c>
    </row>
    <row r="17" spans="1:29" ht="71.25">
      <c r="A17" s="379"/>
      <c r="B17" s="579" t="s">
        <v>1257</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70"/>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7"/>
      <c r="M18" s="2711"/>
      <c r="N18" s="2711"/>
      <c r="O18" s="2711"/>
      <c r="P18" s="3670"/>
      <c r="Q18" s="1351"/>
      <c r="R18" s="704"/>
      <c r="S18" s="705"/>
      <c r="T18" s="704"/>
      <c r="U18" s="705"/>
      <c r="V18" s="704"/>
      <c r="W18" s="705"/>
      <c r="X18" s="1354"/>
      <c r="Y18" s="3663"/>
      <c r="Z18" s="1355"/>
      <c r="AA18" s="1352">
        <v>1</v>
      </c>
      <c r="AB18" s="1352">
        <v>1</v>
      </c>
      <c r="AC18" s="1961">
        <v>1</v>
      </c>
    </row>
    <row r="19" spans="1:29" ht="42.75">
      <c r="A19" s="379"/>
      <c r="B19" s="579"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70"/>
      <c r="Q19" s="1351" t="str">
        <f>B19</f>
        <v>公共配套设施</v>
      </c>
      <c r="R19" s="704" t="s">
        <v>14</v>
      </c>
      <c r="S19" s="705">
        <f>F19</f>
        <v>100</v>
      </c>
      <c r="T19" s="704" t="s">
        <v>14</v>
      </c>
      <c r="U19" s="705">
        <f>H19</f>
        <v>100</v>
      </c>
      <c r="V19" s="704" t="s">
        <v>14</v>
      </c>
      <c r="W19" s="705">
        <f>J19</f>
        <v>100</v>
      </c>
      <c r="X19" s="1354"/>
      <c r="Y19" s="366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7"/>
      <c r="M20" s="2711"/>
      <c r="N20" s="2711"/>
      <c r="O20" s="2711"/>
      <c r="P20" s="3670"/>
      <c r="Q20" s="1351"/>
      <c r="R20" s="704"/>
      <c r="S20" s="705"/>
      <c r="T20" s="704"/>
      <c r="U20" s="705"/>
      <c r="V20" s="704"/>
      <c r="W20" s="705"/>
      <c r="X20" s="1354"/>
      <c r="Y20" s="3663"/>
      <c r="Z20" s="1355"/>
      <c r="AA20" s="1352">
        <v>1</v>
      </c>
      <c r="AB20" s="1352">
        <v>1</v>
      </c>
      <c r="AC20" s="1961">
        <v>1</v>
      </c>
    </row>
    <row r="21" spans="1:29" ht="28.5">
      <c r="A21" s="379"/>
      <c r="B21" s="581"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70"/>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7"/>
      <c r="M22" s="2711"/>
      <c r="N22" s="2711"/>
      <c r="O22" s="2711"/>
      <c r="P22" s="3670"/>
      <c r="Q22" s="1351"/>
      <c r="R22" s="704"/>
      <c r="S22" s="705"/>
      <c r="T22" s="704"/>
      <c r="U22" s="705"/>
      <c r="V22" s="704"/>
      <c r="W22" s="705"/>
      <c r="X22" s="1354"/>
      <c r="Y22" s="3663"/>
      <c r="Z22" s="1355"/>
      <c r="AA22" s="1352">
        <v>1</v>
      </c>
      <c r="AB22" s="1352">
        <v>1</v>
      </c>
      <c r="AC22" s="1961">
        <v>1</v>
      </c>
    </row>
    <row r="23" spans="1:29" ht="42.75">
      <c r="A23" s="379"/>
      <c r="B23" s="579" t="s">
        <v>1812</v>
      </c>
      <c r="C23" s="1962"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70"/>
      <c r="Q23" s="1351" t="str">
        <f>B23</f>
        <v>环境质量</v>
      </c>
      <c r="R23" s="704" t="s">
        <v>14</v>
      </c>
      <c r="S23" s="705">
        <f>F23</f>
        <v>100</v>
      </c>
      <c r="T23" s="704" t="s">
        <v>14</v>
      </c>
      <c r="U23" s="705">
        <f>H23</f>
        <v>100</v>
      </c>
      <c r="V23" s="704" t="s">
        <v>14</v>
      </c>
      <c r="W23" s="705">
        <f>J23</f>
        <v>100</v>
      </c>
      <c r="X23" s="1354"/>
      <c r="Y23" s="366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7"/>
      <c r="M24" s="2711"/>
      <c r="N24" s="2711"/>
      <c r="O24" s="2711"/>
      <c r="P24" s="3670"/>
      <c r="Q24" s="1351"/>
      <c r="R24" s="704"/>
      <c r="S24" s="705"/>
      <c r="T24" s="704"/>
      <c r="U24" s="705"/>
      <c r="V24" s="704"/>
      <c r="W24" s="705"/>
      <c r="X24" s="1354"/>
      <c r="Y24" s="3663"/>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670"/>
      <c r="Q25" s="1351" t="str">
        <f>B25</f>
        <v>毗邻道路的类型与等级</v>
      </c>
      <c r="R25" s="704" t="s">
        <v>14</v>
      </c>
      <c r="S25" s="705">
        <f>F25</f>
        <v>100</v>
      </c>
      <c r="T25" s="704" t="s">
        <v>14</v>
      </c>
      <c r="U25" s="705">
        <f>H25</f>
        <v>100</v>
      </c>
      <c r="V25" s="704" t="s">
        <v>14</v>
      </c>
      <c r="W25" s="705">
        <f>J25</f>
        <v>100</v>
      </c>
      <c r="X25" s="1354"/>
      <c r="Y25" s="366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7"/>
      <c r="M26" s="2711"/>
      <c r="N26" s="2711"/>
      <c r="O26" s="2711"/>
      <c r="P26" s="3670"/>
      <c r="Q26" s="1351"/>
      <c r="R26" s="704"/>
      <c r="S26" s="705"/>
      <c r="T26" s="704"/>
      <c r="U26" s="705"/>
      <c r="V26" s="704"/>
      <c r="W26" s="705"/>
      <c r="X26" s="1354"/>
      <c r="Y26" s="3663"/>
      <c r="Z26" s="1355"/>
      <c r="AA26" s="1352">
        <v>1</v>
      </c>
      <c r="AB26" s="1352">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70"/>
      <c r="Q27" s="1351" t="str">
        <f t="shared" ref="Q27:Q47" si="11">B27</f>
        <v>楼层</v>
      </c>
      <c r="R27" s="704" t="s">
        <v>14</v>
      </c>
      <c r="S27" s="705">
        <f>F27</f>
        <v>100</v>
      </c>
      <c r="T27" s="704" t="s">
        <v>14</v>
      </c>
      <c r="U27" s="705">
        <f>H27</f>
        <v>100</v>
      </c>
      <c r="V27" s="704" t="s">
        <v>14</v>
      </c>
      <c r="W27" s="705">
        <f>J27</f>
        <v>100</v>
      </c>
      <c r="X27" s="1354"/>
      <c r="Y27" s="3663"/>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2"/>
      <c r="M28" s="2713"/>
      <c r="N28" s="2713"/>
      <c r="O28" s="2713"/>
      <c r="P28" s="3670"/>
      <c r="Q28" s="1342" t="str">
        <f t="shared" si="11"/>
        <v>朝向</v>
      </c>
      <c r="R28" s="700" t="s">
        <v>14</v>
      </c>
      <c r="S28" s="701">
        <f>F28</f>
        <v>100</v>
      </c>
      <c r="T28" s="700" t="s">
        <v>14</v>
      </c>
      <c r="U28" s="701">
        <f>H28</f>
        <v>100</v>
      </c>
      <c r="V28" s="700" t="s">
        <v>14</v>
      </c>
      <c r="W28" s="701">
        <f>J28</f>
        <v>100</v>
      </c>
      <c r="X28" s="702"/>
      <c r="Y28" s="366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7"/>
      <c r="M29" s="2711"/>
      <c r="N29" s="2711"/>
      <c r="O29" s="2711"/>
      <c r="P29" s="3670"/>
      <c r="Q29" s="1351">
        <f t="shared" si="11"/>
        <v>111</v>
      </c>
      <c r="R29" s="704" t="s">
        <v>14</v>
      </c>
      <c r="S29" s="705">
        <f t="shared" ref="S29:S47" si="12">F29</f>
        <v>100</v>
      </c>
      <c r="T29" s="704" t="s">
        <v>14</v>
      </c>
      <c r="U29" s="705">
        <f t="shared" ref="U29:U47" si="13">H29</f>
        <v>100</v>
      </c>
      <c r="V29" s="704" t="s">
        <v>14</v>
      </c>
      <c r="W29" s="705">
        <f t="shared" ref="W29:W47" si="14">J29</f>
        <v>100</v>
      </c>
      <c r="X29" s="1354"/>
      <c r="Y29" s="366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7"/>
      <c r="M30" s="2711"/>
      <c r="N30" s="2711"/>
      <c r="O30" s="2711"/>
      <c r="P30" s="3670"/>
      <c r="Q30" s="1351">
        <f t="shared" si="11"/>
        <v>111</v>
      </c>
      <c r="R30" s="704" t="s">
        <v>14</v>
      </c>
      <c r="S30" s="705">
        <f t="shared" si="12"/>
        <v>100</v>
      </c>
      <c r="T30" s="704" t="s">
        <v>14</v>
      </c>
      <c r="U30" s="705">
        <f t="shared" si="13"/>
        <v>100</v>
      </c>
      <c r="V30" s="704" t="s">
        <v>14</v>
      </c>
      <c r="W30" s="705">
        <f t="shared" si="14"/>
        <v>100</v>
      </c>
      <c r="X30" s="1354"/>
      <c r="Y30" s="366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7"/>
      <c r="M31" s="2711"/>
      <c r="N31" s="2711"/>
      <c r="O31" s="2711"/>
      <c r="P31" s="3670"/>
      <c r="Q31" s="1351">
        <f t="shared" si="11"/>
        <v>111</v>
      </c>
      <c r="R31" s="704" t="s">
        <v>14</v>
      </c>
      <c r="S31" s="705">
        <f t="shared" si="12"/>
        <v>100</v>
      </c>
      <c r="T31" s="704" t="s">
        <v>14</v>
      </c>
      <c r="U31" s="705">
        <f t="shared" si="13"/>
        <v>100</v>
      </c>
      <c r="V31" s="704" t="s">
        <v>14</v>
      </c>
      <c r="W31" s="705">
        <f t="shared" si="14"/>
        <v>100</v>
      </c>
      <c r="X31" s="1354"/>
      <c r="Y31" s="366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7"/>
      <c r="M32" s="2711"/>
      <c r="N32" s="2711"/>
      <c r="O32" s="2711"/>
      <c r="P32" s="3670"/>
      <c r="Q32" s="1351">
        <f t="shared" si="11"/>
        <v>111</v>
      </c>
      <c r="R32" s="704" t="s">
        <v>14</v>
      </c>
      <c r="S32" s="705">
        <f t="shared" si="12"/>
        <v>100</v>
      </c>
      <c r="T32" s="704" t="s">
        <v>14</v>
      </c>
      <c r="U32" s="705">
        <f t="shared" si="13"/>
        <v>100</v>
      </c>
      <c r="V32" s="704" t="s">
        <v>14</v>
      </c>
      <c r="W32" s="705">
        <f t="shared" si="14"/>
        <v>100</v>
      </c>
      <c r="X32" s="1354"/>
      <c r="Y32" s="3663"/>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7"/>
      <c r="M33" s="2711"/>
      <c r="N33" s="2711"/>
      <c r="O33" s="2711"/>
      <c r="P33" s="3664" t="s">
        <v>1694</v>
      </c>
      <c r="Q33" s="1351" t="str">
        <f t="shared" si="11"/>
        <v>建筑类型</v>
      </c>
      <c r="R33" s="704" t="s">
        <v>14</v>
      </c>
      <c r="S33" s="705">
        <f t="shared" si="12"/>
        <v>100</v>
      </c>
      <c r="T33" s="704" t="s">
        <v>14</v>
      </c>
      <c r="U33" s="705">
        <f t="shared" si="13"/>
        <v>100</v>
      </c>
      <c r="V33" s="704" t="s">
        <v>14</v>
      </c>
      <c r="W33" s="705">
        <f t="shared" si="14"/>
        <v>100</v>
      </c>
      <c r="X33" s="1354"/>
      <c r="Y33" s="3667"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65"/>
      <c r="Q34" s="706" t="str">
        <f t="shared" si="11"/>
        <v>项目建筑规模</v>
      </c>
      <c r="R34" s="707" t="s">
        <v>14</v>
      </c>
      <c r="S34" s="708" t="e">
        <f t="shared" si="12"/>
        <v>#N/A</v>
      </c>
      <c r="T34" s="707" t="s">
        <v>14</v>
      </c>
      <c r="U34" s="708" t="e">
        <f t="shared" si="13"/>
        <v>#N/A</v>
      </c>
      <c r="V34" s="707" t="s">
        <v>14</v>
      </c>
      <c r="W34" s="708" t="e">
        <f t="shared" si="14"/>
        <v>#N/A</v>
      </c>
      <c r="X34" s="709"/>
      <c r="Y34" s="3667"/>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65"/>
      <c r="Q35" s="1351" t="str">
        <f t="shared" si="11"/>
        <v>建筑结构</v>
      </c>
      <c r="R35" s="704" t="s">
        <v>14</v>
      </c>
      <c r="S35" s="705">
        <f t="shared" si="12"/>
        <v>100</v>
      </c>
      <c r="T35" s="704" t="s">
        <v>14</v>
      </c>
      <c r="U35" s="705">
        <f t="shared" si="13"/>
        <v>100</v>
      </c>
      <c r="V35" s="704" t="s">
        <v>14</v>
      </c>
      <c r="W35" s="705">
        <f t="shared" si="14"/>
        <v>100</v>
      </c>
      <c r="X35" s="1354"/>
      <c r="Y35" s="3667"/>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65"/>
      <c r="Q36" s="1351" t="str">
        <f t="shared" si="11"/>
        <v>公共部分装修</v>
      </c>
      <c r="R36" s="704" t="s">
        <v>14</v>
      </c>
      <c r="S36" s="705">
        <f t="shared" si="12"/>
        <v>100</v>
      </c>
      <c r="T36" s="704" t="s">
        <v>14</v>
      </c>
      <c r="U36" s="705">
        <f t="shared" si="13"/>
        <v>100</v>
      </c>
      <c r="V36" s="704" t="s">
        <v>14</v>
      </c>
      <c r="W36" s="705">
        <f t="shared" si="14"/>
        <v>100</v>
      </c>
      <c r="X36" s="1354"/>
      <c r="Y36" s="3667"/>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65"/>
      <c r="Q37" s="1351" t="str">
        <f t="shared" si="11"/>
        <v>成新度</v>
      </c>
      <c r="R37" s="704" t="s">
        <v>14</v>
      </c>
      <c r="S37" s="705" t="e">
        <f t="shared" si="12"/>
        <v>#N/A</v>
      </c>
      <c r="T37" s="704" t="s">
        <v>14</v>
      </c>
      <c r="U37" s="705" t="e">
        <f t="shared" si="13"/>
        <v>#N/A</v>
      </c>
      <c r="V37" s="704" t="s">
        <v>14</v>
      </c>
      <c r="W37" s="705" t="e">
        <f t="shared" si="14"/>
        <v>#N/A</v>
      </c>
      <c r="X37" s="1354"/>
      <c r="Y37" s="3667"/>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65"/>
      <c r="Q38" s="1342" t="str">
        <f t="shared" si="11"/>
        <v>写字楼等级</v>
      </c>
      <c r="R38" s="700" t="s">
        <v>14</v>
      </c>
      <c r="S38" s="701">
        <f t="shared" si="12"/>
        <v>100</v>
      </c>
      <c r="T38" s="700" t="s">
        <v>14</v>
      </c>
      <c r="U38" s="701">
        <f t="shared" si="13"/>
        <v>100</v>
      </c>
      <c r="V38" s="700" t="s">
        <v>14</v>
      </c>
      <c r="W38" s="701">
        <f t="shared" si="14"/>
        <v>100</v>
      </c>
      <c r="X38" s="702"/>
      <c r="Y38" s="3667"/>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65" t="s">
        <v>1694</v>
      </c>
      <c r="Q39" s="1351" t="str">
        <f t="shared" si="11"/>
        <v>物业管理</v>
      </c>
      <c r="R39" s="704" t="s">
        <v>14</v>
      </c>
      <c r="S39" s="705">
        <f t="shared" si="12"/>
        <v>100</v>
      </c>
      <c r="T39" s="704" t="s">
        <v>14</v>
      </c>
      <c r="U39" s="705">
        <f t="shared" si="13"/>
        <v>100</v>
      </c>
      <c r="V39" s="704" t="s">
        <v>14</v>
      </c>
      <c r="W39" s="705">
        <f t="shared" si="14"/>
        <v>100</v>
      </c>
      <c r="X39" s="1354"/>
      <c r="Y39" s="3667"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65"/>
      <c r="Q40" s="1351" t="str">
        <f t="shared" si="11"/>
        <v>市政基础设施</v>
      </c>
      <c r="R40" s="704" t="s">
        <v>14</v>
      </c>
      <c r="S40" s="705">
        <f t="shared" si="12"/>
        <v>100</v>
      </c>
      <c r="T40" s="704" t="s">
        <v>14</v>
      </c>
      <c r="U40" s="705">
        <f t="shared" si="13"/>
        <v>100</v>
      </c>
      <c r="V40" s="704" t="s">
        <v>14</v>
      </c>
      <c r="W40" s="705">
        <f t="shared" si="14"/>
        <v>100</v>
      </c>
      <c r="X40" s="1354"/>
      <c r="Y40" s="3667"/>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65"/>
      <c r="Q41" s="1351" t="str">
        <f t="shared" si="11"/>
        <v>层高</v>
      </c>
      <c r="R41" s="704" t="s">
        <v>14</v>
      </c>
      <c r="S41" s="705">
        <f t="shared" si="12"/>
        <v>100</v>
      </c>
      <c r="T41" s="704" t="s">
        <v>14</v>
      </c>
      <c r="U41" s="705">
        <f t="shared" si="13"/>
        <v>100</v>
      </c>
      <c r="V41" s="704" t="s">
        <v>14</v>
      </c>
      <c r="W41" s="705">
        <f t="shared" si="14"/>
        <v>100</v>
      </c>
      <c r="X41" s="1354"/>
      <c r="Y41" s="3667"/>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65"/>
      <c r="Q42" s="706" t="str">
        <f t="shared" si="11"/>
        <v>单套建筑面积</v>
      </c>
      <c r="R42" s="707" t="s">
        <v>14</v>
      </c>
      <c r="S42" s="708">
        <f t="shared" si="12"/>
        <v>100</v>
      </c>
      <c r="T42" s="707" t="s">
        <v>14</v>
      </c>
      <c r="U42" s="708">
        <f t="shared" si="13"/>
        <v>100</v>
      </c>
      <c r="V42" s="707" t="s">
        <v>14</v>
      </c>
      <c r="W42" s="708">
        <f t="shared" si="14"/>
        <v>100</v>
      </c>
      <c r="X42" s="709"/>
      <c r="Y42" s="3667"/>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65"/>
      <c r="Q43" s="1351" t="str">
        <f t="shared" si="11"/>
        <v>内部装修</v>
      </c>
      <c r="R43" s="704" t="s">
        <v>14</v>
      </c>
      <c r="S43" s="705">
        <f t="shared" si="12"/>
        <v>100</v>
      </c>
      <c r="T43" s="704" t="s">
        <v>14</v>
      </c>
      <c r="U43" s="705">
        <f t="shared" si="13"/>
        <v>100</v>
      </c>
      <c r="V43" s="704" t="s">
        <v>14</v>
      </c>
      <c r="W43" s="705">
        <f t="shared" si="14"/>
        <v>100</v>
      </c>
      <c r="X43" s="1354"/>
      <c r="Y43" s="3667"/>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665"/>
      <c r="Q44" s="1351" t="str">
        <f t="shared" si="11"/>
        <v>内部装修维护情况</v>
      </c>
      <c r="R44" s="704" t="s">
        <v>14</v>
      </c>
      <c r="S44" s="705">
        <f t="shared" si="12"/>
        <v>100</v>
      </c>
      <c r="T44" s="704" t="s">
        <v>14</v>
      </c>
      <c r="U44" s="705">
        <f t="shared" si="13"/>
        <v>100</v>
      </c>
      <c r="V44" s="704" t="s">
        <v>14</v>
      </c>
      <c r="W44" s="705">
        <f t="shared" si="14"/>
        <v>100</v>
      </c>
      <c r="X44" s="1354"/>
      <c r="Y44" s="366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65"/>
      <c r="Q45" s="1342">
        <f t="shared" si="11"/>
        <v>111</v>
      </c>
      <c r="R45" s="700" t="s">
        <v>14</v>
      </c>
      <c r="S45" s="701">
        <f t="shared" si="12"/>
        <v>100</v>
      </c>
      <c r="T45" s="700" t="s">
        <v>14</v>
      </c>
      <c r="U45" s="701">
        <f t="shared" si="13"/>
        <v>100</v>
      </c>
      <c r="V45" s="700" t="s">
        <v>14</v>
      </c>
      <c r="W45" s="701">
        <f t="shared" si="14"/>
        <v>100</v>
      </c>
      <c r="X45" s="702"/>
      <c r="Y45" s="366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66"/>
      <c r="Q47" s="1351">
        <f t="shared" si="11"/>
        <v>111</v>
      </c>
      <c r="R47" s="704" t="s">
        <v>14</v>
      </c>
      <c r="S47" s="705">
        <f t="shared" si="12"/>
        <v>100</v>
      </c>
      <c r="T47" s="704" t="s">
        <v>14</v>
      </c>
      <c r="U47" s="705">
        <f t="shared" si="13"/>
        <v>100</v>
      </c>
      <c r="V47" s="704" t="s">
        <v>14</v>
      </c>
      <c r="W47" s="705">
        <f t="shared" si="14"/>
        <v>100</v>
      </c>
      <c r="X47" s="1354"/>
      <c r="Y47" s="3668"/>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19"/>
      <c r="M48" s="2711"/>
      <c r="N48" s="2711"/>
      <c r="O48" s="2711"/>
      <c r="P48" s="3671" t="str">
        <f>A48</f>
        <v>成交单价（元/平方米）</v>
      </c>
      <c r="Q48" s="3660"/>
      <c r="R48" s="3661">
        <f>E48</f>
        <v>0</v>
      </c>
      <c r="S48" s="3661"/>
      <c r="T48" s="3661">
        <f>G48</f>
        <v>0</v>
      </c>
      <c r="U48" s="3661"/>
      <c r="V48" s="3661">
        <f>I48</f>
        <v>0</v>
      </c>
      <c r="W48" s="3661"/>
      <c r="X48" s="397"/>
      <c r="Y48" s="711"/>
      <c r="Z48" s="397"/>
      <c r="AA48" s="397"/>
      <c r="AB48" s="397"/>
      <c r="AC48" s="578"/>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19"/>
      <c r="M49" s="2711"/>
      <c r="N49" s="2711"/>
      <c r="O49" s="2711"/>
      <c r="P49" s="3671"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397"/>
      <c r="Y49" s="397"/>
      <c r="Z49" s="397"/>
      <c r="AA49" s="397"/>
      <c r="AB49" s="397"/>
      <c r="AC49" s="578"/>
    </row>
    <row r="50" spans="1:29" ht="15.75" thickBot="1">
      <c r="A50" s="441" t="s">
        <v>1792</v>
      </c>
      <c r="B50" s="442"/>
      <c r="C50" s="1162" t="e">
        <f>R50</f>
        <v>#DIV/0!</v>
      </c>
      <c r="D50" s="1162"/>
      <c r="E50" s="1162"/>
      <c r="F50" s="1162"/>
      <c r="G50" s="1162"/>
      <c r="H50" s="1162"/>
      <c r="I50" s="1162"/>
      <c r="J50" s="443"/>
      <c r="K50" s="714"/>
      <c r="L50" s="2719"/>
      <c r="M50" s="2711"/>
      <c r="N50" s="2711"/>
      <c r="O50" s="2711"/>
      <c r="P50" s="3703" t="str">
        <f>A50</f>
        <v>估价对象XX用房的比较价值（楼面单价，元/平方米）</v>
      </c>
      <c r="Q50" s="3704"/>
      <c r="R50" s="3705" t="e">
        <f>IF(F1="售价",ROUND(IF(D49="简单平均",AVERAGE(R49:V49),R49*F49+T49*H49+V49*J49),0),ROUND(IF(D49="简单平均",AVERAGE(R49:V49),R49*F49+T49*H49+V49*J49),1))</f>
        <v>#DIV/0!</v>
      </c>
      <c r="S50" s="3705"/>
      <c r="T50" s="3705"/>
      <c r="U50" s="3705"/>
      <c r="V50" s="3705"/>
      <c r="W50" s="3705"/>
      <c r="X50" s="1945"/>
      <c r="Y50" s="1945"/>
      <c r="Z50" s="1945"/>
      <c r="AA50" s="1945"/>
      <c r="AB50" s="1945"/>
      <c r="AC50" s="1946"/>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6"/>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7"/>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7"/>
      <c r="M119" s="1968"/>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7"/>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402.39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75" t="s">
        <v>1768</v>
      </c>
      <c r="D4" s="3676"/>
      <c r="E4" s="3677" t="s">
        <v>1769</v>
      </c>
      <c r="F4" s="3678"/>
      <c r="G4" s="3675" t="s">
        <v>1770</v>
      </c>
      <c r="H4" s="3676"/>
      <c r="I4" s="3675" t="s">
        <v>1771</v>
      </c>
      <c r="J4" s="3676"/>
      <c r="K4" s="559" t="s">
        <v>1772</v>
      </c>
      <c r="L4" s="912"/>
      <c r="M4" s="913"/>
      <c r="N4" s="913"/>
      <c r="O4" s="913"/>
      <c r="P4" s="3679" t="s">
        <v>1773</v>
      </c>
      <c r="Q4" s="3680"/>
      <c r="R4" s="3685" t="s">
        <v>1769</v>
      </c>
      <c r="S4" s="3686"/>
      <c r="T4" s="3685" t="s">
        <v>1770</v>
      </c>
      <c r="U4" s="3686"/>
      <c r="V4" s="3691" t="s">
        <v>1771</v>
      </c>
      <c r="W4" s="3691"/>
      <c r="X4" s="1354"/>
      <c r="Y4" s="3685" t="s">
        <v>1773</v>
      </c>
      <c r="Z4" s="3686"/>
      <c r="AA4" s="3672" t="s">
        <v>1769</v>
      </c>
      <c r="AB4" s="3673" t="s">
        <v>1770</v>
      </c>
      <c r="AC4" s="3672" t="s">
        <v>1771</v>
      </c>
    </row>
    <row r="5" spans="1:29" ht="15">
      <c r="A5" s="358"/>
      <c r="B5" s="359"/>
      <c r="C5" s="3694" t="s">
        <v>1671</v>
      </c>
      <c r="D5" s="3695"/>
      <c r="E5" s="3701" t="s">
        <v>1672</v>
      </c>
      <c r="F5" s="3702"/>
      <c r="G5" s="3694" t="s">
        <v>1673</v>
      </c>
      <c r="H5" s="3695"/>
      <c r="I5" s="3694" t="s">
        <v>1674</v>
      </c>
      <c r="J5" s="3695"/>
      <c r="K5" s="559"/>
      <c r="L5" s="912"/>
      <c r="M5" s="913"/>
      <c r="N5" s="913"/>
      <c r="O5" s="913"/>
      <c r="P5" s="3681"/>
      <c r="Q5" s="3682"/>
      <c r="R5" s="3687"/>
      <c r="S5" s="3688"/>
      <c r="T5" s="3687"/>
      <c r="U5" s="3688"/>
      <c r="V5" s="3691"/>
      <c r="W5" s="3691"/>
      <c r="X5" s="1354"/>
      <c r="Y5" s="3687"/>
      <c r="Z5" s="3688"/>
      <c r="AA5" s="3673"/>
      <c r="AB5" s="3673"/>
      <c r="AC5" s="3673"/>
    </row>
    <row r="6" spans="1:29" ht="15.75" thickBot="1">
      <c r="A6" s="360"/>
      <c r="B6" s="361"/>
      <c r="C6" s="3692" t="s">
        <v>1675</v>
      </c>
      <c r="D6" s="3693"/>
      <c r="E6" s="3699" t="s">
        <v>1675</v>
      </c>
      <c r="F6" s="3700"/>
      <c r="G6" s="3692" t="s">
        <v>1675</v>
      </c>
      <c r="H6" s="3693"/>
      <c r="I6" s="3692" t="s">
        <v>1675</v>
      </c>
      <c r="J6" s="3693"/>
      <c r="K6" s="559" t="s">
        <v>1676</v>
      </c>
      <c r="L6" s="912"/>
      <c r="M6" s="913"/>
      <c r="N6" s="913"/>
      <c r="O6" s="913"/>
      <c r="P6" s="3683"/>
      <c r="Q6" s="3684"/>
      <c r="R6" s="3687"/>
      <c r="S6" s="3688"/>
      <c r="T6" s="3689"/>
      <c r="U6" s="3690"/>
      <c r="V6" s="3691"/>
      <c r="W6" s="3691"/>
      <c r="X6" s="1354"/>
      <c r="Y6" s="3689"/>
      <c r="Z6" s="3690"/>
      <c r="AA6" s="3674"/>
      <c r="AB6" s="3674"/>
      <c r="AC6" s="3674"/>
    </row>
    <row r="7" spans="1:29" s="108" customFormat="1" ht="15.75" thickBot="1">
      <c r="A7" s="362" t="s">
        <v>1677</v>
      </c>
      <c r="B7" s="363"/>
      <c r="C7" s="364">
        <f>'数据-取费表'!B2</f>
        <v>45057</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1678</v>
      </c>
      <c r="Q7" s="3698"/>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1681</v>
      </c>
      <c r="Q8" s="3697"/>
      <c r="R8" s="700" t="s">
        <v>14</v>
      </c>
      <c r="S8" s="701">
        <f t="shared" si="0"/>
        <v>100</v>
      </c>
      <c r="T8" s="700" t="s">
        <v>14</v>
      </c>
      <c r="U8" s="701">
        <f t="shared" si="1"/>
        <v>100</v>
      </c>
      <c r="V8" s="700" t="s">
        <v>14</v>
      </c>
      <c r="W8" s="701">
        <f t="shared" si="2"/>
        <v>100</v>
      </c>
      <c r="X8" s="702"/>
      <c r="Y8" s="3696" t="s">
        <v>1681</v>
      </c>
      <c r="Z8" s="3697"/>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0"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660"/>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0"/>
      <c r="Q11" s="1342" t="str">
        <f t="shared" si="6"/>
        <v>容积率</v>
      </c>
      <c r="R11" s="700" t="s">
        <v>14</v>
      </c>
      <c r="S11" s="701">
        <f t="shared" si="0"/>
        <v>100</v>
      </c>
      <c r="T11" s="700" t="s">
        <v>14</v>
      </c>
      <c r="U11" s="701">
        <f t="shared" si="1"/>
        <v>100</v>
      </c>
      <c r="V11" s="700" t="s">
        <v>14</v>
      </c>
      <c r="W11" s="701">
        <f t="shared" si="2"/>
        <v>100</v>
      </c>
      <c r="X11" s="702"/>
      <c r="Y11" s="353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0"/>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0"/>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0"/>
      <c r="Q14" s="1342">
        <f t="shared" si="6"/>
        <v>111</v>
      </c>
      <c r="R14" s="700" t="s">
        <v>14</v>
      </c>
      <c r="S14" s="701">
        <f t="shared" si="0"/>
        <v>100</v>
      </c>
      <c r="T14" s="700" t="s">
        <v>14</v>
      </c>
      <c r="U14" s="701">
        <f t="shared" si="1"/>
        <v>100</v>
      </c>
      <c r="V14" s="700" t="s">
        <v>14</v>
      </c>
      <c r="W14" s="701">
        <f t="shared" si="2"/>
        <v>100</v>
      </c>
      <c r="X14" s="702"/>
      <c r="Y14" s="3535"/>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2" t="s">
        <v>1689</v>
      </c>
      <c r="Q15" s="1351" t="str">
        <f t="shared" si="6"/>
        <v>产业集聚程度</v>
      </c>
      <c r="R15" s="704" t="s">
        <v>14</v>
      </c>
      <c r="S15" s="705">
        <f t="shared" si="0"/>
        <v>100</v>
      </c>
      <c r="T15" s="704" t="s">
        <v>14</v>
      </c>
      <c r="U15" s="705">
        <f t="shared" si="1"/>
        <v>100</v>
      </c>
      <c r="V15" s="704" t="s">
        <v>14</v>
      </c>
      <c r="W15" s="705">
        <f t="shared" si="2"/>
        <v>100</v>
      </c>
      <c r="X15" s="1354"/>
      <c r="Y15" s="3662"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3"/>
      <c r="Q16" s="1351"/>
      <c r="R16" s="704"/>
      <c r="S16" s="705"/>
      <c r="T16" s="704"/>
      <c r="U16" s="705"/>
      <c r="V16" s="704"/>
      <c r="W16" s="705"/>
      <c r="X16" s="1354"/>
      <c r="Y16" s="3663"/>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3"/>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3"/>
      <c r="Q18" s="1351"/>
      <c r="R18" s="704"/>
      <c r="S18" s="705"/>
      <c r="T18" s="704"/>
      <c r="U18" s="705"/>
      <c r="V18" s="704"/>
      <c r="W18" s="705"/>
      <c r="X18" s="1354"/>
      <c r="Y18" s="3663"/>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3"/>
      <c r="Q19" s="1351" t="str">
        <f>B19</f>
        <v>公共配套设施</v>
      </c>
      <c r="R19" s="704" t="s">
        <v>14</v>
      </c>
      <c r="S19" s="705">
        <f>F19</f>
        <v>100</v>
      </c>
      <c r="T19" s="704" t="s">
        <v>14</v>
      </c>
      <c r="U19" s="705">
        <f>H19</f>
        <v>100</v>
      </c>
      <c r="V19" s="704" t="s">
        <v>14</v>
      </c>
      <c r="W19" s="705">
        <f>J19</f>
        <v>100</v>
      </c>
      <c r="X19" s="1354"/>
      <c r="Y19" s="366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3"/>
      <c r="Q20" s="1351"/>
      <c r="R20" s="704"/>
      <c r="S20" s="705"/>
      <c r="T20" s="704"/>
      <c r="U20" s="705"/>
      <c r="V20" s="704"/>
      <c r="W20" s="705"/>
      <c r="X20" s="1354"/>
      <c r="Y20" s="3663"/>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3"/>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3"/>
      <c r="Q22" s="1351"/>
      <c r="R22" s="704"/>
      <c r="S22" s="705"/>
      <c r="T22" s="704"/>
      <c r="U22" s="705"/>
      <c r="V22" s="704"/>
      <c r="W22" s="705"/>
      <c r="X22" s="1354"/>
      <c r="Y22" s="3663"/>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3"/>
      <c r="Q23" s="1351" t="str">
        <f>B23</f>
        <v>环境质量</v>
      </c>
      <c r="R23" s="704" t="s">
        <v>14</v>
      </c>
      <c r="S23" s="705">
        <f>F23</f>
        <v>100</v>
      </c>
      <c r="T23" s="704" t="s">
        <v>14</v>
      </c>
      <c r="U23" s="705">
        <f>H23</f>
        <v>100</v>
      </c>
      <c r="V23" s="704" t="s">
        <v>14</v>
      </c>
      <c r="W23" s="705">
        <f>J23</f>
        <v>100</v>
      </c>
      <c r="X23" s="1354"/>
      <c r="Y23" s="366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3"/>
      <c r="Q24" s="1351"/>
      <c r="R24" s="704"/>
      <c r="S24" s="705"/>
      <c r="T24" s="704"/>
      <c r="U24" s="705"/>
      <c r="V24" s="704"/>
      <c r="W24" s="705"/>
      <c r="X24" s="1354"/>
      <c r="Y24" s="366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3"/>
      <c r="Q25" s="1351">
        <f>B25</f>
        <v>111</v>
      </c>
      <c r="R25" s="704" t="s">
        <v>14</v>
      </c>
      <c r="S25" s="705">
        <f>F25</f>
        <v>100</v>
      </c>
      <c r="T25" s="704" t="s">
        <v>14</v>
      </c>
      <c r="U25" s="705">
        <f>H25</f>
        <v>100</v>
      </c>
      <c r="V25" s="704" t="s">
        <v>14</v>
      </c>
      <c r="W25" s="705">
        <f>J25</f>
        <v>100</v>
      </c>
      <c r="X25" s="1354"/>
      <c r="Y25" s="366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3"/>
      <c r="Q26" s="1351">
        <f t="shared" ref="Q26:Q40" si="11">B26</f>
        <v>111</v>
      </c>
      <c r="R26" s="704" t="s">
        <v>14</v>
      </c>
      <c r="S26" s="705">
        <f>F26</f>
        <v>100</v>
      </c>
      <c r="T26" s="704" t="s">
        <v>14</v>
      </c>
      <c r="U26" s="705">
        <f>H26</f>
        <v>100</v>
      </c>
      <c r="V26" s="704" t="s">
        <v>14</v>
      </c>
      <c r="W26" s="705">
        <f>J26</f>
        <v>100</v>
      </c>
      <c r="X26" s="1354"/>
      <c r="Y26" s="366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3"/>
      <c r="Q27" s="1342">
        <f t="shared" si="11"/>
        <v>111</v>
      </c>
      <c r="R27" s="700" t="s">
        <v>14</v>
      </c>
      <c r="S27" s="701">
        <f>F27</f>
        <v>100</v>
      </c>
      <c r="T27" s="700" t="s">
        <v>14</v>
      </c>
      <c r="U27" s="701">
        <f>H27</f>
        <v>100</v>
      </c>
      <c r="V27" s="700" t="s">
        <v>14</v>
      </c>
      <c r="W27" s="701">
        <f>J27</f>
        <v>100</v>
      </c>
      <c r="X27" s="702"/>
      <c r="Y27" s="366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3"/>
      <c r="Q28" s="1351">
        <f t="shared" si="11"/>
        <v>111</v>
      </c>
      <c r="R28" s="704" t="s">
        <v>14</v>
      </c>
      <c r="S28" s="705">
        <f t="shared" ref="S28:S40" si="12">F28</f>
        <v>100</v>
      </c>
      <c r="T28" s="704" t="s">
        <v>14</v>
      </c>
      <c r="U28" s="705">
        <f t="shared" ref="U28:U40" si="13">H28</f>
        <v>100</v>
      </c>
      <c r="V28" s="704" t="s">
        <v>14</v>
      </c>
      <c r="W28" s="705">
        <f t="shared" ref="W28:W40" si="14">J28</f>
        <v>100</v>
      </c>
      <c r="X28" s="1354"/>
      <c r="Y28" s="3663"/>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18" t="s">
        <v>1694</v>
      </c>
      <c r="Q29" s="1351" t="str">
        <f t="shared" si="11"/>
        <v>建筑类型</v>
      </c>
      <c r="R29" s="704" t="s">
        <v>14</v>
      </c>
      <c r="S29" s="705">
        <f t="shared" si="12"/>
        <v>100</v>
      </c>
      <c r="T29" s="704" t="s">
        <v>14</v>
      </c>
      <c r="U29" s="705">
        <f t="shared" si="13"/>
        <v>100</v>
      </c>
      <c r="V29" s="704" t="s">
        <v>14</v>
      </c>
      <c r="W29" s="705">
        <f t="shared" si="14"/>
        <v>100</v>
      </c>
      <c r="X29" s="1354"/>
      <c r="Y29" s="3667"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7"/>
      <c r="Q30" s="706" t="str">
        <f t="shared" si="11"/>
        <v>项目建筑规模</v>
      </c>
      <c r="R30" s="707" t="s">
        <v>14</v>
      </c>
      <c r="S30" s="708" t="e">
        <f t="shared" si="12"/>
        <v>#N/A</v>
      </c>
      <c r="T30" s="707" t="s">
        <v>14</v>
      </c>
      <c r="U30" s="708" t="e">
        <f t="shared" si="13"/>
        <v>#N/A</v>
      </c>
      <c r="V30" s="707" t="s">
        <v>14</v>
      </c>
      <c r="W30" s="708" t="e">
        <f t="shared" si="14"/>
        <v>#N/A</v>
      </c>
      <c r="X30" s="709"/>
      <c r="Y30" s="3667"/>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7"/>
      <c r="Q31" s="1351" t="str">
        <f t="shared" si="11"/>
        <v>建筑结构</v>
      </c>
      <c r="R31" s="704" t="s">
        <v>14</v>
      </c>
      <c r="S31" s="705">
        <f t="shared" si="12"/>
        <v>100</v>
      </c>
      <c r="T31" s="704" t="s">
        <v>14</v>
      </c>
      <c r="U31" s="705">
        <f t="shared" si="13"/>
        <v>100</v>
      </c>
      <c r="V31" s="704" t="s">
        <v>14</v>
      </c>
      <c r="W31" s="705">
        <f t="shared" si="14"/>
        <v>100</v>
      </c>
      <c r="X31" s="1354"/>
      <c r="Y31" s="3667"/>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7"/>
      <c r="Q32" s="1351" t="str">
        <f t="shared" si="11"/>
        <v>公共部分装修</v>
      </c>
      <c r="R32" s="704" t="s">
        <v>14</v>
      </c>
      <c r="S32" s="705">
        <f t="shared" si="12"/>
        <v>100</v>
      </c>
      <c r="T32" s="704" t="s">
        <v>14</v>
      </c>
      <c r="U32" s="705">
        <f t="shared" si="13"/>
        <v>100</v>
      </c>
      <c r="V32" s="704" t="s">
        <v>14</v>
      </c>
      <c r="W32" s="705">
        <f t="shared" si="14"/>
        <v>100</v>
      </c>
      <c r="X32" s="1354"/>
      <c r="Y32" s="3667"/>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7"/>
      <c r="Q33" s="1351" t="str">
        <f t="shared" si="11"/>
        <v>成新度</v>
      </c>
      <c r="R33" s="704" t="s">
        <v>14</v>
      </c>
      <c r="S33" s="705" t="e">
        <f t="shared" si="12"/>
        <v>#N/A</v>
      </c>
      <c r="T33" s="704" t="s">
        <v>14</v>
      </c>
      <c r="U33" s="705" t="e">
        <f t="shared" si="13"/>
        <v>#N/A</v>
      </c>
      <c r="V33" s="704" t="s">
        <v>14</v>
      </c>
      <c r="W33" s="705" t="e">
        <f t="shared" si="14"/>
        <v>#N/A</v>
      </c>
      <c r="X33" s="1354"/>
      <c r="Y33" s="3667"/>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7"/>
      <c r="Q34" s="1342" t="str">
        <f t="shared" si="11"/>
        <v>物业管理</v>
      </c>
      <c r="R34" s="700" t="s">
        <v>14</v>
      </c>
      <c r="S34" s="701">
        <f t="shared" si="12"/>
        <v>100</v>
      </c>
      <c r="T34" s="700" t="s">
        <v>14</v>
      </c>
      <c r="U34" s="701">
        <f t="shared" si="13"/>
        <v>100</v>
      </c>
      <c r="V34" s="700" t="s">
        <v>14</v>
      </c>
      <c r="W34" s="701">
        <f t="shared" si="14"/>
        <v>100</v>
      </c>
      <c r="X34" s="702"/>
      <c r="Y34" s="3667"/>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7" t="s">
        <v>1694</v>
      </c>
      <c r="Q35" s="1351" t="str">
        <f t="shared" si="11"/>
        <v>市政基础设施</v>
      </c>
      <c r="R35" s="704" t="s">
        <v>14</v>
      </c>
      <c r="S35" s="705">
        <f t="shared" si="12"/>
        <v>100</v>
      </c>
      <c r="T35" s="704" t="s">
        <v>14</v>
      </c>
      <c r="U35" s="705">
        <f t="shared" si="13"/>
        <v>100</v>
      </c>
      <c r="V35" s="704" t="s">
        <v>14</v>
      </c>
      <c r="W35" s="705">
        <f t="shared" si="14"/>
        <v>100</v>
      </c>
      <c r="X35" s="1354"/>
      <c r="Y35" s="3667"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7"/>
      <c r="Q36" s="1351" t="str">
        <f t="shared" si="11"/>
        <v>内部装修</v>
      </c>
      <c r="R36" s="704" t="s">
        <v>14</v>
      </c>
      <c r="S36" s="705">
        <f t="shared" si="12"/>
        <v>100</v>
      </c>
      <c r="T36" s="704" t="s">
        <v>14</v>
      </c>
      <c r="U36" s="705">
        <f t="shared" si="13"/>
        <v>100</v>
      </c>
      <c r="V36" s="704" t="s">
        <v>14</v>
      </c>
      <c r="W36" s="705">
        <f t="shared" si="14"/>
        <v>100</v>
      </c>
      <c r="X36" s="1354"/>
      <c r="Y36" s="3667"/>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7"/>
      <c r="Q37" s="1351" t="str">
        <f t="shared" si="11"/>
        <v>内部装修状况</v>
      </c>
      <c r="R37" s="704" t="s">
        <v>14</v>
      </c>
      <c r="S37" s="705">
        <f t="shared" si="12"/>
        <v>100</v>
      </c>
      <c r="T37" s="704" t="s">
        <v>14</v>
      </c>
      <c r="U37" s="705">
        <f t="shared" si="13"/>
        <v>100</v>
      </c>
      <c r="V37" s="704" t="s">
        <v>14</v>
      </c>
      <c r="W37" s="705">
        <f t="shared" si="14"/>
        <v>100</v>
      </c>
      <c r="X37" s="1354"/>
      <c r="Y37" s="366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7"/>
      <c r="Q38" s="706">
        <f t="shared" si="11"/>
        <v>111</v>
      </c>
      <c r="R38" s="707" t="s">
        <v>14</v>
      </c>
      <c r="S38" s="708">
        <f t="shared" si="12"/>
        <v>100</v>
      </c>
      <c r="T38" s="707" t="s">
        <v>14</v>
      </c>
      <c r="U38" s="708">
        <f t="shared" si="13"/>
        <v>100</v>
      </c>
      <c r="V38" s="707" t="s">
        <v>14</v>
      </c>
      <c r="W38" s="708">
        <f t="shared" si="14"/>
        <v>100</v>
      </c>
      <c r="X38" s="709"/>
      <c r="Y38" s="366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7"/>
      <c r="Q39" s="1351">
        <f t="shared" si="11"/>
        <v>111</v>
      </c>
      <c r="R39" s="704" t="s">
        <v>14</v>
      </c>
      <c r="S39" s="705">
        <f t="shared" si="12"/>
        <v>100</v>
      </c>
      <c r="T39" s="704" t="s">
        <v>14</v>
      </c>
      <c r="U39" s="705">
        <f t="shared" si="13"/>
        <v>100</v>
      </c>
      <c r="V39" s="704" t="s">
        <v>14</v>
      </c>
      <c r="W39" s="705">
        <f t="shared" si="14"/>
        <v>100</v>
      </c>
      <c r="X39" s="1354"/>
      <c r="Y39" s="366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8"/>
      <c r="Q40" s="1351">
        <f t="shared" si="11"/>
        <v>111</v>
      </c>
      <c r="R40" s="704" t="s">
        <v>14</v>
      </c>
      <c r="S40" s="705">
        <f t="shared" si="12"/>
        <v>100</v>
      </c>
      <c r="T40" s="704" t="s">
        <v>14</v>
      </c>
      <c r="U40" s="705">
        <f t="shared" si="13"/>
        <v>100</v>
      </c>
      <c r="V40" s="704" t="s">
        <v>14</v>
      </c>
      <c r="W40" s="705">
        <f t="shared" si="14"/>
        <v>100</v>
      </c>
      <c r="X40" s="1354"/>
      <c r="Y40" s="3668"/>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60" t="str">
        <f>A41</f>
        <v>成交单价（元/平方米）</v>
      </c>
      <c r="Q41" s="3660"/>
      <c r="R41" s="3661">
        <f>E41</f>
        <v>0</v>
      </c>
      <c r="S41" s="3661"/>
      <c r="T41" s="3661">
        <f>G41</f>
        <v>0</v>
      </c>
      <c r="U41" s="3661"/>
      <c r="V41" s="3661">
        <f>I41</f>
        <v>0</v>
      </c>
      <c r="W41" s="3661"/>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受贵公司委托，我公司对北京市房山区怡和南路8号院8号楼1层101房地产抵押价值进行了预评估。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山区怡和南路8号院8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3328</v>
      </c>
      <c r="C1" s="1223" t="s">
        <v>1660</v>
      </c>
      <c r="D1" s="1224"/>
      <c r="E1" s="3428"/>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9"/>
      <c r="M2" s="2730"/>
      <c r="N2" s="2730"/>
      <c r="O2" s="2730"/>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8"/>
      <c r="R3" s="698"/>
      <c r="S3" s="698"/>
      <c r="T3" s="698"/>
      <c r="U3" s="698"/>
      <c r="V3" s="698"/>
      <c r="W3" s="698"/>
      <c r="X3" s="698"/>
      <c r="Y3" s="698"/>
      <c r="Z3" s="698"/>
      <c r="AA3" s="698"/>
      <c r="AB3" s="715"/>
      <c r="AC3" s="712"/>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91" t="s">
        <v>1771</v>
      </c>
      <c r="W4" s="3691"/>
      <c r="X4" s="1354"/>
      <c r="Y4" s="3685" t="s">
        <v>1773</v>
      </c>
      <c r="Z4" s="3686"/>
      <c r="AA4" s="3672" t="s">
        <v>1769</v>
      </c>
      <c r="AB4" s="3673" t="s">
        <v>1770</v>
      </c>
      <c r="AC4" s="3672" t="s">
        <v>1771</v>
      </c>
    </row>
    <row r="5" spans="1:29" ht="15">
      <c r="A5" s="358"/>
      <c r="B5" s="359"/>
      <c r="C5" s="3694" t="s">
        <v>1671</v>
      </c>
      <c r="D5" s="3695"/>
      <c r="E5" s="3701" t="s">
        <v>1672</v>
      </c>
      <c r="F5" s="3702"/>
      <c r="G5" s="3694" t="s">
        <v>1673</v>
      </c>
      <c r="H5" s="3695"/>
      <c r="I5" s="3694" t="s">
        <v>1674</v>
      </c>
      <c r="J5" s="3695"/>
      <c r="K5" s="559"/>
      <c r="L5" s="2710"/>
      <c r="M5" s="2711"/>
      <c r="N5" s="2711"/>
      <c r="O5" s="2711"/>
      <c r="P5" s="3681"/>
      <c r="Q5" s="3682"/>
      <c r="R5" s="3687"/>
      <c r="S5" s="3688"/>
      <c r="T5" s="3687"/>
      <c r="U5" s="3688"/>
      <c r="V5" s="3691"/>
      <c r="W5" s="3691"/>
      <c r="X5" s="1354"/>
      <c r="Y5" s="3687"/>
      <c r="Z5" s="3688"/>
      <c r="AA5" s="3673"/>
      <c r="AB5" s="3673"/>
      <c r="AC5" s="3673"/>
    </row>
    <row r="6" spans="1:29" ht="15.75" thickBot="1">
      <c r="A6" s="360"/>
      <c r="B6" s="361"/>
      <c r="C6" s="3692" t="s">
        <v>1675</v>
      </c>
      <c r="D6" s="3693"/>
      <c r="E6" s="3699" t="s">
        <v>1675</v>
      </c>
      <c r="F6" s="3700"/>
      <c r="G6" s="3692" t="s">
        <v>1675</v>
      </c>
      <c r="H6" s="3693"/>
      <c r="I6" s="3692" t="s">
        <v>1675</v>
      </c>
      <c r="J6" s="3693"/>
      <c r="K6" s="559" t="s">
        <v>1676</v>
      </c>
      <c r="L6" s="2710"/>
      <c r="M6" s="2711"/>
      <c r="N6" s="2711"/>
      <c r="O6" s="2711"/>
      <c r="P6" s="3683"/>
      <c r="Q6" s="3684"/>
      <c r="R6" s="3687"/>
      <c r="S6" s="3688"/>
      <c r="T6" s="3689"/>
      <c r="U6" s="3690"/>
      <c r="V6" s="3691"/>
      <c r="W6" s="3691"/>
      <c r="X6" s="1354"/>
      <c r="Y6" s="3689"/>
      <c r="Z6" s="3690"/>
      <c r="AA6" s="3674"/>
      <c r="AB6" s="3674"/>
      <c r="AC6" s="3674"/>
    </row>
    <row r="7" spans="1:29" s="108" customFormat="1" ht="15.75" thickBot="1">
      <c r="A7" s="362" t="s">
        <v>1677</v>
      </c>
      <c r="B7" s="363"/>
      <c r="C7" s="364">
        <f>'数据-取费表'!B2</f>
        <v>45057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6" t="s">
        <v>1678</v>
      </c>
      <c r="Q7" s="3698"/>
      <c r="R7" s="700" t="s">
        <v>14</v>
      </c>
      <c r="S7" s="701">
        <f t="shared" ref="S7:S14" si="0">F7</f>
        <v>0</v>
      </c>
      <c r="T7" s="700" t="s">
        <v>14</v>
      </c>
      <c r="U7" s="701">
        <f t="shared" ref="U7:U14" si="1">H7</f>
        <v>0</v>
      </c>
      <c r="V7" s="700" t="s">
        <v>14</v>
      </c>
      <c r="W7" s="701">
        <f t="shared" ref="W7:W14"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6" t="s">
        <v>1681</v>
      </c>
      <c r="Q8" s="3697"/>
      <c r="R8" s="700" t="s">
        <v>14</v>
      </c>
      <c r="S8" s="701">
        <f t="shared" si="0"/>
        <v>100</v>
      </c>
      <c r="T8" s="700" t="s">
        <v>14</v>
      </c>
      <c r="U8" s="701">
        <f t="shared" si="1"/>
        <v>100</v>
      </c>
      <c r="V8" s="700" t="s">
        <v>14</v>
      </c>
      <c r="W8" s="701">
        <f t="shared" si="2"/>
        <v>100</v>
      </c>
      <c r="X8" s="702"/>
      <c r="Y8" s="3696" t="s">
        <v>1681</v>
      </c>
      <c r="Z8" s="3697"/>
      <c r="AA8" s="703">
        <f t="shared" ref="AA8:AA36" si="3">D8/F8</f>
        <v>1</v>
      </c>
      <c r="AB8" s="703">
        <f t="shared" ref="AB8:AB36" si="4">D8/H8</f>
        <v>1</v>
      </c>
      <c r="AC8" s="703">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60" t="s">
        <v>1684</v>
      </c>
      <c r="Q9" s="1342" t="str">
        <f t="shared" ref="Q9:Q14" si="6">B9</f>
        <v>用途</v>
      </c>
      <c r="R9" s="700" t="s">
        <v>14</v>
      </c>
      <c r="S9" s="701">
        <f t="shared" si="0"/>
        <v>100</v>
      </c>
      <c r="T9" s="700" t="s">
        <v>14</v>
      </c>
      <c r="U9" s="701">
        <f t="shared" si="1"/>
        <v>100</v>
      </c>
      <c r="V9" s="700" t="s">
        <v>14</v>
      </c>
      <c r="W9" s="701">
        <f t="shared" si="2"/>
        <v>100</v>
      </c>
      <c r="X9" s="702"/>
      <c r="Y9" s="3535"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60"/>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60"/>
      <c r="Q11" s="1342">
        <f t="shared" si="6"/>
        <v>111</v>
      </c>
      <c r="R11" s="700" t="s">
        <v>14</v>
      </c>
      <c r="S11" s="701">
        <f t="shared" si="0"/>
        <v>100</v>
      </c>
      <c r="T11" s="700" t="s">
        <v>14</v>
      </c>
      <c r="U11" s="701">
        <f t="shared" si="1"/>
        <v>100</v>
      </c>
      <c r="V11" s="700" t="s">
        <v>14</v>
      </c>
      <c r="W11" s="701">
        <f t="shared" si="2"/>
        <v>100</v>
      </c>
      <c r="X11" s="702"/>
      <c r="Y11" s="353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60"/>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60"/>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703">
        <f t="shared" si="5"/>
        <v>1</v>
      </c>
    </row>
    <row r="14" spans="1:29" ht="85.5">
      <c r="A14" s="355" t="s">
        <v>1688</v>
      </c>
      <c r="B14" s="577" t="s">
        <v>1831</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62" t="s">
        <v>1689</v>
      </c>
      <c r="Q14" s="1351" t="str">
        <f t="shared" si="6"/>
        <v>交通便捷度</v>
      </c>
      <c r="R14" s="704" t="s">
        <v>14</v>
      </c>
      <c r="S14" s="705">
        <f t="shared" si="0"/>
        <v>100</v>
      </c>
      <c r="T14" s="704" t="s">
        <v>14</v>
      </c>
      <c r="U14" s="705">
        <f t="shared" si="1"/>
        <v>100</v>
      </c>
      <c r="V14" s="704" t="s">
        <v>14</v>
      </c>
      <c r="W14" s="705">
        <f t="shared" si="2"/>
        <v>100</v>
      </c>
      <c r="X14" s="1354"/>
      <c r="Y14" s="3662"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663"/>
      <c r="Q15" s="1351"/>
      <c r="R15" s="704"/>
      <c r="S15" s="705"/>
      <c r="T15" s="704"/>
      <c r="U15" s="705"/>
      <c r="V15" s="704"/>
      <c r="W15" s="705"/>
      <c r="X15" s="1354"/>
      <c r="Y15" s="3663"/>
      <c r="Z15" s="1355"/>
      <c r="AA15" s="1352">
        <v>1</v>
      </c>
      <c r="AB15" s="1352">
        <v>1</v>
      </c>
      <c r="AC15" s="1352">
        <v>1</v>
      </c>
    </row>
    <row r="16" spans="1:29" ht="42.75">
      <c r="A16" s="358"/>
      <c r="B16" s="579"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63"/>
      <c r="Q16" s="1351" t="str">
        <f>B16</f>
        <v>公共配套设施</v>
      </c>
      <c r="R16" s="704" t="s">
        <v>14</v>
      </c>
      <c r="S16" s="705">
        <f>F16</f>
        <v>100</v>
      </c>
      <c r="T16" s="704" t="s">
        <v>14</v>
      </c>
      <c r="U16" s="705">
        <f>H16</f>
        <v>100</v>
      </c>
      <c r="V16" s="704" t="s">
        <v>14</v>
      </c>
      <c r="W16" s="705">
        <f>J16</f>
        <v>100</v>
      </c>
      <c r="X16" s="1354"/>
      <c r="Y16" s="366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7"/>
      <c r="M17" s="2711"/>
      <c r="N17" s="2711"/>
      <c r="O17" s="2711"/>
      <c r="P17" s="3663"/>
      <c r="Q17" s="1351"/>
      <c r="R17" s="704"/>
      <c r="S17" s="705"/>
      <c r="T17" s="704"/>
      <c r="U17" s="705"/>
      <c r="V17" s="704"/>
      <c r="W17" s="705"/>
      <c r="X17" s="1354"/>
      <c r="Y17" s="3663"/>
      <c r="Z17" s="1355"/>
      <c r="AA17" s="1352">
        <v>1</v>
      </c>
      <c r="AB17" s="1352">
        <v>1</v>
      </c>
      <c r="AC17" s="1352">
        <v>1</v>
      </c>
    </row>
    <row r="18" spans="1:29" ht="28.5">
      <c r="A18" s="358"/>
      <c r="B18" s="581"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63"/>
      <c r="Q18" s="1351" t="str">
        <f>B18</f>
        <v>基础设施水平</v>
      </c>
      <c r="R18" s="704" t="s">
        <v>14</v>
      </c>
      <c r="S18" s="705">
        <f>F18</f>
        <v>100</v>
      </c>
      <c r="T18" s="704" t="s">
        <v>14</v>
      </c>
      <c r="U18" s="705">
        <f>H18</f>
        <v>100</v>
      </c>
      <c r="V18" s="704" t="s">
        <v>14</v>
      </c>
      <c r="W18" s="705">
        <f>J18</f>
        <v>100</v>
      </c>
      <c r="X18" s="1354"/>
      <c r="Y18" s="366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7"/>
      <c r="M19" s="2711"/>
      <c r="N19" s="2711"/>
      <c r="O19" s="2711"/>
      <c r="P19" s="3663"/>
      <c r="Q19" s="1351"/>
      <c r="R19" s="704"/>
      <c r="S19" s="705"/>
      <c r="T19" s="704"/>
      <c r="U19" s="705"/>
      <c r="V19" s="704"/>
      <c r="W19" s="705"/>
      <c r="X19" s="1354"/>
      <c r="Y19" s="3663"/>
      <c r="Z19" s="1355"/>
      <c r="AA19" s="1352">
        <v>1</v>
      </c>
      <c r="AB19" s="1352">
        <v>1</v>
      </c>
      <c r="AC19" s="1352">
        <v>1</v>
      </c>
    </row>
    <row r="20" spans="1:29" ht="57">
      <c r="A20" s="358"/>
      <c r="B20" s="579" t="s">
        <v>1832</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63"/>
      <c r="Q20" s="1351" t="str">
        <f>B20</f>
        <v>自然及人文环境</v>
      </c>
      <c r="R20" s="704" t="s">
        <v>14</v>
      </c>
      <c r="S20" s="705">
        <f>F20</f>
        <v>100</v>
      </c>
      <c r="T20" s="704" t="s">
        <v>14</v>
      </c>
      <c r="U20" s="705">
        <f>H20</f>
        <v>100</v>
      </c>
      <c r="V20" s="704" t="s">
        <v>14</v>
      </c>
      <c r="W20" s="705">
        <f>J20</f>
        <v>100</v>
      </c>
      <c r="X20" s="1354"/>
      <c r="Y20" s="366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663"/>
      <c r="Q21" s="1351"/>
      <c r="R21" s="704"/>
      <c r="S21" s="705"/>
      <c r="T21" s="704"/>
      <c r="U21" s="705"/>
      <c r="V21" s="704"/>
      <c r="W21" s="705"/>
      <c r="X21" s="1354"/>
      <c r="Y21" s="3663"/>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63"/>
      <c r="Q22" s="1351" t="str">
        <f>B22</f>
        <v>楼层</v>
      </c>
      <c r="R22" s="704" t="s">
        <v>14</v>
      </c>
      <c r="S22" s="705">
        <f>F22</f>
        <v>100</v>
      </c>
      <c r="T22" s="704" t="s">
        <v>14</v>
      </c>
      <c r="U22" s="705">
        <f>H22</f>
        <v>100</v>
      </c>
      <c r="V22" s="704" t="s">
        <v>14</v>
      </c>
      <c r="W22" s="705">
        <f>J22</f>
        <v>100</v>
      </c>
      <c r="X22" s="1354"/>
      <c r="Y22" s="366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63"/>
      <c r="Q23" s="1351">
        <f>B23</f>
        <v>111</v>
      </c>
      <c r="R23" s="704" t="s">
        <v>14</v>
      </c>
      <c r="S23" s="705">
        <f>F23</f>
        <v>100</v>
      </c>
      <c r="T23" s="704" t="s">
        <v>14</v>
      </c>
      <c r="U23" s="705">
        <f>H23</f>
        <v>100</v>
      </c>
      <c r="V23" s="704" t="s">
        <v>14</v>
      </c>
      <c r="W23" s="705">
        <f>J23</f>
        <v>100</v>
      </c>
      <c r="X23" s="1354"/>
      <c r="Y23" s="366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63"/>
      <c r="Q24" s="1351">
        <f t="shared" ref="Q24:Q36" si="11">B24</f>
        <v>111</v>
      </c>
      <c r="R24" s="704" t="s">
        <v>14</v>
      </c>
      <c r="S24" s="705">
        <f>F24</f>
        <v>100</v>
      </c>
      <c r="T24" s="704" t="s">
        <v>14</v>
      </c>
      <c r="U24" s="705">
        <f>H24</f>
        <v>100</v>
      </c>
      <c r="V24" s="704" t="s">
        <v>14</v>
      </c>
      <c r="W24" s="705">
        <f>J24</f>
        <v>100</v>
      </c>
      <c r="X24" s="1354"/>
      <c r="Y24" s="366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63"/>
      <c r="Q25" s="1342">
        <f t="shared" si="11"/>
        <v>111</v>
      </c>
      <c r="R25" s="700" t="s">
        <v>14</v>
      </c>
      <c r="S25" s="701">
        <f>F25</f>
        <v>100</v>
      </c>
      <c r="T25" s="700" t="s">
        <v>14</v>
      </c>
      <c r="U25" s="701">
        <f>H25</f>
        <v>100</v>
      </c>
      <c r="V25" s="700" t="s">
        <v>14</v>
      </c>
      <c r="W25" s="701">
        <f>J25</f>
        <v>100</v>
      </c>
      <c r="X25" s="702"/>
      <c r="Y25" s="3663"/>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18"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7"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67"/>
      <c r="Q27" s="706" t="str">
        <f t="shared" si="11"/>
        <v>项目停车位配比</v>
      </c>
      <c r="R27" s="707" t="s">
        <v>14</v>
      </c>
      <c r="S27" s="708">
        <f t="shared" si="12"/>
        <v>100</v>
      </c>
      <c r="T27" s="707" t="s">
        <v>14</v>
      </c>
      <c r="U27" s="708">
        <f t="shared" si="13"/>
        <v>100</v>
      </c>
      <c r="V27" s="707" t="s">
        <v>14</v>
      </c>
      <c r="W27" s="708">
        <f t="shared" si="14"/>
        <v>100</v>
      </c>
      <c r="X27" s="709"/>
      <c r="Y27" s="3667"/>
      <c r="Z27" s="710"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67"/>
      <c r="Q28" s="1351" t="str">
        <f t="shared" si="11"/>
        <v>公共部分装修</v>
      </c>
      <c r="R28" s="704" t="s">
        <v>14</v>
      </c>
      <c r="S28" s="705">
        <f t="shared" si="12"/>
        <v>100</v>
      </c>
      <c r="T28" s="704" t="s">
        <v>14</v>
      </c>
      <c r="U28" s="705">
        <f t="shared" si="13"/>
        <v>100</v>
      </c>
      <c r="V28" s="704" t="s">
        <v>14</v>
      </c>
      <c r="W28" s="705">
        <f t="shared" si="14"/>
        <v>100</v>
      </c>
      <c r="X28" s="1354"/>
      <c r="Y28" s="3667"/>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67"/>
      <c r="Q29" s="1351" t="str">
        <f t="shared" si="11"/>
        <v>成新率</v>
      </c>
      <c r="R29" s="704" t="s">
        <v>14</v>
      </c>
      <c r="S29" s="705" t="e">
        <f t="shared" si="12"/>
        <v>#N/A</v>
      </c>
      <c r="T29" s="704" t="s">
        <v>14</v>
      </c>
      <c r="U29" s="705" t="e">
        <f t="shared" si="13"/>
        <v>#N/A</v>
      </c>
      <c r="V29" s="704" t="s">
        <v>14</v>
      </c>
      <c r="W29" s="705" t="e">
        <f t="shared" si="14"/>
        <v>#N/A</v>
      </c>
      <c r="X29" s="1354"/>
      <c r="Y29" s="3667"/>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67"/>
      <c r="Q30" s="1351" t="str">
        <f t="shared" si="11"/>
        <v>物业等级</v>
      </c>
      <c r="R30" s="704" t="s">
        <v>14</v>
      </c>
      <c r="S30" s="705">
        <f t="shared" si="12"/>
        <v>100</v>
      </c>
      <c r="T30" s="704" t="s">
        <v>14</v>
      </c>
      <c r="U30" s="705">
        <f t="shared" si="13"/>
        <v>100</v>
      </c>
      <c r="V30" s="704" t="s">
        <v>14</v>
      </c>
      <c r="W30" s="705">
        <f t="shared" si="14"/>
        <v>100</v>
      </c>
      <c r="X30" s="1354"/>
      <c r="Y30" s="3667"/>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67"/>
      <c r="Q31" s="1342" t="str">
        <f t="shared" si="11"/>
        <v>停车位面积</v>
      </c>
      <c r="R31" s="700" t="s">
        <v>14</v>
      </c>
      <c r="S31" s="701" t="e">
        <f t="shared" si="12"/>
        <v>#N/A</v>
      </c>
      <c r="T31" s="700" t="s">
        <v>14</v>
      </c>
      <c r="U31" s="701" t="e">
        <f t="shared" si="13"/>
        <v>#N/A</v>
      </c>
      <c r="V31" s="700" t="s">
        <v>14</v>
      </c>
      <c r="W31" s="701" t="e">
        <f t="shared" si="14"/>
        <v>#N/A</v>
      </c>
      <c r="X31" s="702"/>
      <c r="Y31" s="3667"/>
      <c r="Z31" s="52" t="str">
        <f t="shared" si="15"/>
        <v>停车位面积</v>
      </c>
      <c r="AA31" s="703" t="e">
        <f t="shared" si="3"/>
        <v>#N/A</v>
      </c>
      <c r="AB31" s="703" t="e">
        <f t="shared" si="4"/>
        <v>#N/A</v>
      </c>
      <c r="AC31" s="703"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67" t="s">
        <v>1694</v>
      </c>
      <c r="Q32" s="1351" t="str">
        <f t="shared" si="11"/>
        <v>车位类型</v>
      </c>
      <c r="R32" s="704" t="s">
        <v>14</v>
      </c>
      <c r="S32" s="705">
        <f t="shared" si="12"/>
        <v>100</v>
      </c>
      <c r="T32" s="704" t="s">
        <v>14</v>
      </c>
      <c r="U32" s="705">
        <f t="shared" si="13"/>
        <v>100</v>
      </c>
      <c r="V32" s="704" t="s">
        <v>14</v>
      </c>
      <c r="W32" s="705">
        <f t="shared" si="14"/>
        <v>100</v>
      </c>
      <c r="X32" s="1354"/>
      <c r="Y32" s="3667"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67"/>
      <c r="Q33" s="1351" t="str">
        <f t="shared" si="11"/>
        <v>是否直接入户</v>
      </c>
      <c r="R33" s="704" t="s">
        <v>14</v>
      </c>
      <c r="S33" s="705">
        <f t="shared" si="12"/>
        <v>100</v>
      </c>
      <c r="T33" s="704" t="s">
        <v>14</v>
      </c>
      <c r="U33" s="705">
        <f t="shared" si="13"/>
        <v>100</v>
      </c>
      <c r="V33" s="704" t="s">
        <v>14</v>
      </c>
      <c r="W33" s="705">
        <f t="shared" si="14"/>
        <v>100</v>
      </c>
      <c r="X33" s="1354"/>
      <c r="Y33" s="366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67"/>
      <c r="Q34" s="1351">
        <f t="shared" si="11"/>
        <v>111</v>
      </c>
      <c r="R34" s="704" t="s">
        <v>14</v>
      </c>
      <c r="S34" s="705">
        <f t="shared" si="12"/>
        <v>100</v>
      </c>
      <c r="T34" s="704" t="s">
        <v>14</v>
      </c>
      <c r="U34" s="705">
        <f t="shared" si="13"/>
        <v>100</v>
      </c>
      <c r="V34" s="704" t="s">
        <v>14</v>
      </c>
      <c r="W34" s="705">
        <f t="shared" si="14"/>
        <v>100</v>
      </c>
      <c r="X34" s="1354"/>
      <c r="Y34" s="366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67"/>
      <c r="Q35" s="706">
        <f t="shared" si="11"/>
        <v>111</v>
      </c>
      <c r="R35" s="707" t="s">
        <v>14</v>
      </c>
      <c r="S35" s="708">
        <f t="shared" si="12"/>
        <v>100</v>
      </c>
      <c r="T35" s="707" t="s">
        <v>14</v>
      </c>
      <c r="U35" s="708">
        <f t="shared" si="13"/>
        <v>100</v>
      </c>
      <c r="V35" s="707" t="s">
        <v>14</v>
      </c>
      <c r="W35" s="708">
        <f t="shared" si="14"/>
        <v>100</v>
      </c>
      <c r="X35" s="709"/>
      <c r="Y35" s="3667"/>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67"/>
      <c r="Q36" s="1351">
        <f t="shared" si="11"/>
        <v>111</v>
      </c>
      <c r="R36" s="704" t="s">
        <v>14</v>
      </c>
      <c r="S36" s="705">
        <f t="shared" si="12"/>
        <v>100</v>
      </c>
      <c r="T36" s="704" t="s">
        <v>14</v>
      </c>
      <c r="U36" s="705">
        <f t="shared" si="13"/>
        <v>100</v>
      </c>
      <c r="V36" s="704" t="s">
        <v>14</v>
      </c>
      <c r="W36" s="705">
        <f t="shared" si="14"/>
        <v>100</v>
      </c>
      <c r="X36" s="1354"/>
      <c r="Y36" s="3667"/>
      <c r="Z36" s="1355">
        <f t="shared" si="15"/>
        <v>111</v>
      </c>
      <c r="AA36" s="1352">
        <f t="shared" si="3"/>
        <v>1</v>
      </c>
      <c r="AB36" s="1352">
        <f t="shared" si="4"/>
        <v>1</v>
      </c>
      <c r="AC36" s="1352">
        <f t="shared" si="5"/>
        <v>1</v>
      </c>
    </row>
    <row r="37" spans="1:29" ht="15">
      <c r="A37" s="430" t="s">
        <v>1842</v>
      </c>
      <c r="B37" s="1972" t="s">
        <v>3349</v>
      </c>
      <c r="C37" s="1153" t="s">
        <v>0</v>
      </c>
      <c r="D37" s="1154"/>
      <c r="E37" s="1155"/>
      <c r="F37" s="1156"/>
      <c r="G37" s="1157"/>
      <c r="H37" s="1158"/>
      <c r="I37" s="1155"/>
      <c r="J37" s="1158"/>
      <c r="K37" s="568"/>
      <c r="L37" s="2719"/>
      <c r="M37" s="2720"/>
      <c r="N37" s="2711"/>
      <c r="O37" s="2720"/>
      <c r="P37" s="3660" t="str">
        <f>A37</f>
        <v>成交单价</v>
      </c>
      <c r="Q37" s="3660"/>
      <c r="R37" s="3661">
        <f>E37</f>
        <v>0</v>
      </c>
      <c r="S37" s="3661"/>
      <c r="T37" s="3661">
        <f>G37</f>
        <v>0</v>
      </c>
      <c r="U37" s="3661"/>
      <c r="V37" s="3661">
        <f>I37</f>
        <v>0</v>
      </c>
      <c r="W37" s="3661"/>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19"/>
      <c r="M38" s="2720"/>
      <c r="N38" s="2720"/>
      <c r="O38" s="2720"/>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9"/>
      <c r="L39" s="2719"/>
      <c r="M39" s="2720"/>
      <c r="N39" s="2720"/>
      <c r="O39" s="2720"/>
      <c r="P39" s="3657" t="str">
        <f>A39</f>
        <v>估价对象XX用房的比较价值（楼面单价，元/平方米）</v>
      </c>
      <c r="Q39" s="3658"/>
      <c r="R39" s="3719" t="e">
        <f>IF(F1="售价",ROUND(IF(D38="简单平均",AVERAGE(R38:W38),R38*F38+T38*H38+V38*J38),0),ROUND(IF(D38="简单平均",AVERAGE(R38:V38),R38*F38+T38*H38+V38*J38),1))</f>
        <v>#DIV/0!</v>
      </c>
      <c r="S39" s="3719"/>
      <c r="T39" s="3719"/>
      <c r="U39" s="3719"/>
      <c r="V39" s="3719"/>
      <c r="W39" s="3719"/>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1848</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91" t="s">
        <v>1771</v>
      </c>
      <c r="W4" s="3691"/>
      <c r="X4" s="1354"/>
      <c r="Y4" s="3685" t="s">
        <v>1773</v>
      </c>
      <c r="Z4" s="3686"/>
      <c r="AA4" s="3672" t="s">
        <v>1769</v>
      </c>
      <c r="AB4" s="3673" t="s">
        <v>1770</v>
      </c>
      <c r="AC4" s="3672" t="s">
        <v>1771</v>
      </c>
    </row>
    <row r="5" spans="1:29" ht="15">
      <c r="A5" s="358"/>
      <c r="B5" s="359"/>
      <c r="C5" s="3694" t="s">
        <v>1671</v>
      </c>
      <c r="D5" s="3695"/>
      <c r="E5" s="3701" t="s">
        <v>1672</v>
      </c>
      <c r="F5" s="3702"/>
      <c r="G5" s="3694" t="s">
        <v>1673</v>
      </c>
      <c r="H5" s="3695"/>
      <c r="I5" s="3694" t="s">
        <v>1674</v>
      </c>
      <c r="J5" s="3695"/>
      <c r="K5" s="559"/>
      <c r="L5" s="2710"/>
      <c r="M5" s="2711"/>
      <c r="N5" s="2711"/>
      <c r="O5" s="2711"/>
      <c r="P5" s="3681"/>
      <c r="Q5" s="3682"/>
      <c r="R5" s="3687"/>
      <c r="S5" s="3688"/>
      <c r="T5" s="3687"/>
      <c r="U5" s="3688"/>
      <c r="V5" s="3691"/>
      <c r="W5" s="3691"/>
      <c r="X5" s="1354"/>
      <c r="Y5" s="3687"/>
      <c r="Z5" s="3688"/>
      <c r="AA5" s="3673"/>
      <c r="AB5" s="3673"/>
      <c r="AC5" s="3673"/>
    </row>
    <row r="6" spans="1:29" ht="15.75" thickBot="1">
      <c r="A6" s="360"/>
      <c r="B6" s="361"/>
      <c r="C6" s="3692" t="s">
        <v>1675</v>
      </c>
      <c r="D6" s="3693"/>
      <c r="E6" s="3699" t="s">
        <v>1675</v>
      </c>
      <c r="F6" s="3700"/>
      <c r="G6" s="3692" t="s">
        <v>1675</v>
      </c>
      <c r="H6" s="3693"/>
      <c r="I6" s="3692" t="s">
        <v>1675</v>
      </c>
      <c r="J6" s="3693"/>
      <c r="K6" s="559" t="s">
        <v>1676</v>
      </c>
      <c r="L6" s="2710"/>
      <c r="M6" s="2711"/>
      <c r="N6" s="2711"/>
      <c r="O6" s="2711"/>
      <c r="P6" s="3683"/>
      <c r="Q6" s="3684"/>
      <c r="R6" s="3687"/>
      <c r="S6" s="3688"/>
      <c r="T6" s="3689"/>
      <c r="U6" s="3690"/>
      <c r="V6" s="3691"/>
      <c r="W6" s="3691"/>
      <c r="X6" s="1354"/>
      <c r="Y6" s="3689"/>
      <c r="Z6" s="3690"/>
      <c r="AA6" s="3674"/>
      <c r="AB6" s="3674"/>
      <c r="AC6" s="3674"/>
    </row>
    <row r="7" spans="1:29" s="108" customFormat="1" ht="15.75" thickBot="1">
      <c r="A7" s="362" t="s">
        <v>1677</v>
      </c>
      <c r="B7" s="363"/>
      <c r="C7" s="364">
        <f>'数据-取费表'!B2</f>
        <v>45057</v>
      </c>
      <c r="D7" s="365">
        <v>100</v>
      </c>
      <c r="E7" s="366"/>
      <c r="F7" s="367">
        <f>SUMIF(46:46,YEAR(E7)&amp;"-"&amp;MONTH(E7),47:47)</f>
        <v>0</v>
      </c>
      <c r="G7" s="1973"/>
      <c r="H7" s="365">
        <f>SUMIF(46:46,YEAR(G7)&amp;"-"&amp;MONTH(G7),47:47)</f>
        <v>0</v>
      </c>
      <c r="I7" s="366"/>
      <c r="J7" s="365">
        <f>SUMIF(46:46,YEAR(I7)&amp;"-"&amp;MONTH(I7),47:47)</f>
        <v>0</v>
      </c>
      <c r="K7" s="560"/>
      <c r="L7" s="2712"/>
      <c r="M7" s="2713"/>
      <c r="N7" s="2713"/>
      <c r="O7" s="2713"/>
      <c r="P7" s="3696" t="s">
        <v>1678</v>
      </c>
      <c r="Q7" s="3698"/>
      <c r="R7" s="700" t="s">
        <v>14</v>
      </c>
      <c r="S7" s="701">
        <f t="shared" ref="S7:S14" si="0">F7</f>
        <v>0</v>
      </c>
      <c r="T7" s="700" t="s">
        <v>14</v>
      </c>
      <c r="U7" s="701">
        <f t="shared" ref="U7:U14" si="1">H7</f>
        <v>0</v>
      </c>
      <c r="V7" s="700" t="s">
        <v>14</v>
      </c>
      <c r="W7" s="701">
        <f t="shared" ref="W7:W14"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6" t="s">
        <v>1681</v>
      </c>
      <c r="Q8" s="3697"/>
      <c r="R8" s="700" t="s">
        <v>14</v>
      </c>
      <c r="S8" s="701">
        <f t="shared" si="0"/>
        <v>100</v>
      </c>
      <c r="T8" s="700" t="s">
        <v>14</v>
      </c>
      <c r="U8" s="701">
        <f t="shared" si="1"/>
        <v>100</v>
      </c>
      <c r="V8" s="700" t="s">
        <v>14</v>
      </c>
      <c r="W8" s="701">
        <f t="shared" si="2"/>
        <v>100</v>
      </c>
      <c r="X8" s="702"/>
      <c r="Y8" s="3696" t="s">
        <v>1681</v>
      </c>
      <c r="Z8" s="3697"/>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60" t="s">
        <v>1684</v>
      </c>
      <c r="Q9" s="1342" t="str">
        <f t="shared" ref="Q9:Q14" si="6">B9</f>
        <v>用途</v>
      </c>
      <c r="R9" s="700" t="s">
        <v>14</v>
      </c>
      <c r="S9" s="701">
        <f t="shared" si="0"/>
        <v>100</v>
      </c>
      <c r="T9" s="700" t="s">
        <v>14</v>
      </c>
      <c r="U9" s="701">
        <f t="shared" si="1"/>
        <v>100</v>
      </c>
      <c r="V9" s="700" t="s">
        <v>14</v>
      </c>
      <c r="W9" s="701">
        <f t="shared" si="2"/>
        <v>100</v>
      </c>
      <c r="X9" s="702"/>
      <c r="Y9" s="3535"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60"/>
      <c r="Q10" s="1342" t="str">
        <f t="shared" si="6"/>
        <v>土地使用年限（年）</v>
      </c>
      <c r="R10" s="700" t="s">
        <v>14</v>
      </c>
      <c r="S10" s="701">
        <f t="shared" si="0"/>
        <v>100</v>
      </c>
      <c r="T10" s="700" t="s">
        <v>14</v>
      </c>
      <c r="U10" s="701">
        <f t="shared" si="1"/>
        <v>100</v>
      </c>
      <c r="V10" s="700" t="s">
        <v>14</v>
      </c>
      <c r="W10" s="701">
        <f t="shared" si="2"/>
        <v>100</v>
      </c>
      <c r="X10" s="702"/>
      <c r="Y10" s="353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60"/>
      <c r="Q11" s="1342">
        <f t="shared" si="6"/>
        <v>111</v>
      </c>
      <c r="R11" s="700" t="s">
        <v>14</v>
      </c>
      <c r="S11" s="701">
        <f t="shared" si="0"/>
        <v>100</v>
      </c>
      <c r="T11" s="700" t="s">
        <v>14</v>
      </c>
      <c r="U11" s="701">
        <f t="shared" si="1"/>
        <v>100</v>
      </c>
      <c r="V11" s="700" t="s">
        <v>14</v>
      </c>
      <c r="W11" s="701">
        <f t="shared" si="2"/>
        <v>100</v>
      </c>
      <c r="X11" s="702"/>
      <c r="Y11" s="353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60"/>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7"/>
      <c r="M13" s="2711"/>
      <c r="N13" s="2711"/>
      <c r="O13" s="2769"/>
      <c r="P13" s="3660"/>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62" t="s">
        <v>1689</v>
      </c>
      <c r="Q14" s="1351" t="str">
        <f t="shared" si="6"/>
        <v>交通便捷度</v>
      </c>
      <c r="R14" s="704" t="s">
        <v>14</v>
      </c>
      <c r="S14" s="705">
        <f t="shared" si="0"/>
        <v>100</v>
      </c>
      <c r="T14" s="704" t="s">
        <v>14</v>
      </c>
      <c r="U14" s="705">
        <f t="shared" si="1"/>
        <v>100</v>
      </c>
      <c r="V14" s="704" t="s">
        <v>14</v>
      </c>
      <c r="W14" s="705">
        <f t="shared" si="2"/>
        <v>100</v>
      </c>
      <c r="X14" s="1354"/>
      <c r="Y14" s="3662"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663"/>
      <c r="Q15" s="1351"/>
      <c r="R15" s="704"/>
      <c r="S15" s="705"/>
      <c r="T15" s="704"/>
      <c r="U15" s="705"/>
      <c r="V15" s="704"/>
      <c r="W15" s="705"/>
      <c r="X15" s="1354"/>
      <c r="Y15" s="3663"/>
      <c r="Z15" s="1355"/>
      <c r="AA15" s="1352">
        <v>1</v>
      </c>
      <c r="AB15" s="1352">
        <v>1</v>
      </c>
      <c r="AC15" s="1352">
        <v>1</v>
      </c>
    </row>
    <row r="16" spans="1:29" ht="42.7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63"/>
      <c r="Q16" s="1351" t="str">
        <f>B16</f>
        <v>公共配套设施</v>
      </c>
      <c r="R16" s="704" t="s">
        <v>14</v>
      </c>
      <c r="S16" s="705">
        <f>F16</f>
        <v>100</v>
      </c>
      <c r="T16" s="704" t="s">
        <v>14</v>
      </c>
      <c r="U16" s="705">
        <f>H16</f>
        <v>100</v>
      </c>
      <c r="V16" s="704" t="s">
        <v>14</v>
      </c>
      <c r="W16" s="705">
        <f>J16</f>
        <v>100</v>
      </c>
      <c r="X16" s="1354"/>
      <c r="Y16" s="366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7"/>
      <c r="M17" s="2711"/>
      <c r="N17" s="2711"/>
      <c r="O17" s="2769"/>
      <c r="P17" s="3663"/>
      <c r="Q17" s="1351"/>
      <c r="R17" s="704"/>
      <c r="S17" s="705"/>
      <c r="T17" s="704"/>
      <c r="U17" s="705"/>
      <c r="V17" s="704"/>
      <c r="W17" s="705"/>
      <c r="X17" s="1354"/>
      <c r="Y17" s="3663"/>
      <c r="Z17" s="1355"/>
      <c r="AA17" s="1352">
        <v>1</v>
      </c>
      <c r="AB17" s="1352">
        <v>1</v>
      </c>
      <c r="AC17" s="1352">
        <v>1</v>
      </c>
    </row>
    <row r="18" spans="1:29" ht="28.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63"/>
      <c r="Q18" s="1351" t="str">
        <f>B18</f>
        <v>基础设施水平</v>
      </c>
      <c r="R18" s="704" t="s">
        <v>14</v>
      </c>
      <c r="S18" s="705">
        <f>F18</f>
        <v>100</v>
      </c>
      <c r="T18" s="704" t="s">
        <v>14</v>
      </c>
      <c r="U18" s="705">
        <f>H18</f>
        <v>100</v>
      </c>
      <c r="V18" s="704" t="s">
        <v>14</v>
      </c>
      <c r="W18" s="705">
        <f>J18</f>
        <v>100</v>
      </c>
      <c r="X18" s="1354"/>
      <c r="Y18" s="366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7"/>
      <c r="M19" s="2711"/>
      <c r="N19" s="2711"/>
      <c r="O19" s="2769"/>
      <c r="P19" s="3663"/>
      <c r="Q19" s="1351"/>
      <c r="R19" s="704"/>
      <c r="S19" s="705"/>
      <c r="T19" s="704"/>
      <c r="U19" s="705"/>
      <c r="V19" s="704"/>
      <c r="W19" s="705"/>
      <c r="X19" s="1354"/>
      <c r="Y19" s="3663"/>
      <c r="Z19" s="1355"/>
      <c r="AA19" s="1352">
        <v>1</v>
      </c>
      <c r="AB19" s="1352">
        <v>1</v>
      </c>
      <c r="AC19" s="1352">
        <v>1</v>
      </c>
    </row>
    <row r="20" spans="1:29" ht="57">
      <c r="A20" s="379"/>
      <c r="B20" s="402" t="s">
        <v>1832</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63"/>
      <c r="Q20" s="1351" t="str">
        <f>B20</f>
        <v>自然及人文环境</v>
      </c>
      <c r="R20" s="704" t="s">
        <v>14</v>
      </c>
      <c r="S20" s="705">
        <f>F20</f>
        <v>100</v>
      </c>
      <c r="T20" s="704" t="s">
        <v>14</v>
      </c>
      <c r="U20" s="705">
        <f>H20</f>
        <v>100</v>
      </c>
      <c r="V20" s="704" t="s">
        <v>14</v>
      </c>
      <c r="W20" s="705">
        <f>J20</f>
        <v>100</v>
      </c>
      <c r="X20" s="1354"/>
      <c r="Y20" s="366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663"/>
      <c r="Q21" s="1351"/>
      <c r="R21" s="704"/>
      <c r="S21" s="705"/>
      <c r="T21" s="704"/>
      <c r="U21" s="705"/>
      <c r="V21" s="704"/>
      <c r="W21" s="705"/>
      <c r="X21" s="1354"/>
      <c r="Y21" s="3663"/>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63"/>
      <c r="Q22" s="1351" t="str">
        <f>B22</f>
        <v>楼层</v>
      </c>
      <c r="R22" s="704" t="s">
        <v>14</v>
      </c>
      <c r="S22" s="705">
        <f>F22</f>
        <v>100</v>
      </c>
      <c r="T22" s="704" t="s">
        <v>14</v>
      </c>
      <c r="U22" s="705">
        <f>H22</f>
        <v>100</v>
      </c>
      <c r="V22" s="704" t="s">
        <v>14</v>
      </c>
      <c r="W22" s="705">
        <f>J22</f>
        <v>100</v>
      </c>
      <c r="X22" s="1354"/>
      <c r="Y22" s="366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63"/>
      <c r="Q23" s="1351">
        <f>B23</f>
        <v>111</v>
      </c>
      <c r="R23" s="704" t="s">
        <v>14</v>
      </c>
      <c r="S23" s="705">
        <f>F23</f>
        <v>100</v>
      </c>
      <c r="T23" s="704" t="s">
        <v>14</v>
      </c>
      <c r="U23" s="705">
        <f>H23</f>
        <v>100</v>
      </c>
      <c r="V23" s="704" t="s">
        <v>14</v>
      </c>
      <c r="W23" s="705">
        <f>J23</f>
        <v>100</v>
      </c>
      <c r="X23" s="1354"/>
      <c r="Y23" s="366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63"/>
      <c r="Q24" s="1351">
        <f t="shared" ref="Q24:Q34" si="11">B24</f>
        <v>111</v>
      </c>
      <c r="R24" s="704" t="s">
        <v>14</v>
      </c>
      <c r="S24" s="705">
        <f>F24</f>
        <v>100</v>
      </c>
      <c r="T24" s="704" t="s">
        <v>14</v>
      </c>
      <c r="U24" s="705">
        <f>H24</f>
        <v>100</v>
      </c>
      <c r="V24" s="704" t="s">
        <v>14</v>
      </c>
      <c r="W24" s="705">
        <f>J24</f>
        <v>100</v>
      </c>
      <c r="X24" s="1354"/>
      <c r="Y24" s="366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2"/>
      <c r="M25" s="2713"/>
      <c r="N25" s="2713"/>
      <c r="O25" s="2767"/>
      <c r="P25" s="3663"/>
      <c r="Q25" s="1342">
        <f t="shared" si="11"/>
        <v>111</v>
      </c>
      <c r="R25" s="700" t="s">
        <v>14</v>
      </c>
      <c r="S25" s="701">
        <f>F25</f>
        <v>100</v>
      </c>
      <c r="T25" s="700" t="s">
        <v>14</v>
      </c>
      <c r="U25" s="701">
        <f>H25</f>
        <v>100</v>
      </c>
      <c r="V25" s="700" t="s">
        <v>14</v>
      </c>
      <c r="W25" s="701">
        <f>J25</f>
        <v>100</v>
      </c>
      <c r="X25" s="702"/>
      <c r="Y25" s="3663"/>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17"/>
      <c r="M26" s="2711"/>
      <c r="N26" s="2711"/>
      <c r="O26" s="2769"/>
      <c r="P26" s="3718"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7"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67"/>
      <c r="Q27" s="706" t="str">
        <f t="shared" si="11"/>
        <v>成新率</v>
      </c>
      <c r="R27" s="707" t="s">
        <v>14</v>
      </c>
      <c r="S27" s="708" t="e">
        <f t="shared" si="12"/>
        <v>#N/A</v>
      </c>
      <c r="T27" s="707" t="s">
        <v>14</v>
      </c>
      <c r="U27" s="708" t="e">
        <f t="shared" si="13"/>
        <v>#N/A</v>
      </c>
      <c r="V27" s="707" t="s">
        <v>14</v>
      </c>
      <c r="W27" s="708" t="e">
        <f t="shared" si="14"/>
        <v>#N/A</v>
      </c>
      <c r="X27" s="709"/>
      <c r="Y27" s="3667"/>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67"/>
      <c r="Q28" s="1351" t="str">
        <f t="shared" si="11"/>
        <v>物业等级</v>
      </c>
      <c r="R28" s="704" t="s">
        <v>14</v>
      </c>
      <c r="S28" s="705">
        <f t="shared" si="12"/>
        <v>100</v>
      </c>
      <c r="T28" s="704" t="s">
        <v>14</v>
      </c>
      <c r="U28" s="705">
        <f t="shared" si="13"/>
        <v>100</v>
      </c>
      <c r="V28" s="704" t="s">
        <v>14</v>
      </c>
      <c r="W28" s="705">
        <f t="shared" si="14"/>
        <v>100</v>
      </c>
      <c r="X28" s="1354"/>
      <c r="Y28" s="3667"/>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67"/>
      <c r="Q29" s="1351" t="str">
        <f t="shared" si="11"/>
        <v>有无电梯</v>
      </c>
      <c r="R29" s="704" t="s">
        <v>14</v>
      </c>
      <c r="S29" s="705">
        <f t="shared" si="12"/>
        <v>100</v>
      </c>
      <c r="T29" s="704" t="s">
        <v>14</v>
      </c>
      <c r="U29" s="705">
        <f t="shared" si="13"/>
        <v>100</v>
      </c>
      <c r="V29" s="704" t="s">
        <v>14</v>
      </c>
      <c r="W29" s="705">
        <f t="shared" si="14"/>
        <v>100</v>
      </c>
      <c r="X29" s="1354"/>
      <c r="Y29" s="3667"/>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67"/>
      <c r="Q30" s="1351" t="str">
        <f t="shared" si="11"/>
        <v>建筑面积</v>
      </c>
      <c r="R30" s="704" t="s">
        <v>14</v>
      </c>
      <c r="S30" s="705" t="e">
        <f t="shared" si="12"/>
        <v>#N/A</v>
      </c>
      <c r="T30" s="704" t="s">
        <v>14</v>
      </c>
      <c r="U30" s="705" t="e">
        <f t="shared" si="13"/>
        <v>#N/A</v>
      </c>
      <c r="V30" s="704" t="s">
        <v>14</v>
      </c>
      <c r="W30" s="705" t="e">
        <f t="shared" si="14"/>
        <v>#N/A</v>
      </c>
      <c r="X30" s="1354"/>
      <c r="Y30" s="3667"/>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67"/>
      <c r="Q31" s="1342" t="str">
        <f t="shared" si="11"/>
        <v>是否封闭</v>
      </c>
      <c r="R31" s="700" t="s">
        <v>14</v>
      </c>
      <c r="S31" s="701">
        <f t="shared" si="12"/>
        <v>100</v>
      </c>
      <c r="T31" s="700" t="s">
        <v>14</v>
      </c>
      <c r="U31" s="701">
        <f t="shared" si="13"/>
        <v>100</v>
      </c>
      <c r="V31" s="700" t="s">
        <v>14</v>
      </c>
      <c r="W31" s="701">
        <f t="shared" si="14"/>
        <v>100</v>
      </c>
      <c r="X31" s="702"/>
      <c r="Y31" s="366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67" t="s">
        <v>1694</v>
      </c>
      <c r="Q32" s="1351">
        <f t="shared" si="11"/>
        <v>111</v>
      </c>
      <c r="R32" s="704" t="s">
        <v>14</v>
      </c>
      <c r="S32" s="705">
        <f t="shared" si="12"/>
        <v>100</v>
      </c>
      <c r="T32" s="704" t="s">
        <v>14</v>
      </c>
      <c r="U32" s="705">
        <f t="shared" si="13"/>
        <v>100</v>
      </c>
      <c r="V32" s="704" t="s">
        <v>14</v>
      </c>
      <c r="W32" s="705">
        <f t="shared" si="14"/>
        <v>100</v>
      </c>
      <c r="X32" s="1354"/>
      <c r="Y32" s="3667"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67"/>
      <c r="Q33" s="1351">
        <f t="shared" si="11"/>
        <v>111</v>
      </c>
      <c r="R33" s="704" t="s">
        <v>14</v>
      </c>
      <c r="S33" s="705">
        <f t="shared" si="12"/>
        <v>100</v>
      </c>
      <c r="T33" s="704" t="s">
        <v>14</v>
      </c>
      <c r="U33" s="705">
        <f t="shared" si="13"/>
        <v>100</v>
      </c>
      <c r="V33" s="704" t="s">
        <v>14</v>
      </c>
      <c r="W33" s="705">
        <f t="shared" si="14"/>
        <v>100</v>
      </c>
      <c r="X33" s="1354"/>
      <c r="Y33" s="366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7"/>
      <c r="M34" s="2711"/>
      <c r="N34" s="2711"/>
      <c r="O34" s="2769"/>
      <c r="P34" s="3667"/>
      <c r="Q34" s="1351">
        <f t="shared" si="11"/>
        <v>111</v>
      </c>
      <c r="R34" s="704" t="s">
        <v>14</v>
      </c>
      <c r="S34" s="705">
        <f t="shared" si="12"/>
        <v>100</v>
      </c>
      <c r="T34" s="704" t="s">
        <v>14</v>
      </c>
      <c r="U34" s="705">
        <f t="shared" si="13"/>
        <v>100</v>
      </c>
      <c r="V34" s="704" t="s">
        <v>14</v>
      </c>
      <c r="W34" s="705">
        <f t="shared" si="14"/>
        <v>100</v>
      </c>
      <c r="X34" s="1354"/>
      <c r="Y34" s="3667"/>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9"/>
      <c r="M35" s="2720"/>
      <c r="N35" s="2711"/>
      <c r="O35" s="2720"/>
      <c r="P35" s="3660" t="str">
        <f>A35</f>
        <v>成交单价（元/平方米）</v>
      </c>
      <c r="Q35" s="3660"/>
      <c r="R35" s="3661">
        <f>E35</f>
        <v>0</v>
      </c>
      <c r="S35" s="3661"/>
      <c r="T35" s="3661">
        <f>G35</f>
        <v>0</v>
      </c>
      <c r="U35" s="3661"/>
      <c r="V35" s="3661">
        <f>I35</f>
        <v>0</v>
      </c>
      <c r="W35" s="3661"/>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19"/>
      <c r="M36" s="2720"/>
      <c r="N36" s="2711"/>
      <c r="O36" s="2720"/>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9"/>
      <c r="M37" s="2720"/>
      <c r="N37" s="2720"/>
      <c r="O37" s="2720"/>
      <c r="P37" s="3657" t="str">
        <f>A37</f>
        <v>估价对象XX用房的比较价值（楼面单价，元/平方米）</v>
      </c>
      <c r="Q37" s="3658"/>
      <c r="R37" s="3719" t="e">
        <f>IF(F1="售价",ROUND(IF(D36="简单平均",AVERAGE(R36:W36),R36*F36+T36*H36+V36*J36),0),ROUND(IF(D36="简单平均",AVERAGE(R36:V36),R36*F36+T36*H36+V36*J36),1))</f>
        <v>#DIV/0!</v>
      </c>
      <c r="S37" s="3719"/>
      <c r="T37" s="3719"/>
      <c r="U37" s="3719"/>
      <c r="V37" s="3719"/>
      <c r="W37" s="3719"/>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t="e">
        <f>F65</f>
        <v>#DIV/0!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91" t="s">
        <v>1771</v>
      </c>
      <c r="W4" s="3691"/>
      <c r="X4" s="1354"/>
      <c r="Y4" s="3685" t="s">
        <v>1773</v>
      </c>
      <c r="Z4" s="3686"/>
      <c r="AA4" s="3672" t="s">
        <v>1769</v>
      </c>
      <c r="AB4" s="3673" t="s">
        <v>1770</v>
      </c>
      <c r="AC4" s="3672" t="s">
        <v>1771</v>
      </c>
    </row>
    <row r="5" spans="1:30" ht="15">
      <c r="A5" s="358"/>
      <c r="B5" s="359"/>
      <c r="C5" s="3694" t="s">
        <v>1671</v>
      </c>
      <c r="D5" s="3695"/>
      <c r="E5" s="3701" t="s">
        <v>1672</v>
      </c>
      <c r="F5" s="3702"/>
      <c r="G5" s="3694" t="s">
        <v>1673</v>
      </c>
      <c r="H5" s="3695"/>
      <c r="I5" s="3694" t="s">
        <v>1674</v>
      </c>
      <c r="J5" s="3695"/>
      <c r="K5" s="559"/>
      <c r="L5" s="2710"/>
      <c r="M5" s="2711"/>
      <c r="N5" s="2711"/>
      <c r="O5" s="2711"/>
      <c r="P5" s="3681"/>
      <c r="Q5" s="3682"/>
      <c r="R5" s="3687"/>
      <c r="S5" s="3688"/>
      <c r="T5" s="3687"/>
      <c r="U5" s="3688"/>
      <c r="V5" s="3691"/>
      <c r="W5" s="3691"/>
      <c r="X5" s="1354"/>
      <c r="Y5" s="3687"/>
      <c r="Z5" s="3688"/>
      <c r="AA5" s="3673"/>
      <c r="AB5" s="3673"/>
      <c r="AC5" s="3673"/>
    </row>
    <row r="6" spans="1:30" ht="15.75" thickBot="1">
      <c r="A6" s="360"/>
      <c r="B6" s="361"/>
      <c r="C6" s="3692" t="s">
        <v>1675</v>
      </c>
      <c r="D6" s="3693"/>
      <c r="E6" s="3699" t="s">
        <v>1675</v>
      </c>
      <c r="F6" s="3700"/>
      <c r="G6" s="3692" t="s">
        <v>1675</v>
      </c>
      <c r="H6" s="3693"/>
      <c r="I6" s="3692" t="s">
        <v>1675</v>
      </c>
      <c r="J6" s="3693"/>
      <c r="K6" s="559" t="s">
        <v>1676</v>
      </c>
      <c r="L6" s="2710"/>
      <c r="M6" s="2711"/>
      <c r="N6" s="2711"/>
      <c r="O6" s="2711"/>
      <c r="P6" s="3683"/>
      <c r="Q6" s="3684"/>
      <c r="R6" s="3687"/>
      <c r="S6" s="3688"/>
      <c r="T6" s="3689"/>
      <c r="U6" s="3690"/>
      <c r="V6" s="3691"/>
      <c r="W6" s="3691"/>
      <c r="X6" s="1354"/>
      <c r="Y6" s="3689"/>
      <c r="Z6" s="3690"/>
      <c r="AA6" s="3674"/>
      <c r="AB6" s="3674"/>
      <c r="AC6" s="3674"/>
    </row>
    <row r="7" spans="1:30" s="108" customFormat="1" ht="15.75" thickBot="1">
      <c r="A7" s="362" t="s">
        <v>1677</v>
      </c>
      <c r="B7" s="363"/>
      <c r="C7" s="364">
        <f>'数据-取费表'!B2</f>
        <v>45057</v>
      </c>
      <c r="D7" s="365">
        <v>100</v>
      </c>
      <c r="E7" s="366"/>
      <c r="F7" s="367">
        <f>SUMIF(69:69,YEAR(E7)&amp;"-"&amp;INT((MONTH(E7)+2)/3),70:70)</f>
        <v>0</v>
      </c>
      <c r="G7" s="1973"/>
      <c r="H7" s="365">
        <f>SUMIF(69:69,YEAR(G7)&amp;"-"&amp;INT((MONTH(G7)+2)/3),70:70)</f>
        <v>0</v>
      </c>
      <c r="I7" s="1973"/>
      <c r="J7" s="365">
        <f>SUMIF(69:69,YEAR(I7)&amp;"-"&amp;INT((MONTH(I7)+2)/3),70:70)</f>
        <v>0</v>
      </c>
      <c r="K7" s="560"/>
      <c r="L7" s="2712"/>
      <c r="M7" s="2713"/>
      <c r="N7" s="2713"/>
      <c r="O7" s="2713"/>
      <c r="P7" s="3696" t="s">
        <v>1678</v>
      </c>
      <c r="Q7" s="3698"/>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6" t="s">
        <v>1681</v>
      </c>
      <c r="Q8" s="3697"/>
      <c r="R8" s="700" t="s">
        <v>14</v>
      </c>
      <c r="S8" s="701">
        <f t="shared" si="0"/>
        <v>0</v>
      </c>
      <c r="T8" s="700" t="s">
        <v>14</v>
      </c>
      <c r="U8" s="701">
        <f t="shared" si="1"/>
        <v>0</v>
      </c>
      <c r="V8" s="700" t="s">
        <v>14</v>
      </c>
      <c r="W8" s="701">
        <f t="shared" si="2"/>
        <v>0</v>
      </c>
      <c r="X8" s="702"/>
      <c r="Y8" s="3696" t="s">
        <v>1681</v>
      </c>
      <c r="Z8" s="3697"/>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2"/>
      <c r="M9" s="2713"/>
      <c r="N9" s="2713"/>
      <c r="O9" s="2767"/>
      <c r="P9" s="3660"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116</v>
      </c>
      <c r="G10" s="414"/>
      <c r="H10" s="127">
        <f>ROUND(100/'数据-取费表'!G16,0)</f>
        <v>116</v>
      </c>
      <c r="I10" s="414"/>
      <c r="J10" s="127">
        <f>ROUND(100/'数据-取费表'!G16,0)</f>
        <v>116</v>
      </c>
      <c r="K10" s="620"/>
      <c r="L10" s="2714"/>
      <c r="M10" s="2715"/>
      <c r="N10" s="2715"/>
      <c r="O10" s="2768"/>
      <c r="P10" s="3660"/>
      <c r="Q10" s="1342" t="str">
        <f t="shared" si="6"/>
        <v>土地使用年限（年）</v>
      </c>
      <c r="R10" s="700" t="s">
        <v>14</v>
      </c>
      <c r="S10" s="701">
        <f t="shared" si="0"/>
        <v>116</v>
      </c>
      <c r="T10" s="700" t="s">
        <v>14</v>
      </c>
      <c r="U10" s="701">
        <f t="shared" si="1"/>
        <v>116</v>
      </c>
      <c r="V10" s="700" t="s">
        <v>14</v>
      </c>
      <c r="W10" s="701">
        <f t="shared" si="2"/>
        <v>116</v>
      </c>
      <c r="X10" s="702"/>
      <c r="Y10" s="3535"/>
      <c r="Z10" s="52" t="str">
        <f t="shared" si="7"/>
        <v>土地使用年限（年）</v>
      </c>
      <c r="AA10" s="703">
        <f t="shared" si="3"/>
        <v>0.86206896551724133</v>
      </c>
      <c r="AB10" s="703">
        <f t="shared" si="4"/>
        <v>0.86206896551724133</v>
      </c>
      <c r="AC10" s="703">
        <f t="shared" si="5"/>
        <v>0.86206896551724133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60"/>
      <c r="Q11" s="1342" t="str">
        <f t="shared" si="6"/>
        <v>容积率</v>
      </c>
      <c r="R11" s="700" t="s">
        <v>14</v>
      </c>
      <c r="S11" s="701" t="e">
        <f t="shared" si="0"/>
        <v>#N/A</v>
      </c>
      <c r="T11" s="700" t="s">
        <v>14</v>
      </c>
      <c r="U11" s="701" t="e">
        <f t="shared" si="1"/>
        <v>#N/A</v>
      </c>
      <c r="V11" s="700" t="s">
        <v>14</v>
      </c>
      <c r="W11" s="701" t="e">
        <f t="shared" si="2"/>
        <v>#N/A</v>
      </c>
      <c r="X11" s="702"/>
      <c r="Y11" s="3535"/>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60"/>
      <c r="Q12" s="1342" t="str">
        <f t="shared" si="6"/>
        <v>配建</v>
      </c>
      <c r="R12" s="700" t="s">
        <v>14</v>
      </c>
      <c r="S12" s="701">
        <f t="shared" si="0"/>
        <v>100</v>
      </c>
      <c r="T12" s="700" t="s">
        <v>14</v>
      </c>
      <c r="U12" s="701">
        <f t="shared" si="1"/>
        <v>100</v>
      </c>
      <c r="V12" s="700" t="s">
        <v>14</v>
      </c>
      <c r="W12" s="701">
        <f t="shared" si="2"/>
        <v>100</v>
      </c>
      <c r="X12" s="702"/>
      <c r="Y12" s="353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60"/>
      <c r="Q13" s="1342">
        <f t="shared" si="6"/>
        <v>111</v>
      </c>
      <c r="R13" s="700" t="s">
        <v>14</v>
      </c>
      <c r="S13" s="701">
        <f t="shared" si="0"/>
        <v>100</v>
      </c>
      <c r="T13" s="700" t="s">
        <v>14</v>
      </c>
      <c r="U13" s="701">
        <f t="shared" si="1"/>
        <v>100</v>
      </c>
      <c r="V13" s="700" t="s">
        <v>14</v>
      </c>
      <c r="W13" s="701">
        <f t="shared" si="2"/>
        <v>100</v>
      </c>
      <c r="X13" s="702"/>
      <c r="Y13" s="353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60"/>
      <c r="Q14" s="1342">
        <f t="shared" si="6"/>
        <v>111</v>
      </c>
      <c r="R14" s="700" t="s">
        <v>14</v>
      </c>
      <c r="S14" s="701">
        <f t="shared" si="0"/>
        <v>100</v>
      </c>
      <c r="T14" s="700" t="s">
        <v>14</v>
      </c>
      <c r="U14" s="701">
        <f t="shared" si="1"/>
        <v>100</v>
      </c>
      <c r="V14" s="700" t="s">
        <v>14</v>
      </c>
      <c r="W14" s="701">
        <f t="shared" si="2"/>
        <v>100</v>
      </c>
      <c r="X14" s="702"/>
      <c r="Y14" s="3535"/>
      <c r="Z14" s="52">
        <f t="shared" si="7"/>
        <v>111</v>
      </c>
      <c r="AA14" s="703">
        <f>D14/F14</f>
        <v>1</v>
      </c>
      <c r="AB14" s="703">
        <f>D14/H14</f>
        <v>1</v>
      </c>
      <c r="AC14" s="703">
        <f>D14/J14</f>
        <v>1</v>
      </c>
    </row>
    <row r="15" spans="1:30" ht="99.75">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62" t="s">
        <v>1689</v>
      </c>
      <c r="Q15" s="1351" t="str">
        <f t="shared" si="6"/>
        <v>居住社区成熟度</v>
      </c>
      <c r="R15" s="704" t="s">
        <v>14</v>
      </c>
      <c r="S15" s="705">
        <f t="shared" si="0"/>
        <v>100</v>
      </c>
      <c r="T15" s="704" t="s">
        <v>14</v>
      </c>
      <c r="U15" s="705">
        <f t="shared" si="1"/>
        <v>100</v>
      </c>
      <c r="V15" s="704" t="s">
        <v>14</v>
      </c>
      <c r="W15" s="705">
        <f t="shared" si="2"/>
        <v>100</v>
      </c>
      <c r="X15" s="1354"/>
      <c r="Y15" s="3662"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7"/>
      <c r="M16" s="2711"/>
      <c r="N16" s="2711"/>
      <c r="O16" s="2769"/>
      <c r="P16" s="3663"/>
      <c r="Q16" s="1351"/>
      <c r="R16" s="704"/>
      <c r="S16" s="705"/>
      <c r="T16" s="704"/>
      <c r="U16" s="705"/>
      <c r="V16" s="704"/>
      <c r="W16" s="705"/>
      <c r="X16" s="1354"/>
      <c r="Y16" s="3663"/>
      <c r="Z16" s="1355"/>
      <c r="AA16" s="1352">
        <v>1</v>
      </c>
      <c r="AB16" s="1352">
        <v>1</v>
      </c>
      <c r="AC16" s="1352">
        <v>1</v>
      </c>
    </row>
    <row r="17" spans="1:29" ht="71.25">
      <c r="A17" s="379"/>
      <c r="B17" s="402" t="s">
        <v>1775</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63"/>
      <c r="Q17" s="1351" t="str">
        <f>B17</f>
        <v>商业繁华度</v>
      </c>
      <c r="R17" s="704" t="s">
        <v>14</v>
      </c>
      <c r="S17" s="705">
        <f>F17</f>
        <v>100</v>
      </c>
      <c r="T17" s="704" t="s">
        <v>14</v>
      </c>
      <c r="U17" s="705">
        <f>H17</f>
        <v>100</v>
      </c>
      <c r="V17" s="704" t="s">
        <v>14</v>
      </c>
      <c r="W17" s="705">
        <f>J17</f>
        <v>100</v>
      </c>
      <c r="X17" s="1354"/>
      <c r="Y17" s="366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7"/>
      <c r="M18" s="2711"/>
      <c r="N18" s="2711"/>
      <c r="O18" s="2769"/>
      <c r="P18" s="3663"/>
      <c r="Q18" s="1351"/>
      <c r="R18" s="704"/>
      <c r="S18" s="705"/>
      <c r="T18" s="704"/>
      <c r="U18" s="705"/>
      <c r="V18" s="704"/>
      <c r="W18" s="705"/>
      <c r="X18" s="1354"/>
      <c r="Y18" s="3663"/>
      <c r="Z18" s="1355"/>
      <c r="AA18" s="1352">
        <v>1</v>
      </c>
      <c r="AB18" s="1352">
        <v>1</v>
      </c>
      <c r="AC18" s="1352">
        <v>1</v>
      </c>
    </row>
    <row r="19" spans="1:29" ht="71.25">
      <c r="A19" s="379"/>
      <c r="B19" s="402" t="s">
        <v>1809</v>
      </c>
      <c r="C19" s="1954"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63"/>
      <c r="Q19" s="1351" t="str">
        <f>B19</f>
        <v>办公集聚程度</v>
      </c>
      <c r="R19" s="704" t="s">
        <v>14</v>
      </c>
      <c r="S19" s="705">
        <f>F19</f>
        <v>100</v>
      </c>
      <c r="T19" s="704" t="s">
        <v>14</v>
      </c>
      <c r="U19" s="705">
        <f>H19</f>
        <v>100</v>
      </c>
      <c r="V19" s="704" t="s">
        <v>14</v>
      </c>
      <c r="W19" s="705">
        <f>J19</f>
        <v>100</v>
      </c>
      <c r="X19" s="1354"/>
      <c r="Y19" s="366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7"/>
      <c r="M20" s="2711"/>
      <c r="N20" s="2711"/>
      <c r="O20" s="2769"/>
      <c r="P20" s="3663"/>
      <c r="Q20" s="1351"/>
      <c r="R20" s="704"/>
      <c r="S20" s="705"/>
      <c r="T20" s="704"/>
      <c r="U20" s="705"/>
      <c r="V20" s="704"/>
      <c r="W20" s="705"/>
      <c r="X20" s="1354"/>
      <c r="Y20" s="3663"/>
      <c r="Z20" s="1355"/>
      <c r="AA20" s="1352">
        <v>1</v>
      </c>
      <c r="AB20" s="1352">
        <v>1</v>
      </c>
      <c r="AC20" s="1352">
        <v>1</v>
      </c>
    </row>
    <row r="21" spans="1:29" ht="85.5">
      <c r="A21" s="379"/>
      <c r="B21" s="402" t="s">
        <v>1831</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63"/>
      <c r="Q21" s="1351" t="str">
        <f>B21</f>
        <v>交通便捷度</v>
      </c>
      <c r="R21" s="704" t="s">
        <v>14</v>
      </c>
      <c r="S21" s="705">
        <f>F21</f>
        <v>100</v>
      </c>
      <c r="T21" s="704" t="s">
        <v>14</v>
      </c>
      <c r="U21" s="705">
        <f>H21</f>
        <v>100</v>
      </c>
      <c r="V21" s="704" t="s">
        <v>14</v>
      </c>
      <c r="W21" s="705">
        <f>J21</f>
        <v>100</v>
      </c>
      <c r="X21" s="1354"/>
      <c r="Y21" s="366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7"/>
      <c r="M22" s="2711"/>
      <c r="N22" s="2711"/>
      <c r="O22" s="2769"/>
      <c r="P22" s="3663"/>
      <c r="Q22" s="1351"/>
      <c r="R22" s="704"/>
      <c r="S22" s="705"/>
      <c r="T22" s="704"/>
      <c r="U22" s="705"/>
      <c r="V22" s="704"/>
      <c r="W22" s="705"/>
      <c r="X22" s="1354"/>
      <c r="Y22" s="3663"/>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63"/>
      <c r="Q23" s="1351" t="str">
        <f t="shared" ref="Q23:Q37" si="8">B23</f>
        <v>区域土地利用方向</v>
      </c>
      <c r="R23" s="704" t="s">
        <v>14</v>
      </c>
      <c r="S23" s="705">
        <f>F23</f>
        <v>100</v>
      </c>
      <c r="T23" s="704" t="s">
        <v>14</v>
      </c>
      <c r="U23" s="705">
        <f>H23</f>
        <v>100</v>
      </c>
      <c r="V23" s="704" t="s">
        <v>14</v>
      </c>
      <c r="W23" s="705">
        <f>J23</f>
        <v>100</v>
      </c>
      <c r="X23" s="1354"/>
      <c r="Y23" s="366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7"/>
      <c r="M24" s="2711"/>
      <c r="N24" s="2711"/>
      <c r="O24" s="2769"/>
      <c r="P24" s="3663"/>
      <c r="Q24" s="1351"/>
      <c r="R24" s="704"/>
      <c r="S24" s="705"/>
      <c r="T24" s="704"/>
      <c r="U24" s="705"/>
      <c r="V24" s="704"/>
      <c r="W24" s="705"/>
      <c r="X24" s="1354"/>
      <c r="Y24" s="3663"/>
      <c r="Z24" s="1355"/>
      <c r="AA24" s="1352"/>
      <c r="AB24" s="1352"/>
      <c r="AC24" s="1352"/>
    </row>
    <row r="25" spans="1:29" ht="57">
      <c r="A25" s="358"/>
      <c r="B25" s="1130" t="s">
        <v>1870</v>
      </c>
      <c r="C25" s="1954"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63"/>
      <c r="Q25" s="1351" t="str">
        <f t="shared" si="8"/>
        <v>自然及人文环境状况</v>
      </c>
      <c r="R25" s="704" t="s">
        <v>14</v>
      </c>
      <c r="S25" s="705">
        <f>F25</f>
        <v>100</v>
      </c>
      <c r="T25" s="704" t="s">
        <v>14</v>
      </c>
      <c r="U25" s="705">
        <f>H25</f>
        <v>100</v>
      </c>
      <c r="V25" s="704" t="s">
        <v>14</v>
      </c>
      <c r="W25" s="705">
        <f>J25</f>
        <v>100</v>
      </c>
      <c r="X25" s="1354"/>
      <c r="Y25" s="366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7"/>
      <c r="M26" s="2711"/>
      <c r="N26" s="2711"/>
      <c r="O26" s="2769"/>
      <c r="P26" s="3663"/>
      <c r="Q26" s="1351"/>
      <c r="R26" s="704"/>
      <c r="S26" s="705"/>
      <c r="T26" s="704"/>
      <c r="U26" s="705"/>
      <c r="V26" s="704"/>
      <c r="W26" s="705"/>
      <c r="X26" s="1354"/>
      <c r="Y26" s="3663"/>
      <c r="Z26" s="1355"/>
      <c r="AA26" s="1352">
        <v>1</v>
      </c>
      <c r="AB26" s="1352">
        <v>1</v>
      </c>
      <c r="AC26" s="1352">
        <v>1</v>
      </c>
    </row>
    <row r="27" spans="1:29" s="108" customFormat="1" ht="42.75">
      <c r="A27" s="597"/>
      <c r="B27" s="1130" t="s">
        <v>1776</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63"/>
      <c r="Q27" s="1342" t="str">
        <f t="shared" si="8"/>
        <v>公共配套设施</v>
      </c>
      <c r="R27" s="700" t="s">
        <v>14</v>
      </c>
      <c r="S27" s="701">
        <f>F27</f>
        <v>100</v>
      </c>
      <c r="T27" s="700" t="s">
        <v>14</v>
      </c>
      <c r="U27" s="701">
        <f>H27</f>
        <v>100</v>
      </c>
      <c r="V27" s="700" t="s">
        <v>14</v>
      </c>
      <c r="W27" s="701">
        <f>J27</f>
        <v>100</v>
      </c>
      <c r="X27" s="702"/>
      <c r="Y27" s="366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2"/>
      <c r="M28" s="2713"/>
      <c r="N28" s="2713"/>
      <c r="O28" s="2767"/>
      <c r="P28" s="3663"/>
      <c r="Q28" s="1342"/>
      <c r="R28" s="700"/>
      <c r="S28" s="701"/>
      <c r="T28" s="700"/>
      <c r="U28" s="701"/>
      <c r="V28" s="700"/>
      <c r="W28" s="701"/>
      <c r="X28" s="702"/>
      <c r="Y28" s="3663"/>
      <c r="Z28" s="52"/>
      <c r="AA28" s="1352">
        <v>1</v>
      </c>
      <c r="AB28" s="1352">
        <v>1</v>
      </c>
      <c r="AC28" s="1352">
        <v>1</v>
      </c>
    </row>
    <row r="29" spans="1:29" s="108" customFormat="1" ht="28.5">
      <c r="A29" s="597"/>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63"/>
      <c r="Q29" s="1342" t="str">
        <f t="shared" ref="Q29" si="9">B29</f>
        <v>基础设施水平</v>
      </c>
      <c r="R29" s="700" t="s">
        <v>14</v>
      </c>
      <c r="S29" s="701">
        <f>F29</f>
        <v>100</v>
      </c>
      <c r="T29" s="700" t="s">
        <v>14</v>
      </c>
      <c r="U29" s="701">
        <f>H29</f>
        <v>100</v>
      </c>
      <c r="V29" s="700" t="s">
        <v>14</v>
      </c>
      <c r="W29" s="701">
        <f>J29</f>
        <v>100</v>
      </c>
      <c r="X29" s="702"/>
      <c r="Y29" s="366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2"/>
      <c r="M30" s="2713"/>
      <c r="N30" s="2713"/>
      <c r="O30" s="2767"/>
      <c r="P30" s="3663"/>
      <c r="Q30" s="1342"/>
      <c r="R30" s="700"/>
      <c r="S30" s="701"/>
      <c r="T30" s="700"/>
      <c r="U30" s="701"/>
      <c r="V30" s="700"/>
      <c r="W30" s="701"/>
      <c r="X30" s="702"/>
      <c r="Y30" s="3663"/>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6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3"/>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63"/>
      <c r="Q32" s="1351" t="str">
        <f t="shared" si="8"/>
        <v>毗邻道路的类型与等级</v>
      </c>
      <c r="R32" s="704" t="s">
        <v>14</v>
      </c>
      <c r="S32" s="705">
        <f t="shared" si="10"/>
        <v>100</v>
      </c>
      <c r="T32" s="704" t="s">
        <v>14</v>
      </c>
      <c r="U32" s="705">
        <f t="shared" si="11"/>
        <v>100</v>
      </c>
      <c r="V32" s="704" t="s">
        <v>14</v>
      </c>
      <c r="W32" s="705">
        <f t="shared" si="12"/>
        <v>100</v>
      </c>
      <c r="X32" s="1354"/>
      <c r="Y32" s="366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7"/>
      <c r="M33" s="2711"/>
      <c r="N33" s="2711"/>
      <c r="O33" s="2769"/>
      <c r="P33" s="3663"/>
      <c r="Q33" s="1351"/>
      <c r="R33" s="704"/>
      <c r="S33" s="705"/>
      <c r="T33" s="704"/>
      <c r="U33" s="705"/>
      <c r="V33" s="704"/>
      <c r="W33" s="705"/>
      <c r="X33" s="1354"/>
      <c r="Y33" s="3663"/>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63"/>
      <c r="Q34" s="1351" t="str">
        <f t="shared" si="8"/>
        <v>土地级别</v>
      </c>
      <c r="R34" s="704" t="s">
        <v>14</v>
      </c>
      <c r="S34" s="705">
        <f t="shared" si="10"/>
        <v>100</v>
      </c>
      <c r="T34" s="704" t="s">
        <v>14</v>
      </c>
      <c r="U34" s="705">
        <f t="shared" si="11"/>
        <v>100</v>
      </c>
      <c r="V34" s="704" t="s">
        <v>14</v>
      </c>
      <c r="W34" s="705">
        <f t="shared" si="12"/>
        <v>100</v>
      </c>
      <c r="X34" s="1354"/>
      <c r="Y34" s="366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63"/>
      <c r="Q35" s="1351">
        <f t="shared" si="8"/>
        <v>111</v>
      </c>
      <c r="R35" s="704" t="s">
        <v>14</v>
      </c>
      <c r="S35" s="705">
        <f t="shared" si="10"/>
        <v>100</v>
      </c>
      <c r="T35" s="704" t="s">
        <v>14</v>
      </c>
      <c r="U35" s="705">
        <f t="shared" si="11"/>
        <v>100</v>
      </c>
      <c r="V35" s="704" t="s">
        <v>14</v>
      </c>
      <c r="W35" s="705">
        <f t="shared" si="12"/>
        <v>100</v>
      </c>
      <c r="X35" s="1354"/>
      <c r="Y35" s="366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18" t="s">
        <v>1694</v>
      </c>
      <c r="Q36" s="1351">
        <f t="shared" si="8"/>
        <v>111</v>
      </c>
      <c r="R36" s="704" t="s">
        <v>14</v>
      </c>
      <c r="S36" s="705">
        <f t="shared" si="10"/>
        <v>100</v>
      </c>
      <c r="T36" s="704" t="s">
        <v>14</v>
      </c>
      <c r="U36" s="705">
        <f t="shared" si="11"/>
        <v>100</v>
      </c>
      <c r="V36" s="704" t="s">
        <v>14</v>
      </c>
      <c r="W36" s="705">
        <f t="shared" si="12"/>
        <v>100</v>
      </c>
      <c r="X36" s="1354"/>
      <c r="Y36" s="3667" t="s">
        <v>1694</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67"/>
      <c r="Q37" s="1351">
        <f t="shared" si="8"/>
        <v>111</v>
      </c>
      <c r="R37" s="707" t="s">
        <v>14</v>
      </c>
      <c r="S37" s="708">
        <f t="shared" si="10"/>
        <v>100</v>
      </c>
      <c r="T37" s="707" t="s">
        <v>14</v>
      </c>
      <c r="U37" s="708">
        <f t="shared" si="11"/>
        <v>100</v>
      </c>
      <c r="V37" s="707" t="s">
        <v>14</v>
      </c>
      <c r="W37" s="708">
        <f t="shared" si="12"/>
        <v>100</v>
      </c>
      <c r="X37" s="709"/>
      <c r="Y37" s="3667"/>
      <c r="Z37" s="710">
        <f t="shared" si="13"/>
        <v>111</v>
      </c>
      <c r="AA37" s="1352">
        <f t="shared" si="3"/>
        <v>1</v>
      </c>
      <c r="AB37" s="1352">
        <f t="shared" si="4"/>
        <v>1</v>
      </c>
      <c r="AC37" s="1352">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67"/>
      <c r="Q38" s="1351" t="str">
        <f>B38</f>
        <v>宗地面积</v>
      </c>
      <c r="R38" s="704" t="s">
        <v>14</v>
      </c>
      <c r="S38" s="705" t="e">
        <f t="shared" si="10"/>
        <v>#N/A</v>
      </c>
      <c r="T38" s="704" t="s">
        <v>14</v>
      </c>
      <c r="U38" s="705" t="e">
        <f t="shared" si="11"/>
        <v>#N/A</v>
      </c>
      <c r="V38" s="704" t="s">
        <v>14</v>
      </c>
      <c r="W38" s="705" t="e">
        <f t="shared" si="12"/>
        <v>#N/A</v>
      </c>
      <c r="X38" s="1354"/>
      <c r="Y38" s="3667"/>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667"/>
      <c r="Q39" s="1351" t="str">
        <f t="shared" ref="Q39:Q45" si="14">B39</f>
        <v>宗地形状</v>
      </c>
      <c r="R39" s="704" t="s">
        <v>14</v>
      </c>
      <c r="S39" s="705">
        <f t="shared" si="10"/>
        <v>100</v>
      </c>
      <c r="T39" s="704" t="s">
        <v>14</v>
      </c>
      <c r="U39" s="705">
        <f t="shared" si="11"/>
        <v>100</v>
      </c>
      <c r="V39" s="704" t="s">
        <v>14</v>
      </c>
      <c r="W39" s="705">
        <f t="shared" si="12"/>
        <v>100</v>
      </c>
      <c r="X39" s="1354"/>
      <c r="Y39" s="3667"/>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667"/>
      <c r="Q40" s="1351" t="str">
        <f t="shared" si="14"/>
        <v>临街宽度及深度</v>
      </c>
      <c r="R40" s="704" t="s">
        <v>14</v>
      </c>
      <c r="S40" s="705">
        <f t="shared" si="10"/>
        <v>100</v>
      </c>
      <c r="T40" s="704" t="s">
        <v>14</v>
      </c>
      <c r="U40" s="705">
        <f t="shared" si="11"/>
        <v>100</v>
      </c>
      <c r="V40" s="704" t="s">
        <v>14</v>
      </c>
      <c r="W40" s="705">
        <f t="shared" si="12"/>
        <v>100</v>
      </c>
      <c r="X40" s="1354"/>
      <c r="Y40" s="3667"/>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2"/>
      <c r="M41" s="2713"/>
      <c r="N41" s="2713"/>
      <c r="O41" s="2767"/>
      <c r="P41" s="3667"/>
      <c r="Q41" s="1351" t="str">
        <f t="shared" si="14"/>
        <v>宗地开发程度</v>
      </c>
      <c r="R41" s="700" t="s">
        <v>14</v>
      </c>
      <c r="S41" s="701">
        <f t="shared" si="10"/>
        <v>100</v>
      </c>
      <c r="T41" s="700" t="s">
        <v>14</v>
      </c>
      <c r="U41" s="701">
        <f t="shared" si="11"/>
        <v>100</v>
      </c>
      <c r="V41" s="700" t="s">
        <v>14</v>
      </c>
      <c r="W41" s="701">
        <f t="shared" si="12"/>
        <v>100</v>
      </c>
      <c r="X41" s="702"/>
      <c r="Y41" s="3667"/>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667" t="s">
        <v>1694</v>
      </c>
      <c r="Q42" s="1351" t="str">
        <f t="shared" si="14"/>
        <v>工程地质条件</v>
      </c>
      <c r="R42" s="704" t="s">
        <v>14</v>
      </c>
      <c r="S42" s="705">
        <f t="shared" si="10"/>
        <v>100</v>
      </c>
      <c r="T42" s="704" t="s">
        <v>14</v>
      </c>
      <c r="U42" s="705">
        <f t="shared" si="11"/>
        <v>100</v>
      </c>
      <c r="V42" s="704" t="s">
        <v>14</v>
      </c>
      <c r="W42" s="705">
        <f t="shared" si="12"/>
        <v>100</v>
      </c>
      <c r="X42" s="1354"/>
      <c r="Y42" s="3667" t="s">
        <v>1694</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67"/>
      <c r="Q43" s="1351">
        <f t="shared" si="14"/>
        <v>111</v>
      </c>
      <c r="R43" s="704" t="s">
        <v>14</v>
      </c>
      <c r="S43" s="705">
        <f t="shared" si="10"/>
        <v>100</v>
      </c>
      <c r="T43" s="704" t="s">
        <v>14</v>
      </c>
      <c r="U43" s="705">
        <f t="shared" si="11"/>
        <v>100</v>
      </c>
      <c r="V43" s="704" t="s">
        <v>14</v>
      </c>
      <c r="W43" s="705">
        <f t="shared" si="12"/>
        <v>100</v>
      </c>
      <c r="X43" s="1354"/>
      <c r="Y43" s="366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67"/>
      <c r="Q44" s="1351">
        <f t="shared" si="14"/>
        <v>111</v>
      </c>
      <c r="R44" s="704" t="s">
        <v>14</v>
      </c>
      <c r="S44" s="705">
        <f t="shared" si="10"/>
        <v>100</v>
      </c>
      <c r="T44" s="704" t="s">
        <v>14</v>
      </c>
      <c r="U44" s="705">
        <f t="shared" si="11"/>
        <v>100</v>
      </c>
      <c r="V44" s="704" t="s">
        <v>14</v>
      </c>
      <c r="W44" s="705">
        <f t="shared" si="12"/>
        <v>100</v>
      </c>
      <c r="X44" s="1354"/>
      <c r="Y44" s="366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67"/>
      <c r="Q45" s="1351">
        <f t="shared" si="14"/>
        <v>111</v>
      </c>
      <c r="R45" s="707" t="s">
        <v>14</v>
      </c>
      <c r="S45" s="708">
        <f t="shared" si="10"/>
        <v>100</v>
      </c>
      <c r="T45" s="707" t="s">
        <v>14</v>
      </c>
      <c r="U45" s="708">
        <f t="shared" si="11"/>
        <v>100</v>
      </c>
      <c r="V45" s="707" t="s">
        <v>14</v>
      </c>
      <c r="W45" s="708">
        <f t="shared" si="12"/>
        <v>100</v>
      </c>
      <c r="X45" s="709"/>
      <c r="Y45" s="3667"/>
      <c r="Z45" s="710">
        <f t="shared" si="13"/>
        <v>111</v>
      </c>
      <c r="AA45" s="1352">
        <f t="shared" si="3"/>
        <v>1</v>
      </c>
      <c r="AB45" s="1352">
        <f t="shared" si="4"/>
        <v>1</v>
      </c>
      <c r="AC45" s="1352">
        <f t="shared" si="5"/>
        <v>1</v>
      </c>
    </row>
    <row r="46" spans="1:29" ht="15">
      <c r="A46" s="430" t="s">
        <v>1842</v>
      </c>
      <c r="B46" s="1981" t="s">
        <v>1877</v>
      </c>
      <c r="C46" s="630" t="s">
        <v>0</v>
      </c>
      <c r="D46" s="432"/>
      <c r="E46" s="433"/>
      <c r="F46" s="434"/>
      <c r="G46" s="435"/>
      <c r="H46" s="436"/>
      <c r="I46" s="433"/>
      <c r="J46" s="436"/>
      <c r="K46" s="713"/>
      <c r="L46" s="2719"/>
      <c r="M46" s="2720"/>
      <c r="N46" s="2711"/>
      <c r="O46" s="2720"/>
      <c r="P46" s="3660" t="str">
        <f>A46</f>
        <v>成交单价</v>
      </c>
      <c r="Q46" s="3660"/>
      <c r="R46" s="3691">
        <f>E46</f>
        <v>0</v>
      </c>
      <c r="S46" s="3691"/>
      <c r="T46" s="3691">
        <f>G46</f>
        <v>0</v>
      </c>
      <c r="U46" s="3691"/>
      <c r="V46" s="3691">
        <f>I46</f>
        <v>0</v>
      </c>
      <c r="W46" s="3691"/>
      <c r="X46" s="689"/>
      <c r="Y46" s="711"/>
      <c r="Z46" s="689"/>
      <c r="AA46" s="689"/>
      <c r="AB46" s="689"/>
      <c r="AC46" s="689"/>
    </row>
    <row r="47" spans="1:29" ht="15.75" thickBot="1">
      <c r="A47" s="437" t="s">
        <v>1791</v>
      </c>
      <c r="B47" s="631"/>
      <c r="C47" s="440" t="e">
        <f>R48</f>
        <v>#DIV/0!</v>
      </c>
      <c r="D47" s="2316" t="s">
        <v>2135</v>
      </c>
      <c r="E47" s="440" t="e">
        <f>R47</f>
        <v>#DIV/0!</v>
      </c>
      <c r="F47" s="2317"/>
      <c r="G47" s="439" t="e">
        <f>T47</f>
        <v>#DIV/0!</v>
      </c>
      <c r="H47" s="2317"/>
      <c r="I47" s="440" t="e">
        <f>V47</f>
        <v>#DIV/0!</v>
      </c>
      <c r="J47" s="2317"/>
      <c r="K47" s="2319">
        <f>F47+H47+J47</f>
        <v>0</v>
      </c>
      <c r="L47" s="2719"/>
      <c r="M47" s="2720"/>
      <c r="N47" s="2720"/>
      <c r="O47" s="2720"/>
      <c r="P47" s="3660" t="str">
        <f>A47</f>
        <v>比较价值（元/平方米）</v>
      </c>
      <c r="Q47" s="3660"/>
      <c r="R47" s="3720" t="e">
        <f>ROUND(PRODUCT(R46,AA7:AA45),0)</f>
        <v>#DIV/0!</v>
      </c>
      <c r="S47" s="3720"/>
      <c r="T47" s="3720" t="e">
        <f>ROUND(PRODUCT(T46,AB7:AB45),0)</f>
        <v>#DIV/0!</v>
      </c>
      <c r="U47" s="3720"/>
      <c r="V47" s="3720" t="e">
        <f>ROUND(PRODUCT(V46,AC7:AC45),0)</f>
        <v>#DIV/0!</v>
      </c>
      <c r="W47" s="3720"/>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9"/>
      <c r="M48" s="2720"/>
      <c r="N48" s="2720"/>
      <c r="O48" s="2720"/>
      <c r="P48" s="3657" t="str">
        <f>A48</f>
        <v>估价对象XX用房的比较价值（楼面单价，元/平方米）</v>
      </c>
      <c r="Q48" s="3658"/>
      <c r="R48" s="3721" t="e">
        <f>ROUND(IF(D47="简单平均",AVERAGE(R47:W47),R47*F47+T47*H47+V47*J47),0)</f>
        <v>#DIV/0!</v>
      </c>
      <c r="S48" s="3721"/>
      <c r="T48" s="3721"/>
      <c r="U48" s="3721"/>
      <c r="V48" s="3721"/>
      <c r="W48" s="3721"/>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82" t="s">
        <v>1881</v>
      </c>
      <c r="D55" s="1983" t="s">
        <v>1882</v>
      </c>
      <c r="E55" s="634" t="s">
        <v>1883</v>
      </c>
      <c r="F55" s="889" t="s">
        <v>1884</v>
      </c>
      <c r="G55" s="3675" t="s">
        <v>1885</v>
      </c>
      <c r="H55" s="3722"/>
      <c r="I55" s="135" t="s">
        <v>1886</v>
      </c>
      <c r="J55" s="1984">
        <f>项目基本情况!F35</f>
        <v>0</v>
      </c>
      <c r="K55" s="1985"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3">
        <v>1</v>
      </c>
      <c r="E56" s="638">
        <f>'数据-汇总表'!E8+'数据-汇总表'!E9</f>
        <v>402.39</v>
      </c>
      <c r="F56" s="885" t="e">
        <f t="shared" ref="F56:F64" si="15">ROUND(B56*E56/10000,0)</f>
        <v>#DIV/0!</v>
      </c>
      <c r="G56" s="3671"/>
      <c r="H56" s="3660"/>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v>
      </c>
      <c r="D57" s="944">
        <v>0.25</v>
      </c>
      <c r="E57" s="642"/>
      <c r="F57" s="885" t="e">
        <f t="shared" si="15"/>
        <v>#DIV/0!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v>
      </c>
      <c r="D58" s="944">
        <v>0.25</v>
      </c>
      <c r="E58" s="642"/>
      <c r="F58" s="885" t="e">
        <f t="shared" si="15"/>
        <v>#DIV/0!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v>
      </c>
      <c r="D59" s="944">
        <v>0.25</v>
      </c>
      <c r="E59" s="642"/>
      <c r="F59" s="885" t="e">
        <f t="shared" si="15"/>
        <v>#DIV/0!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402.39</v>
      </c>
      <c r="F65" s="645" t="e">
        <f>IF(B46="楼面地价",SUM(F56:F64),ROUND(C48*E65/10000,0))</f>
        <v>#DIV/0!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8" t="s">
        <v>1902</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75" t="s">
        <v>1768</v>
      </c>
      <c r="D4" s="3676"/>
      <c r="E4" s="3677" t="s">
        <v>1769</v>
      </c>
      <c r="F4" s="3678"/>
      <c r="G4" s="3675" t="s">
        <v>1770</v>
      </c>
      <c r="H4" s="3676"/>
      <c r="I4" s="3675" t="s">
        <v>1771</v>
      </c>
      <c r="J4" s="3676"/>
      <c r="K4" s="559" t="s">
        <v>1772</v>
      </c>
      <c r="L4" s="2710"/>
      <c r="M4" s="2711"/>
      <c r="N4" s="2711"/>
      <c r="O4" s="2711"/>
      <c r="P4" s="3679" t="s">
        <v>1773</v>
      </c>
      <c r="Q4" s="3680"/>
      <c r="R4" s="3685" t="s">
        <v>1769</v>
      </c>
      <c r="S4" s="3686"/>
      <c r="T4" s="3685" t="s">
        <v>1770</v>
      </c>
      <c r="U4" s="3686"/>
      <c r="V4" s="3691" t="s">
        <v>1771</v>
      </c>
      <c r="W4" s="3691"/>
      <c r="X4" s="1354"/>
      <c r="Y4" s="3685" t="s">
        <v>1773</v>
      </c>
      <c r="Z4" s="3686"/>
      <c r="AA4" s="3672" t="s">
        <v>1769</v>
      </c>
      <c r="AB4" s="3673" t="s">
        <v>1770</v>
      </c>
      <c r="AC4" s="3672" t="s">
        <v>1771</v>
      </c>
    </row>
    <row r="5" spans="1:29" ht="15">
      <c r="A5" s="358"/>
      <c r="B5" s="359"/>
      <c r="C5" s="3694" t="s">
        <v>1671</v>
      </c>
      <c r="D5" s="3695"/>
      <c r="E5" s="3701" t="s">
        <v>1672</v>
      </c>
      <c r="F5" s="3702"/>
      <c r="G5" s="3694" t="s">
        <v>1673</v>
      </c>
      <c r="H5" s="3695"/>
      <c r="I5" s="3694" t="s">
        <v>1674</v>
      </c>
      <c r="J5" s="3695"/>
      <c r="K5" s="559"/>
      <c r="L5" s="2710"/>
      <c r="M5" s="2711"/>
      <c r="N5" s="2711"/>
      <c r="O5" s="2711"/>
      <c r="P5" s="3681"/>
      <c r="Q5" s="3682"/>
      <c r="R5" s="3687"/>
      <c r="S5" s="3688"/>
      <c r="T5" s="3687"/>
      <c r="U5" s="3688"/>
      <c r="V5" s="3691"/>
      <c r="W5" s="3691"/>
      <c r="X5" s="1354"/>
      <c r="Y5" s="3687"/>
      <c r="Z5" s="3688"/>
      <c r="AA5" s="3673"/>
      <c r="AB5" s="3673"/>
      <c r="AC5" s="3673"/>
    </row>
    <row r="6" spans="1:29" ht="15.75" thickBot="1">
      <c r="A6" s="360"/>
      <c r="B6" s="361"/>
      <c r="C6" s="3723" t="s">
        <v>1917</v>
      </c>
      <c r="D6" s="3724"/>
      <c r="E6" s="3725" t="s">
        <v>1917</v>
      </c>
      <c r="F6" s="3726"/>
      <c r="G6" s="3723" t="s">
        <v>1917</v>
      </c>
      <c r="H6" s="3724"/>
      <c r="I6" s="3723" t="s">
        <v>1917</v>
      </c>
      <c r="J6" s="3724"/>
      <c r="K6" s="559" t="s">
        <v>1676</v>
      </c>
      <c r="L6" s="2710"/>
      <c r="M6" s="2711"/>
      <c r="N6" s="2711"/>
      <c r="O6" s="2711"/>
      <c r="P6" s="3683"/>
      <c r="Q6" s="3684"/>
      <c r="R6" s="3687"/>
      <c r="S6" s="3688"/>
      <c r="T6" s="3689"/>
      <c r="U6" s="3690"/>
      <c r="V6" s="3691"/>
      <c r="W6" s="3691"/>
      <c r="X6" s="1354"/>
      <c r="Y6" s="3689"/>
      <c r="Z6" s="3690"/>
      <c r="AA6" s="3674"/>
      <c r="AB6" s="3674"/>
      <c r="AC6" s="3674"/>
    </row>
    <row r="7" spans="1:29" s="108" customFormat="1" ht="15.75" thickBot="1">
      <c r="A7" s="362" t="s">
        <v>1677</v>
      </c>
      <c r="B7" s="363"/>
      <c r="C7" s="364">
        <f>'数据-取费表'!B2</f>
        <v>45057</v>
      </c>
      <c r="D7" s="365">
        <v>100</v>
      </c>
      <c r="E7" s="366"/>
      <c r="F7" s="367">
        <f>SUMIF(65:65,YEAR(E7)&amp;"-"&amp;INT((MONTH(E7)+2)/3),66:66)</f>
        <v>0</v>
      </c>
      <c r="G7" s="1973"/>
      <c r="H7" s="365">
        <f>SUMIF(65:65,YEAR(G7)&amp;"-"&amp;INT((MONTH(G7)+2)/3),66:66)</f>
        <v>0</v>
      </c>
      <c r="I7" s="1973"/>
      <c r="J7" s="365">
        <f>SUMIF(65:65,YEAR(I7)&amp;"-"&amp;INT((MONTH(I7)+2)/3),66:66)</f>
        <v>0</v>
      </c>
      <c r="K7" s="560"/>
      <c r="L7" s="2712"/>
      <c r="M7" s="2713"/>
      <c r="N7" s="2713"/>
      <c r="O7" s="2713"/>
      <c r="P7" s="3696" t="s">
        <v>1678</v>
      </c>
      <c r="Q7" s="3698"/>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6" t="s">
        <v>1681</v>
      </c>
      <c r="Q8" s="3697"/>
      <c r="R8" s="700" t="s">
        <v>14</v>
      </c>
      <c r="S8" s="701">
        <f t="shared" si="0"/>
        <v>0</v>
      </c>
      <c r="T8" s="700" t="s">
        <v>14</v>
      </c>
      <c r="U8" s="701">
        <f t="shared" si="1"/>
        <v>0</v>
      </c>
      <c r="V8" s="700" t="s">
        <v>14</v>
      </c>
      <c r="W8" s="701">
        <f t="shared" si="2"/>
        <v>0</v>
      </c>
      <c r="X8" s="702"/>
      <c r="Y8" s="3696" t="s">
        <v>1681</v>
      </c>
      <c r="Z8" s="3697"/>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2"/>
      <c r="M9" s="2713"/>
      <c r="N9" s="2713"/>
      <c r="O9" s="2767"/>
      <c r="P9" s="3660" t="s">
        <v>1684</v>
      </c>
      <c r="Q9" s="1342" t="str">
        <f t="shared" ref="Q9:Q15" si="6">B9</f>
        <v>用途</v>
      </c>
      <c r="R9" s="700" t="s">
        <v>14</v>
      </c>
      <c r="S9" s="701">
        <f t="shared" si="0"/>
        <v>100</v>
      </c>
      <c r="T9" s="700" t="s">
        <v>14</v>
      </c>
      <c r="U9" s="701">
        <f t="shared" si="1"/>
        <v>100</v>
      </c>
      <c r="V9" s="700" t="s">
        <v>14</v>
      </c>
      <c r="W9" s="701">
        <f t="shared" si="2"/>
        <v>100</v>
      </c>
      <c r="X9" s="702"/>
      <c r="Y9" s="353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116</v>
      </c>
      <c r="G10" s="383"/>
      <c r="H10" s="127">
        <f>ROUND(100/'数据-取费表'!G16,0)</f>
        <v>116</v>
      </c>
      <c r="I10" s="383"/>
      <c r="J10" s="127">
        <f>ROUND(100/'数据-取费表'!G16,0)</f>
        <v>116</v>
      </c>
      <c r="K10" s="620"/>
      <c r="L10" s="2714"/>
      <c r="M10" s="2715"/>
      <c r="N10" s="2715"/>
      <c r="O10" s="2768"/>
      <c r="P10" s="3660"/>
      <c r="Q10" s="1342" t="str">
        <f t="shared" si="6"/>
        <v>土地使用年限（年）</v>
      </c>
      <c r="R10" s="700" t="s">
        <v>14</v>
      </c>
      <c r="S10" s="701">
        <f t="shared" si="0"/>
        <v>116</v>
      </c>
      <c r="T10" s="700" t="s">
        <v>14</v>
      </c>
      <c r="U10" s="701">
        <f t="shared" si="1"/>
        <v>116</v>
      </c>
      <c r="V10" s="700" t="s">
        <v>14</v>
      </c>
      <c r="W10" s="701">
        <f t="shared" si="2"/>
        <v>116</v>
      </c>
      <c r="X10" s="702"/>
      <c r="Y10" s="3535"/>
      <c r="Z10" s="52" t="str">
        <f t="shared" si="7"/>
        <v>土地使用年限（年）</v>
      </c>
      <c r="AA10" s="703">
        <f t="shared" si="3"/>
        <v>0.86206896551724133</v>
      </c>
      <c r="AB10" s="703">
        <f t="shared" si="4"/>
        <v>0.86206896551724133</v>
      </c>
      <c r="AC10" s="703">
        <f t="shared" si="5"/>
        <v>0.86206896551724133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60"/>
      <c r="Q11" s="1342" t="str">
        <f t="shared" si="6"/>
        <v>容积率</v>
      </c>
      <c r="R11" s="700" t="s">
        <v>14</v>
      </c>
      <c r="S11" s="701" t="e">
        <f t="shared" si="0"/>
        <v>#N/A</v>
      </c>
      <c r="T11" s="700" t="s">
        <v>14</v>
      </c>
      <c r="U11" s="701" t="e">
        <f t="shared" si="1"/>
        <v>#N/A</v>
      </c>
      <c r="V11" s="700" t="s">
        <v>14</v>
      </c>
      <c r="W11" s="701" t="e">
        <f t="shared" si="2"/>
        <v>#N/A</v>
      </c>
      <c r="X11" s="702"/>
      <c r="Y11" s="353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60"/>
      <c r="Q12" s="1342">
        <f t="shared" si="6"/>
        <v>111</v>
      </c>
      <c r="R12" s="700" t="s">
        <v>14</v>
      </c>
      <c r="S12" s="701">
        <f t="shared" si="0"/>
        <v>100</v>
      </c>
      <c r="T12" s="700" t="s">
        <v>14</v>
      </c>
      <c r="U12" s="701">
        <f t="shared" si="1"/>
        <v>100</v>
      </c>
      <c r="V12" s="700" t="s">
        <v>14</v>
      </c>
      <c r="W12" s="701">
        <f t="shared" si="2"/>
        <v>100</v>
      </c>
      <c r="X12" s="702"/>
      <c r="Y12" s="353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60"/>
      <c r="Q13" s="1342">
        <f t="shared" si="6"/>
        <v>111</v>
      </c>
      <c r="R13" s="700" t="s">
        <v>14</v>
      </c>
      <c r="S13" s="701">
        <f t="shared" si="0"/>
        <v>100</v>
      </c>
      <c r="T13" s="700" t="s">
        <v>14</v>
      </c>
      <c r="U13" s="701">
        <f t="shared" si="1"/>
        <v>100</v>
      </c>
      <c r="V13" s="700" t="s">
        <v>14</v>
      </c>
      <c r="W13" s="701">
        <f t="shared" si="2"/>
        <v>100</v>
      </c>
      <c r="X13" s="702"/>
      <c r="Y13" s="353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60"/>
      <c r="Q14" s="1342">
        <f t="shared" si="6"/>
        <v>111</v>
      </c>
      <c r="R14" s="700" t="s">
        <v>14</v>
      </c>
      <c r="S14" s="701">
        <f t="shared" si="0"/>
        <v>100</v>
      </c>
      <c r="T14" s="700" t="s">
        <v>14</v>
      </c>
      <c r="U14" s="701">
        <f t="shared" si="1"/>
        <v>100</v>
      </c>
      <c r="V14" s="700" t="s">
        <v>14</v>
      </c>
      <c r="W14" s="701">
        <f t="shared" si="2"/>
        <v>100</v>
      </c>
      <c r="X14" s="702"/>
      <c r="Y14" s="3535"/>
      <c r="Z14" s="52">
        <f t="shared" si="7"/>
        <v>111</v>
      </c>
      <c r="AA14" s="703">
        <f t="shared" si="3"/>
        <v>1</v>
      </c>
      <c r="AB14" s="703">
        <f t="shared" si="4"/>
        <v>1</v>
      </c>
      <c r="AC14" s="703">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62" t="s">
        <v>1689</v>
      </c>
      <c r="Q15" s="1351" t="str">
        <f t="shared" si="6"/>
        <v>产业集聚程度</v>
      </c>
      <c r="R15" s="704" t="s">
        <v>14</v>
      </c>
      <c r="S15" s="705">
        <f t="shared" si="0"/>
        <v>100</v>
      </c>
      <c r="T15" s="704" t="s">
        <v>14</v>
      </c>
      <c r="U15" s="705">
        <f t="shared" si="1"/>
        <v>100</v>
      </c>
      <c r="V15" s="704" t="s">
        <v>14</v>
      </c>
      <c r="W15" s="705">
        <f t="shared" si="2"/>
        <v>100</v>
      </c>
      <c r="X15" s="1354"/>
      <c r="Y15" s="3662"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7"/>
      <c r="M16" s="2711"/>
      <c r="N16" s="2711"/>
      <c r="O16" s="2769"/>
      <c r="P16" s="3663"/>
      <c r="Q16" s="1351"/>
      <c r="R16" s="704"/>
      <c r="S16" s="705"/>
      <c r="T16" s="704"/>
      <c r="U16" s="705"/>
      <c r="V16" s="704"/>
      <c r="W16" s="705"/>
      <c r="X16" s="1354"/>
      <c r="Y16" s="3663"/>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63"/>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7"/>
      <c r="M18" s="2711"/>
      <c r="N18" s="2711"/>
      <c r="O18" s="2769"/>
      <c r="P18" s="3663"/>
      <c r="Q18" s="1351"/>
      <c r="R18" s="704"/>
      <c r="S18" s="705"/>
      <c r="T18" s="704"/>
      <c r="U18" s="705"/>
      <c r="V18" s="704"/>
      <c r="W18" s="705"/>
      <c r="X18" s="1354"/>
      <c r="Y18" s="3663"/>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63"/>
      <c r="Q19" s="1351" t="str">
        <f t="shared" ref="Q19:Q33" si="8">B19</f>
        <v>区域土地利用方向</v>
      </c>
      <c r="R19" s="704" t="s">
        <v>14</v>
      </c>
      <c r="S19" s="705">
        <f>F19</f>
        <v>100</v>
      </c>
      <c r="T19" s="704" t="s">
        <v>14</v>
      </c>
      <c r="U19" s="705">
        <f>H19</f>
        <v>100</v>
      </c>
      <c r="V19" s="704" t="s">
        <v>14</v>
      </c>
      <c r="W19" s="705">
        <f>J19</f>
        <v>100</v>
      </c>
      <c r="X19" s="1354"/>
      <c r="Y19" s="366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7"/>
      <c r="M20" s="2711"/>
      <c r="N20" s="2711"/>
      <c r="O20" s="2769"/>
      <c r="P20" s="3663"/>
      <c r="Q20" s="1351"/>
      <c r="R20" s="704"/>
      <c r="S20" s="705"/>
      <c r="T20" s="704"/>
      <c r="U20" s="705"/>
      <c r="V20" s="704"/>
      <c r="W20" s="705"/>
      <c r="X20" s="1354"/>
      <c r="Y20" s="3663"/>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63"/>
      <c r="Q21" s="1351" t="str">
        <f t="shared" si="8"/>
        <v>环境状况</v>
      </c>
      <c r="R21" s="704" t="s">
        <v>14</v>
      </c>
      <c r="S21" s="705">
        <f>F21</f>
        <v>100</v>
      </c>
      <c r="T21" s="704" t="s">
        <v>14</v>
      </c>
      <c r="U21" s="705">
        <f>H21</f>
        <v>100</v>
      </c>
      <c r="V21" s="704" t="s">
        <v>14</v>
      </c>
      <c r="W21" s="705">
        <f>J21</f>
        <v>100</v>
      </c>
      <c r="X21" s="1354"/>
      <c r="Y21" s="366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7"/>
      <c r="M22" s="2711"/>
      <c r="N22" s="2711"/>
      <c r="O22" s="2769"/>
      <c r="P22" s="3663"/>
      <c r="Q22" s="1351"/>
      <c r="R22" s="704"/>
      <c r="S22" s="705"/>
      <c r="T22" s="704"/>
      <c r="U22" s="705"/>
      <c r="V22" s="704"/>
      <c r="W22" s="705"/>
      <c r="X22" s="1354"/>
      <c r="Y22" s="3663"/>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63"/>
      <c r="Q23" s="1342" t="str">
        <f t="shared" si="8"/>
        <v>公共配套设施</v>
      </c>
      <c r="R23" s="700" t="s">
        <v>14</v>
      </c>
      <c r="S23" s="701">
        <f>F23</f>
        <v>100</v>
      </c>
      <c r="T23" s="700" t="s">
        <v>14</v>
      </c>
      <c r="U23" s="701">
        <f>H23</f>
        <v>100</v>
      </c>
      <c r="V23" s="700" t="s">
        <v>14</v>
      </c>
      <c r="W23" s="701">
        <f>J23</f>
        <v>100</v>
      </c>
      <c r="X23" s="702"/>
      <c r="Y23" s="366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2"/>
      <c r="M24" s="2713"/>
      <c r="N24" s="2713"/>
      <c r="O24" s="2767"/>
      <c r="P24" s="3663"/>
      <c r="Q24" s="1342"/>
      <c r="R24" s="700"/>
      <c r="S24" s="701"/>
      <c r="T24" s="700"/>
      <c r="U24" s="701"/>
      <c r="V24" s="700"/>
      <c r="W24" s="701"/>
      <c r="X24" s="702"/>
      <c r="Y24" s="3663"/>
      <c r="Z24" s="52"/>
      <c r="AA24" s="703">
        <v>1</v>
      </c>
      <c r="AB24" s="703">
        <v>1</v>
      </c>
      <c r="AC24" s="703">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63"/>
      <c r="Q25" s="1342" t="str">
        <f t="shared" ref="Q25" si="9">B25</f>
        <v>基础设施水平</v>
      </c>
      <c r="R25" s="700" t="s">
        <v>14</v>
      </c>
      <c r="S25" s="701">
        <f>F25</f>
        <v>100</v>
      </c>
      <c r="T25" s="700" t="s">
        <v>14</v>
      </c>
      <c r="U25" s="701">
        <f>H25</f>
        <v>100</v>
      </c>
      <c r="V25" s="700" t="s">
        <v>14</v>
      </c>
      <c r="W25" s="701">
        <f>J25</f>
        <v>100</v>
      </c>
      <c r="X25" s="702"/>
      <c r="Y25" s="366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2"/>
      <c r="M26" s="2713"/>
      <c r="N26" s="2713"/>
      <c r="O26" s="2767"/>
      <c r="P26" s="3663"/>
      <c r="Q26" s="1342"/>
      <c r="R26" s="700"/>
      <c r="S26" s="701"/>
      <c r="T26" s="700"/>
      <c r="U26" s="701"/>
      <c r="V26" s="700"/>
      <c r="W26" s="701"/>
      <c r="X26" s="702"/>
      <c r="Y26" s="3663"/>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6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3"/>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63"/>
      <c r="Q28" s="1351" t="str">
        <f t="shared" si="8"/>
        <v>毗邻道路的类型与等级</v>
      </c>
      <c r="R28" s="704" t="s">
        <v>14</v>
      </c>
      <c r="S28" s="705">
        <f t="shared" si="10"/>
        <v>100</v>
      </c>
      <c r="T28" s="704" t="s">
        <v>14</v>
      </c>
      <c r="U28" s="705">
        <f t="shared" si="11"/>
        <v>100</v>
      </c>
      <c r="V28" s="704" t="s">
        <v>14</v>
      </c>
      <c r="W28" s="705">
        <f t="shared" si="12"/>
        <v>100</v>
      </c>
      <c r="X28" s="1354"/>
      <c r="Y28" s="366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7"/>
      <c r="M29" s="2711"/>
      <c r="N29" s="2711"/>
      <c r="O29" s="2769"/>
      <c r="P29" s="3663"/>
      <c r="Q29" s="1351"/>
      <c r="R29" s="704"/>
      <c r="S29" s="705"/>
      <c r="T29" s="704"/>
      <c r="U29" s="705"/>
      <c r="V29" s="704"/>
      <c r="W29" s="705"/>
      <c r="X29" s="1354"/>
      <c r="Y29" s="3663"/>
      <c r="Z29" s="1355"/>
      <c r="AA29" s="1352">
        <v>1</v>
      </c>
      <c r="AB29" s="1352">
        <v>1</v>
      </c>
      <c r="AC29" s="1352">
        <v>1</v>
      </c>
    </row>
    <row r="30" spans="1:29" ht="15">
      <c r="A30" s="379"/>
      <c r="B30" s="602" t="s">
        <v>1871</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63"/>
      <c r="Q30" s="1351" t="str">
        <f t="shared" si="8"/>
        <v>土地级别</v>
      </c>
      <c r="R30" s="704" t="s">
        <v>14</v>
      </c>
      <c r="S30" s="705">
        <f t="shared" si="10"/>
        <v>100</v>
      </c>
      <c r="T30" s="704" t="s">
        <v>14</v>
      </c>
      <c r="U30" s="705">
        <f t="shared" si="11"/>
        <v>100</v>
      </c>
      <c r="V30" s="704" t="s">
        <v>14</v>
      </c>
      <c r="W30" s="705">
        <f t="shared" si="12"/>
        <v>100</v>
      </c>
      <c r="X30" s="1354"/>
      <c r="Y30" s="366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63"/>
      <c r="Q31" s="1351">
        <f t="shared" si="8"/>
        <v>111</v>
      </c>
      <c r="R31" s="704" t="s">
        <v>14</v>
      </c>
      <c r="S31" s="705">
        <f t="shared" si="10"/>
        <v>100</v>
      </c>
      <c r="T31" s="704" t="s">
        <v>14</v>
      </c>
      <c r="U31" s="705">
        <f t="shared" si="11"/>
        <v>100</v>
      </c>
      <c r="V31" s="704" t="s">
        <v>14</v>
      </c>
      <c r="W31" s="705">
        <f t="shared" si="12"/>
        <v>100</v>
      </c>
      <c r="X31" s="1354"/>
      <c r="Y31" s="366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18" t="s">
        <v>1694</v>
      </c>
      <c r="Q32" s="1351">
        <f t="shared" si="8"/>
        <v>111</v>
      </c>
      <c r="R32" s="704" t="s">
        <v>14</v>
      </c>
      <c r="S32" s="705">
        <f t="shared" si="10"/>
        <v>100</v>
      </c>
      <c r="T32" s="704" t="s">
        <v>14</v>
      </c>
      <c r="U32" s="705">
        <f t="shared" si="11"/>
        <v>100</v>
      </c>
      <c r="V32" s="704" t="s">
        <v>14</v>
      </c>
      <c r="W32" s="705">
        <f t="shared" si="12"/>
        <v>100</v>
      </c>
      <c r="X32" s="1354"/>
      <c r="Y32" s="3667"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67"/>
      <c r="Q33" s="1351">
        <f t="shared" si="8"/>
        <v>111</v>
      </c>
      <c r="R33" s="707" t="s">
        <v>14</v>
      </c>
      <c r="S33" s="708">
        <f t="shared" si="10"/>
        <v>100</v>
      </c>
      <c r="T33" s="707" t="s">
        <v>14</v>
      </c>
      <c r="U33" s="708">
        <f t="shared" si="11"/>
        <v>100</v>
      </c>
      <c r="V33" s="707" t="s">
        <v>14</v>
      </c>
      <c r="W33" s="708">
        <f t="shared" si="12"/>
        <v>100</v>
      </c>
      <c r="X33" s="709"/>
      <c r="Y33" s="3667"/>
      <c r="Z33" s="710">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67"/>
      <c r="Q34" s="1351" t="str">
        <f>B34</f>
        <v>宗地面积</v>
      </c>
      <c r="R34" s="704" t="s">
        <v>14</v>
      </c>
      <c r="S34" s="705" t="e">
        <f t="shared" si="10"/>
        <v>#N/A</v>
      </c>
      <c r="T34" s="704" t="s">
        <v>14</v>
      </c>
      <c r="U34" s="705" t="e">
        <f t="shared" si="11"/>
        <v>#N/A</v>
      </c>
      <c r="V34" s="704" t="s">
        <v>14</v>
      </c>
      <c r="W34" s="705" t="e">
        <f t="shared" si="12"/>
        <v>#N/A</v>
      </c>
      <c r="X34" s="1354"/>
      <c r="Y34" s="3667"/>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667"/>
      <c r="Q35" s="1351" t="str">
        <f t="shared" ref="Q35:Q40" si="14">B35</f>
        <v>宗地形状</v>
      </c>
      <c r="R35" s="704" t="s">
        <v>14</v>
      </c>
      <c r="S35" s="705">
        <f t="shared" si="10"/>
        <v>100</v>
      </c>
      <c r="T35" s="704" t="s">
        <v>14</v>
      </c>
      <c r="U35" s="705">
        <f t="shared" si="11"/>
        <v>100</v>
      </c>
      <c r="V35" s="704" t="s">
        <v>14</v>
      </c>
      <c r="W35" s="705">
        <f t="shared" si="12"/>
        <v>100</v>
      </c>
      <c r="X35" s="1354"/>
      <c r="Y35" s="3667"/>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2"/>
      <c r="M36" s="2713"/>
      <c r="N36" s="2713"/>
      <c r="O36" s="2767"/>
      <c r="P36" s="3667"/>
      <c r="Q36" s="1351" t="str">
        <f t="shared" si="14"/>
        <v>宗地开发程度</v>
      </c>
      <c r="R36" s="700" t="s">
        <v>14</v>
      </c>
      <c r="S36" s="701">
        <f t="shared" si="10"/>
        <v>100</v>
      </c>
      <c r="T36" s="700" t="s">
        <v>14</v>
      </c>
      <c r="U36" s="701">
        <f t="shared" si="11"/>
        <v>100</v>
      </c>
      <c r="V36" s="700" t="s">
        <v>14</v>
      </c>
      <c r="W36" s="701">
        <f t="shared" si="12"/>
        <v>100</v>
      </c>
      <c r="X36" s="702"/>
      <c r="Y36" s="3667"/>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667" t="s">
        <v>1694</v>
      </c>
      <c r="Q37" s="1351" t="str">
        <f t="shared" si="14"/>
        <v>工程地质条件</v>
      </c>
      <c r="R37" s="704" t="s">
        <v>14</v>
      </c>
      <c r="S37" s="705">
        <f t="shared" si="10"/>
        <v>100</v>
      </c>
      <c r="T37" s="704" t="s">
        <v>14</v>
      </c>
      <c r="U37" s="705">
        <f t="shared" si="11"/>
        <v>100</v>
      </c>
      <c r="V37" s="704" t="s">
        <v>14</v>
      </c>
      <c r="W37" s="705">
        <f t="shared" si="12"/>
        <v>100</v>
      </c>
      <c r="X37" s="1354"/>
      <c r="Y37" s="3667" t="s">
        <v>1694</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67"/>
      <c r="Q38" s="1351">
        <f t="shared" si="14"/>
        <v>111</v>
      </c>
      <c r="R38" s="704" t="s">
        <v>14</v>
      </c>
      <c r="S38" s="705">
        <f t="shared" si="10"/>
        <v>100</v>
      </c>
      <c r="T38" s="704" t="s">
        <v>14</v>
      </c>
      <c r="U38" s="705">
        <f t="shared" si="11"/>
        <v>100</v>
      </c>
      <c r="V38" s="704" t="s">
        <v>14</v>
      </c>
      <c r="W38" s="705">
        <f t="shared" si="12"/>
        <v>100</v>
      </c>
      <c r="X38" s="1354"/>
      <c r="Y38" s="366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67"/>
      <c r="Q39" s="1351">
        <f t="shared" si="14"/>
        <v>111</v>
      </c>
      <c r="R39" s="704" t="s">
        <v>14</v>
      </c>
      <c r="S39" s="705">
        <f t="shared" si="10"/>
        <v>100</v>
      </c>
      <c r="T39" s="704" t="s">
        <v>14</v>
      </c>
      <c r="U39" s="705">
        <f t="shared" si="11"/>
        <v>100</v>
      </c>
      <c r="V39" s="704" t="s">
        <v>14</v>
      </c>
      <c r="W39" s="705">
        <f t="shared" si="12"/>
        <v>100</v>
      </c>
      <c r="X39" s="1354"/>
      <c r="Y39" s="366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67"/>
      <c r="Q40" s="1351">
        <f t="shared" si="14"/>
        <v>111</v>
      </c>
      <c r="R40" s="707" t="s">
        <v>14</v>
      </c>
      <c r="S40" s="708">
        <f t="shared" si="10"/>
        <v>100</v>
      </c>
      <c r="T40" s="707" t="s">
        <v>14</v>
      </c>
      <c r="U40" s="708">
        <f t="shared" si="11"/>
        <v>100</v>
      </c>
      <c r="V40" s="707" t="s">
        <v>14</v>
      </c>
      <c r="W40" s="708">
        <f t="shared" si="12"/>
        <v>100</v>
      </c>
      <c r="X40" s="709"/>
      <c r="Y40" s="3667"/>
      <c r="Z40" s="710">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3"/>
      <c r="L41" s="2719"/>
      <c r="M41" s="2711"/>
      <c r="N41" s="2711"/>
      <c r="O41" s="2720"/>
      <c r="P41" s="3660" t="str">
        <f>A41</f>
        <v>成交单价</v>
      </c>
      <c r="Q41" s="3660"/>
      <c r="R41" s="3691">
        <f>E41</f>
        <v>0</v>
      </c>
      <c r="S41" s="3691"/>
      <c r="T41" s="3691">
        <f>G41</f>
        <v>0</v>
      </c>
      <c r="U41" s="3691"/>
      <c r="V41" s="3691">
        <f>I41</f>
        <v>0</v>
      </c>
      <c r="W41" s="3691"/>
      <c r="X41" s="689"/>
      <c r="Y41" s="711"/>
      <c r="Z41" s="689"/>
      <c r="AA41" s="689"/>
      <c r="AB41" s="689"/>
      <c r="AC41" s="689"/>
    </row>
    <row r="42" spans="1:31" ht="15.75" thickBot="1">
      <c r="A42" s="437" t="s">
        <v>1791</v>
      </c>
      <c r="B42" s="631"/>
      <c r="C42" s="440" t="e">
        <f>R43</f>
        <v>#DIV/0!</v>
      </c>
      <c r="D42" s="2316" t="s">
        <v>2135</v>
      </c>
      <c r="E42" s="440" t="e">
        <f>R42</f>
        <v>#DIV/0!</v>
      </c>
      <c r="F42" s="2317"/>
      <c r="G42" s="439" t="e">
        <f>T42</f>
        <v>#DIV/0!</v>
      </c>
      <c r="H42" s="2317"/>
      <c r="I42" s="440" t="e">
        <f>V42</f>
        <v>#DIV/0!</v>
      </c>
      <c r="J42" s="2317"/>
      <c r="K42" s="2319">
        <f>F42+H42+J42</f>
        <v>0</v>
      </c>
      <c r="L42" s="2719"/>
      <c r="M42" s="2711"/>
      <c r="N42" s="2711"/>
      <c r="O42" s="2720"/>
      <c r="P42" s="3660" t="str">
        <f>A42</f>
        <v>比较价值（元/平方米）</v>
      </c>
      <c r="Q42" s="3660"/>
      <c r="R42" s="3720" t="e">
        <f>ROUND(PRODUCT(R41,AA7:AA40),0)</f>
        <v>#DIV/0!</v>
      </c>
      <c r="S42" s="3720"/>
      <c r="T42" s="3720" t="e">
        <f>ROUND(PRODUCT(T41,AB7:AB40),0)</f>
        <v>#DIV/0!</v>
      </c>
      <c r="U42" s="3720"/>
      <c r="V42" s="3720" t="e">
        <f>ROUND(PRODUCT(V41,AC7:AC40),0)</f>
        <v>#DIV/0!</v>
      </c>
      <c r="W42" s="3720"/>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657" t="str">
        <f>A43</f>
        <v>估价对象XX用房的比较价值（楼面单价，元/平方米）</v>
      </c>
      <c r="Q43" s="3658"/>
      <c r="R43" s="3721" t="e">
        <f>ROUND(IF(D42="简单平均",AVERAGE(R42:W42),R42*F42+T42*H42+V42*J42),0)</f>
        <v>#DIV/0!</v>
      </c>
      <c r="S43" s="3721"/>
      <c r="T43" s="3721"/>
      <c r="U43" s="3721"/>
      <c r="V43" s="3721"/>
      <c r="W43" s="3721"/>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82" t="s">
        <v>1881</v>
      </c>
      <c r="D50" s="1983" t="s">
        <v>1882</v>
      </c>
      <c r="E50" s="634" t="s">
        <v>1883</v>
      </c>
      <c r="F50" s="635" t="s">
        <v>1884</v>
      </c>
      <c r="G50" s="3675" t="s">
        <v>1885</v>
      </c>
      <c r="H50" s="3722"/>
      <c r="I50" s="1355" t="s">
        <v>1921</v>
      </c>
      <c r="J50" s="1355">
        <f>项目基本情况!F35</f>
        <v>0</v>
      </c>
      <c r="K50" s="1985"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402.39</v>
      </c>
      <c r="F51" s="639" t="e">
        <f t="shared" ref="F51:F60" si="15">ROUND(B51*E51/10000,0)</f>
        <v>#DIV/0!</v>
      </c>
      <c r="G51" s="3671"/>
      <c r="H51" s="3660"/>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6"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v>
      </c>
      <c r="D58" s="944">
        <v>0.25</v>
      </c>
      <c r="E58" s="217">
        <f>'数据-汇总表'!E13</f>
        <v>0</v>
      </c>
      <c r="F58" s="639" t="e">
        <f t="shared" si="15"/>
        <v>#DIV/0!</v>
      </c>
      <c r="G58" s="891" t="s">
        <v>1898</v>
      </c>
      <c r="H58" s="886">
        <f>IF(G58="商业",项目基本情况!B37,IF(G58="办公",项目基本情况!C37,IF(G58="住宅",项目基本情况!D37,项目基本情况!E37)))</f>
        <v>0</v>
      </c>
      <c r="I58" s="772">
        <f>SUMIF(修正!A57:A68,H58,修正!G57:G68)</f>
        <v>0</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6"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7"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8" t="s">
        <v>1902</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90" zoomScaleNormal="90" workbookViewId="0">
      <pane ySplit="24" topLeftCell="A25" activePane="bottomLeft" state="frozen"/>
      <selection activeCell="C50" sqref="C50"/>
      <selection pane="bottomLeft" activeCell="S21" sqref="S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30" t="s">
        <v>2082</v>
      </c>
      <c r="D1" s="3731"/>
      <c r="E1" s="3731"/>
      <c r="F1" s="3731"/>
      <c r="G1" s="3731"/>
      <c r="H1" s="3731"/>
      <c r="I1" s="3731"/>
      <c r="J1" s="3731"/>
      <c r="K1" s="3731"/>
      <c r="L1" s="3731"/>
      <c r="M1" s="3731"/>
      <c r="N1" s="3731"/>
      <c r="O1" s="3731"/>
      <c r="P1" s="3731"/>
      <c r="Q1" s="3731"/>
      <c r="R1" s="3731"/>
      <c r="S1" s="3732"/>
      <c r="T1" s="982" t="s">
        <v>2083</v>
      </c>
    </row>
    <row r="2" spans="1:45" s="655" customFormat="1">
      <c r="A2" s="983"/>
      <c r="B2" s="651" t="s">
        <v>2084</v>
      </c>
      <c r="C2" s="652" t="str">
        <f t="shared" ref="C2:L2" si="0">C3&amp;"(含)"&amp;"-"&amp;D3</f>
        <v>0(含)-30</v>
      </c>
      <c r="D2" s="653" t="str">
        <f t="shared" si="0"/>
        <v>30(含)-60</v>
      </c>
      <c r="E2" s="653" t="str">
        <f t="shared" si="0"/>
        <v>60(含)-100</v>
      </c>
      <c r="F2" s="653" t="str">
        <f t="shared" si="0"/>
        <v>100(含)-200</v>
      </c>
      <c r="G2" s="653" t="str">
        <f t="shared" si="0"/>
        <v>200(含)-500</v>
      </c>
      <c r="H2" s="653" t="str">
        <f t="shared" si="0"/>
        <v>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30</v>
      </c>
      <c r="E3" s="657">
        <f>'比较法-商业'!E103</f>
        <v>60</v>
      </c>
      <c r="F3" s="657">
        <f>'比较法-商业'!F103</f>
        <v>100</v>
      </c>
      <c r="G3" s="657">
        <f>'比较法-商业'!G103</f>
        <v>200</v>
      </c>
      <c r="H3" s="657">
        <f>'比较法-商业'!H103</f>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98</v>
      </c>
      <c r="E4" s="657">
        <f>'比较法-商业'!E104</f>
        <v>96</v>
      </c>
      <c r="F4" s="657">
        <f>'比较法-商业'!F104</f>
        <v>94</v>
      </c>
      <c r="G4" s="657">
        <f>'比较法-商业'!G104</f>
        <v>92</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3"/>
      <c r="B5" s="3798" t="s">
        <v>3451</v>
      </c>
      <c r="C5" s="3799" t="s">
        <v>3452</v>
      </c>
      <c r="D5" s="995"/>
      <c r="E5" s="995"/>
      <c r="F5" s="1311"/>
      <c r="G5" s="1311"/>
      <c r="H5" s="1311"/>
      <c r="I5" s="1311"/>
      <c r="J5" s="1311"/>
      <c r="K5" s="1311"/>
      <c r="L5" s="1312"/>
      <c r="M5" s="1313"/>
      <c r="N5" s="1313"/>
      <c r="O5" s="1311"/>
      <c r="P5" s="1311"/>
      <c r="Q5" s="1311"/>
      <c r="R5" s="1311"/>
      <c r="S5" s="1314"/>
      <c r="T5" s="997">
        <v>2</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98</v>
      </c>
      <c r="E6" s="901">
        <f t="shared" ref="E6:S6" si="7">D6-$T5</f>
        <v>96</v>
      </c>
      <c r="F6" s="1315">
        <f t="shared" si="7"/>
        <v>94</v>
      </c>
      <c r="G6" s="1315">
        <f t="shared" si="7"/>
        <v>92</v>
      </c>
      <c r="H6" s="1315">
        <f t="shared" si="7"/>
        <v>90</v>
      </c>
      <c r="I6" s="1315">
        <f t="shared" si="7"/>
        <v>88</v>
      </c>
      <c r="J6" s="1315">
        <f t="shared" si="7"/>
        <v>86</v>
      </c>
      <c r="K6" s="1315">
        <f t="shared" si="7"/>
        <v>84</v>
      </c>
      <c r="L6" s="1315">
        <f t="shared" si="7"/>
        <v>82</v>
      </c>
      <c r="M6" s="1315">
        <f t="shared" si="7"/>
        <v>80</v>
      </c>
      <c r="N6" s="1315">
        <f t="shared" si="7"/>
        <v>78</v>
      </c>
      <c r="O6" s="1315">
        <f t="shared" si="7"/>
        <v>76</v>
      </c>
      <c r="P6" s="1315">
        <f t="shared" si="7"/>
        <v>74</v>
      </c>
      <c r="Q6" s="1315">
        <f t="shared" si="7"/>
        <v>72</v>
      </c>
      <c r="R6" s="1315">
        <f t="shared" si="7"/>
        <v>70</v>
      </c>
      <c r="S6" s="1315">
        <f t="shared" si="7"/>
        <v>68</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2090</v>
      </c>
      <c r="B17" s="2148" t="s">
        <v>2091</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f ca="1">IF(D20="——",S22,S22-F20)</f>
        <v>1603</v>
      </c>
      <c r="C20" s="159"/>
      <c r="D20" s="2150" t="s">
        <v>43</v>
      </c>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f ca="1">ROUND(B20*10000/B22,0)</f>
        <v>31954</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501.65999999999997</v>
      </c>
      <c r="C22" s="3727" t="s">
        <v>27</v>
      </c>
      <c r="D22" s="3728"/>
      <c r="E22" s="3728"/>
      <c r="F22" s="3728"/>
      <c r="G22" s="3728"/>
      <c r="H22" s="3728"/>
      <c r="I22" s="3728"/>
      <c r="J22" s="3728"/>
      <c r="K22" s="3728"/>
      <c r="L22" s="3728"/>
      <c r="M22" s="3728"/>
      <c r="N22" s="3728"/>
      <c r="O22" s="3728"/>
      <c r="P22" s="3728"/>
      <c r="Q22" s="3729"/>
      <c r="R22" s="662">
        <f ca="1">ROUND(S22*10000/B22,0)</f>
        <v>31954</v>
      </c>
      <c r="S22" s="21">
        <f ca="1">SUM(S24:S10000)</f>
        <v>1603</v>
      </c>
      <c r="U22" s="3801" t="s">
        <v>3453</v>
      </c>
    </row>
    <row r="23" spans="1:45" s="9" customFormat="1" ht="24">
      <c r="A23" s="8" t="s">
        <v>2097</v>
      </c>
      <c r="B23" s="8" t="s">
        <v>2098</v>
      </c>
      <c r="C23" s="8" t="s">
        <v>2099</v>
      </c>
      <c r="D23" s="8" t="str">
        <f>B5</f>
        <v>装修</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3800" t="s">
        <v>3456</v>
      </c>
      <c r="U23" s="3800" t="s">
        <v>3454</v>
      </c>
      <c r="V23" s="3800" t="s">
        <v>3455</v>
      </c>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v>402.39</v>
      </c>
      <c r="C24" s="2805">
        <v>1</v>
      </c>
      <c r="D24" s="2806" t="s">
        <v>3429</v>
      </c>
      <c r="E24" s="2805">
        <v>1</v>
      </c>
      <c r="F24" s="2806"/>
      <c r="G24" s="2805">
        <v>1</v>
      </c>
      <c r="H24" s="2806"/>
      <c r="I24" s="2805">
        <v>1</v>
      </c>
      <c r="J24" s="2806"/>
      <c r="K24" s="2805">
        <v>1</v>
      </c>
      <c r="L24" s="2806"/>
      <c r="M24" s="2805">
        <v>1</v>
      </c>
      <c r="N24" s="2806"/>
      <c r="O24" s="2805">
        <v>1</v>
      </c>
      <c r="P24" s="2806">
        <v>1</v>
      </c>
      <c r="Q24" s="2805">
        <v>1</v>
      </c>
      <c r="R24" s="667">
        <f ca="1">结果表!G20</f>
        <v>33782</v>
      </c>
      <c r="S24" s="665">
        <f t="shared" ref="S24:S54" ca="1" si="11">ROUND(R24*B24/10000,0)</f>
        <v>1359</v>
      </c>
      <c r="T24" s="729">
        <f ca="1">ROUND((U24-R24)/U24,3)</f>
        <v>0.05</v>
      </c>
      <c r="U24" s="729">
        <v>35548</v>
      </c>
      <c r="V24" s="729">
        <v>1430.4</v>
      </c>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v>99.27</v>
      </c>
      <c r="C25" s="21">
        <f>IF(B25="",1,(LOOKUP(B25,$3:$3,$4:$4)-LOOKUP($B$24,$3:$3,$4:$4)+100)/100)</f>
        <v>1.04</v>
      </c>
      <c r="D25" s="2806" t="s">
        <v>3429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 ca="1">IF(B25="",0,ROUND($R$24*C25*E25*G25*I25*K25*M25*O25*Q25,0))</f>
        <v>24593</v>
      </c>
      <c r="S25" s="316">
        <f t="shared" ca="1" si="11"/>
        <v>244</v>
      </c>
      <c r="T25" s="729">
        <f ca="1">ROUND((U25-R25)/U25,3)</f>
        <v>5.5E-2</v>
      </c>
      <c r="U25" s="724">
        <v>26025</v>
      </c>
      <c r="V25" s="724">
        <v>258.35000000000002</v>
      </c>
    </row>
    <row r="26" spans="1:45">
      <c r="A26" s="150"/>
      <c r="B26" s="54"/>
      <c r="C26" s="21">
        <f t="shared" ref="C26:C89" si="12">IF(B26="",1,(LOOKUP(B26,$3:$3,$4:$4)-LOOKUP($B$24,$3:$3,$4:$4)+100)/100)</f>
        <v>1</v>
      </c>
      <c r="D26" s="666"/>
      <c r="E26" s="21">
        <f t="shared" ref="E26:E89" si="13">(SUMIF($5:$5,D26,$6:$6)-SUMIF($5:$5,$D$24,$6:$6)+100)/100</f>
        <v>0</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c r="V26" s="724">
        <f>V25+V24</f>
        <v>1688.75</v>
      </c>
    </row>
    <row r="27" spans="1:45">
      <c r="A27" s="150"/>
      <c r="B27" s="54"/>
      <c r="C27" s="21">
        <f t="shared" si="12"/>
        <v>1</v>
      </c>
      <c r="D27" s="666"/>
      <c r="E27" s="21">
        <f t="shared" si="13"/>
        <v>0</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0</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0</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0</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0</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0</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0</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0</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0</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0</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0</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0</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0</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0</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0</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0</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0</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0</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0</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0</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0</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0</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0</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0</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0</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0</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0</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0</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0</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0</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0</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0</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0</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0</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0</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0</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0</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0</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0</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0</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0</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0</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0</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0</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0</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0</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0</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0</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0</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0</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0</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0</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0</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8"/>
      <c r="G1" s="2788"/>
      <c r="H1" s="2788"/>
      <c r="I1" s="2788"/>
      <c r="J1" s="2788"/>
      <c r="K1" s="2788"/>
      <c r="L1" s="2788"/>
      <c r="M1" s="2788"/>
      <c r="N1" s="2788"/>
      <c r="O1" s="2788"/>
      <c r="P1" s="2788"/>
    </row>
    <row r="2" spans="1:16" ht="15.75">
      <c r="A2" s="2144" t="s">
        <v>2071</v>
      </c>
      <c r="B2" s="2598" t="e">
        <f ca="1">SUMIF(B6:B13,"&lt;&gt;#ref!",B6:B13)</f>
        <v>#DIV/0!</v>
      </c>
      <c r="C2" s="2144" t="s">
        <v>2072</v>
      </c>
      <c r="D2" s="2144" t="s">
        <v>2073</v>
      </c>
      <c r="E2" s="2608">
        <f ca="1">SUMIF(E6:E13,"&lt;&gt;#ref!",E6:E13)</f>
        <v>0</v>
      </c>
      <c r="F2" s="2788"/>
      <c r="G2" s="2788"/>
      <c r="H2" s="2788"/>
      <c r="I2" s="2788"/>
      <c r="J2" s="2788"/>
      <c r="K2" s="2788"/>
      <c r="L2" s="2788"/>
      <c r="M2" s="2788"/>
      <c r="N2" s="2788"/>
      <c r="O2" s="2788"/>
      <c r="P2" s="2788"/>
    </row>
    <row r="3" spans="1:16" ht="15.75">
      <c r="A3" s="2144" t="s">
        <v>2074</v>
      </c>
      <c r="B3" s="2598" t="e">
        <f ca="1">ROUND(B2*10000/E2,0)</f>
        <v>#DIV/0!</v>
      </c>
      <c r="C3" s="2144"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2075</v>
      </c>
      <c r="B5" s="2606" t="s">
        <v>2076</v>
      </c>
      <c r="C5" s="2145"/>
      <c r="D5" s="2788"/>
      <c r="E5" s="2607" t="s">
        <v>2077</v>
      </c>
      <c r="F5" s="2788"/>
      <c r="G5" s="2788"/>
      <c r="H5" s="2788"/>
      <c r="I5" s="2788"/>
      <c r="J5" s="2788"/>
      <c r="K5" s="2788"/>
      <c r="L5" s="2788"/>
      <c r="M5" s="2788"/>
      <c r="N5" s="2788"/>
      <c r="O5" s="2788"/>
      <c r="P5" s="2788"/>
    </row>
    <row r="6" spans="1:16" ht="15.75">
      <c r="A6" s="2605" t="s">
        <v>2078</v>
      </c>
      <c r="B6" s="2598" t="e">
        <f ca="1">SUMIF(INDIRECT("'"&amp;A6&amp;"'"&amp;"!A:A"),"总价",INDIRECT("'"&amp;A6&amp;"'"&amp;"!B:B"))</f>
        <v>#DIV/0!</v>
      </c>
      <c r="C6" s="2144" t="s">
        <v>2072</v>
      </c>
      <c r="D6" s="2788"/>
      <c r="E6" s="2608">
        <f ca="1">SUMIF(INDIRECT("'"&amp;A6&amp;"'"&amp;"!C:C"),"建筑面积",INDIRECT("'"&amp;A6&amp;"'"&amp;"!D:D"))</f>
        <v>0</v>
      </c>
      <c r="F6" s="2788"/>
      <c r="G6" s="2788"/>
      <c r="H6" s="2788"/>
      <c r="I6" s="2788"/>
      <c r="J6" s="2788"/>
      <c r="K6" s="2788"/>
      <c r="L6" s="2788"/>
      <c r="M6" s="2788"/>
      <c r="N6" s="2788"/>
      <c r="O6" s="2788"/>
      <c r="P6" s="2788"/>
    </row>
    <row r="7" spans="1:16" ht="15.75">
      <c r="A7" s="2605"/>
      <c r="B7" s="2598" t="e">
        <f ca="1">SUMIF(INDIRECT("'"&amp;A7&amp;"'"&amp;"!A:A"),"总价",INDIRECT("'"&amp;A7&amp;"'"&amp;"!B:B"))</f>
        <v>#REF!</v>
      </c>
      <c r="C7" s="2144" t="s">
        <v>2072</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4" t="s">
        <v>2072</v>
      </c>
      <c r="D8" s="2788"/>
      <c r="E8" s="2608" t="e">
        <f t="shared" ca="1" si="0"/>
        <v>#REF!</v>
      </c>
      <c r="F8" s="2788"/>
      <c r="G8" s="2788"/>
      <c r="H8" s="2788"/>
      <c r="I8" s="2788"/>
      <c r="J8" s="2788"/>
      <c r="K8" s="2788"/>
      <c r="L8" s="2788"/>
      <c r="M8" s="2788"/>
      <c r="N8" s="2788"/>
      <c r="O8" s="2788"/>
      <c r="P8" s="2788"/>
    </row>
    <row r="9" spans="1:16" ht="15.75">
      <c r="A9" s="2605"/>
      <c r="B9" s="2598" t="e">
        <f t="shared" ca="1" si="1"/>
        <v>#REF!</v>
      </c>
      <c r="C9" s="2144" t="s">
        <v>2072</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4" t="s">
        <v>2072</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4" t="s">
        <v>2072</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4" t="s">
        <v>2072</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4" t="s">
        <v>2072</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0</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8" t="s">
        <v>1933</v>
      </c>
      <c r="D2" s="1999" t="s">
        <v>1934</v>
      </c>
      <c r="E2" s="3417"/>
      <c r="F2" s="1999" t="s">
        <v>1935</v>
      </c>
      <c r="G2" s="2000">
        <f>IF(E2="商业",项目基本情况!B37,IF(E2="办公",项目基本情况!C37,IF(E2="住宅",项目基本情况!D37,IF(E2="工业",项目基本情况!E37,项目基本情况!F37))))</f>
        <v>0</v>
      </c>
      <c r="H2" s="1999" t="s">
        <v>1936</v>
      </c>
      <c r="I2" s="2000">
        <f>IF(E2="商业",项目基本情况!B38,IF(E2="办公",项目基本情况!C38,IF(E2="住宅",项目基本情况!D38,IF(E2="工业",项目基本情况!E38,项目基本情况!F38))))</f>
        <v>0</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6">
        <f>ROUND(SUMPRODUCT((B106:B110=R2)*(C105:N105=G2)*(C106:N110)),4)</f>
        <v>0</v>
      </c>
      <c r="T2" s="3356" t="e">
        <f t="shared" ref="T2:T16" si="0">ROUND($C$5*$C$22*$C$23*$C$24*S2*$C$28,0)</f>
        <v>#DIV/0!</v>
      </c>
      <c r="U2" s="1212"/>
      <c r="V2" s="3356"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8" t="s">
        <v>1939</v>
      </c>
      <c r="D3" s="1999" t="s">
        <v>1940</v>
      </c>
      <c r="E3" s="3415"/>
      <c r="F3" s="2003"/>
      <c r="G3" s="751">
        <f>IF(F3="宗地容积率",'数据-汇总表'!I4,IF(F3="估价对象容积率",'数据-汇总表'!I6,'数据-汇总表'!I7))</f>
        <v>0</v>
      </c>
      <c r="H3" s="170" t="s">
        <v>1941</v>
      </c>
      <c r="I3" s="774"/>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6">
        <f>ROUND(SUMPRODUCT((B106:B110=R3)*(C105:N105=G2)*(C106:N110)),4)</f>
        <v>0</v>
      </c>
      <c r="T3" s="3356" t="e">
        <f t="shared" si="0"/>
        <v>#DIV/0!</v>
      </c>
      <c r="U3" s="1212"/>
      <c r="V3" s="3356" t="e">
        <f t="shared" ref="V3:V16" si="1">ROUND(T3*U3/10000,0)</f>
        <v>#DIV/0!</v>
      </c>
      <c r="W3" s="1215"/>
      <c r="X3" s="1215"/>
      <c r="Y3" s="1215"/>
      <c r="Z3" s="1215"/>
      <c r="AA3" s="1215"/>
      <c r="AB3" s="1215"/>
      <c r="AC3" s="1216"/>
      <c r="AD3" s="1217"/>
      <c r="AE3" s="1217"/>
      <c r="AF3" s="1217"/>
      <c r="AG3" s="1217"/>
      <c r="AH3" s="1217"/>
      <c r="AI3" s="1217"/>
      <c r="AJ3" s="1218"/>
    </row>
    <row r="4" spans="1:36" ht="15.75">
      <c r="A4" s="3740"/>
      <c r="B4" s="3741"/>
      <c r="C4" s="3741"/>
      <c r="D4" s="3742"/>
      <c r="E4" s="3742"/>
      <c r="F4" s="3742"/>
      <c r="G4" s="3742"/>
      <c r="H4" s="3742"/>
      <c r="I4" s="3742"/>
      <c r="J4" s="3743"/>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6">
        <f>ROUND(SUMPRODUCT((B106:B110=R4)*(C105:N105=G2)*(C106:N110)),4)</f>
        <v>0</v>
      </c>
      <c r="T4" s="3356" t="e">
        <f t="shared" si="0"/>
        <v>#DIV/0!</v>
      </c>
      <c r="U4" s="1212"/>
      <c r="V4" s="3356"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t="e">
        <f>ROUND(IF(E2="商业",C6*C7*C17+C20,(IF(E2="住宅",C6*C13*C17+C20,IF(E2="办公",C6*C12*C17+C20,C6+C20)))),0)</f>
        <v>#DIV/0!</v>
      </c>
      <c r="D5" s="1338" t="e">
        <f>ROUND(C6*C17+C20,0)</f>
        <v>#DIV/0!</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6">
        <f>ROUND(SUMPRODUCT((B106:B110=R5)*(C105:N105=G2)*(C106:N110)),4)</f>
        <v>0</v>
      </c>
      <c r="T5" s="3356" t="e">
        <f t="shared" si="0"/>
        <v>#DIV/0!</v>
      </c>
      <c r="U5" s="1212"/>
      <c r="V5" s="3356" t="e">
        <f t="shared" si="1"/>
        <v>#DIV/0!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6">
        <f>ROUND(SUMPRODUCT((B106:B110=R6)*(C105:N105=G2)*(C106:N110)),4)</f>
        <v>0</v>
      </c>
      <c r="T6" s="3356" t="e">
        <f t="shared" si="0"/>
        <v>#DIV/0!</v>
      </c>
      <c r="U6" s="1212"/>
      <c r="V6" s="3356" t="e">
        <f t="shared" si="1"/>
        <v>#DIV/0!</v>
      </c>
      <c r="W6" s="1215"/>
      <c r="X6" s="1215"/>
      <c r="Y6" s="1215"/>
      <c r="Z6" s="1215"/>
      <c r="AA6" s="1215"/>
      <c r="AB6" s="1215"/>
      <c r="AC6" s="2010"/>
      <c r="AD6" s="2011"/>
      <c r="AE6" s="2011"/>
      <c r="AF6" s="2011"/>
      <c r="AG6" s="2011"/>
      <c r="AH6" s="2011"/>
      <c r="AI6" s="2011"/>
      <c r="AJ6" s="2012"/>
    </row>
    <row r="7" spans="1:36" ht="24.75" thickBot="1">
      <c r="A7" s="3299" t="s">
        <v>3232</v>
      </c>
      <c r="B7" s="2020" t="s">
        <v>1950</v>
      </c>
      <c r="C7" s="754" t="e">
        <f>IF(C8="不临65条商业街",1,ROUND(1+(1.6*E8+1.2*E9+0.8*E10+0.4*E11)*C9,4))</f>
        <v>#DIV/0!</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4"/>
      <c r="T7" s="3356" t="e">
        <f t="shared" si="0"/>
        <v>#DIV/0!</v>
      </c>
      <c r="U7" s="1212"/>
      <c r="V7" s="3356" t="e">
        <f t="shared" si="1"/>
        <v>#DIV/0!</v>
      </c>
      <c r="W7" s="1357" t="s">
        <v>1953</v>
      </c>
      <c r="X7" s="1213">
        <f>G2</f>
        <v>0</v>
      </c>
      <c r="Y7" s="1213" t="s">
        <v>1954</v>
      </c>
      <c r="Z7" s="1214">
        <f>G3</f>
        <v>0</v>
      </c>
      <c r="AA7" s="1215"/>
      <c r="AB7" s="1215"/>
      <c r="AC7" s="1216"/>
      <c r="AD7" s="1217"/>
      <c r="AE7" s="1217"/>
      <c r="AF7" s="1217"/>
      <c r="AG7" s="1217"/>
      <c r="AH7" s="1217"/>
      <c r="AI7" s="1217"/>
      <c r="AJ7" s="1218"/>
    </row>
    <row r="8" spans="1:36" ht="15">
      <c r="A8" s="3294"/>
      <c r="B8" s="170" t="s">
        <v>1955</v>
      </c>
      <c r="C8" s="2025"/>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6" t="e">
        <f t="shared" si="0"/>
        <v>#DIV/0!</v>
      </c>
      <c r="U8" s="1212"/>
      <c r="V8" s="3356" t="e">
        <f t="shared" si="1"/>
        <v>#DIV/0!</v>
      </c>
      <c r="W8" s="3737" t="s">
        <v>1958</v>
      </c>
      <c r="X8" s="3738"/>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4"/>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6" t="e">
        <f t="shared" si="0"/>
        <v>#DIV/0!</v>
      </c>
      <c r="U9" s="1212"/>
      <c r="V9" s="3356" t="e">
        <f t="shared" si="1"/>
        <v>#DIV/0!</v>
      </c>
      <c r="W9" s="3739"/>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6" t="e">
        <f t="shared" si="0"/>
        <v>#DIV/0!</v>
      </c>
      <c r="U10" s="1212"/>
      <c r="V10" s="3356" t="e">
        <f t="shared" si="1"/>
        <v>#DIV/0!</v>
      </c>
      <c r="W10" s="373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6" t="e">
        <f t="shared" si="0"/>
        <v>#DIV/0!</v>
      </c>
      <c r="U11" s="1212"/>
      <c r="V11" s="3356" t="e">
        <f t="shared" si="1"/>
        <v>#DIV/0!</v>
      </c>
      <c r="W11" s="1215"/>
      <c r="X11" s="1215"/>
      <c r="Y11" s="1215"/>
      <c r="Z11" s="1215"/>
      <c r="AA11" s="1215"/>
      <c r="AB11" s="1215"/>
      <c r="AC11" s="1216"/>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6" t="e">
        <f t="shared" si="0"/>
        <v>#DIV/0!</v>
      </c>
      <c r="U12" s="1212"/>
      <c r="V12" s="3356" t="e">
        <f t="shared" si="1"/>
        <v>#DIV/0!</v>
      </c>
      <c r="W12" s="1215"/>
      <c r="X12" s="1215"/>
      <c r="Y12" s="1215"/>
      <c r="Z12" s="1215"/>
      <c r="AA12" s="1215"/>
      <c r="AB12" s="1215"/>
      <c r="AC12" s="1216"/>
      <c r="AD12" s="2784"/>
      <c r="AE12" s="2784"/>
      <c r="AF12" s="2784"/>
      <c r="AG12" s="2784"/>
      <c r="AH12" s="2784"/>
      <c r="AI12" s="2784"/>
      <c r="AJ12" s="2785"/>
    </row>
    <row r="13" spans="1:36" ht="15.75" thickBot="1">
      <c r="A13" s="3299" t="s">
        <v>3237</v>
      </c>
      <c r="B13" s="2033" t="s">
        <v>1980</v>
      </c>
      <c r="C13" s="754">
        <f>ROUND(C16*D16*E16*F16*G16*H16*I16*J16,4)</f>
        <v>0</v>
      </c>
      <c r="D13" s="2034" t="s">
        <v>1981</v>
      </c>
      <c r="E13" s="2035"/>
      <c r="F13" s="2035"/>
      <c r="G13" s="2036"/>
      <c r="H13" s="2036"/>
      <c r="I13" s="2036"/>
      <c r="J13" s="2037"/>
      <c r="K13" s="1118"/>
      <c r="L13" s="3295"/>
      <c r="M13" s="3296"/>
      <c r="N13" s="3297"/>
      <c r="O13" s="1118"/>
      <c r="P13" s="1118"/>
      <c r="Q13" s="1118"/>
      <c r="R13" s="1211">
        <v>12</v>
      </c>
      <c r="S13" s="1212"/>
      <c r="T13" s="3356" t="e">
        <f t="shared" si="0"/>
        <v>#DIV/0!</v>
      </c>
      <c r="U13" s="1212"/>
      <c r="V13" s="3356" t="e">
        <f t="shared" si="1"/>
        <v>#DIV/0!</v>
      </c>
      <c r="W13" s="1215"/>
      <c r="X13" s="1215"/>
      <c r="Y13" s="1215"/>
      <c r="Z13" s="1215"/>
      <c r="AA13" s="1215"/>
      <c r="AB13" s="1215"/>
      <c r="AC13" s="1216"/>
      <c r="AD13" s="2784"/>
      <c r="AE13" s="2784"/>
      <c r="AF13" s="2784"/>
      <c r="AG13" s="2784"/>
      <c r="AH13" s="2784"/>
      <c r="AI13" s="2784"/>
      <c r="AJ13" s="2785"/>
    </row>
    <row r="14" spans="1:36" ht="15">
      <c r="A14" s="3293"/>
      <c r="B14" s="2039" t="s">
        <v>1983</v>
      </c>
      <c r="C14" s="2040" t="s">
        <v>1984</v>
      </c>
      <c r="D14" s="1349" t="s">
        <v>1985</v>
      </c>
      <c r="E14" s="27" t="s">
        <v>1986</v>
      </c>
      <c r="F14" s="3307" t="s">
        <v>3238</v>
      </c>
      <c r="G14" s="3307" t="s">
        <v>3238</v>
      </c>
      <c r="H14" s="3307" t="s">
        <v>3238</v>
      </c>
      <c r="I14" s="3307" t="s">
        <v>3238</v>
      </c>
      <c r="J14" s="3307" t="s">
        <v>3238</v>
      </c>
      <c r="K14" s="1118"/>
      <c r="L14" s="1118"/>
      <c r="M14" s="1118"/>
      <c r="N14" s="1118"/>
      <c r="O14" s="1118"/>
      <c r="P14" s="1118"/>
      <c r="Q14" s="1118"/>
      <c r="R14" s="1211">
        <v>13</v>
      </c>
      <c r="S14" s="1212"/>
      <c r="T14" s="3356" t="e">
        <f t="shared" si="0"/>
        <v>#DIV/0!</v>
      </c>
      <c r="U14" s="1212"/>
      <c r="V14" s="3356" t="e">
        <f t="shared" si="1"/>
        <v>#DIV/0!</v>
      </c>
      <c r="W14" s="1215"/>
      <c r="X14" s="1215"/>
      <c r="Y14" s="1215"/>
      <c r="Z14" s="1215"/>
      <c r="AA14" s="1215"/>
      <c r="AB14" s="1215"/>
      <c r="AC14" s="1216"/>
      <c r="AD14" s="2784"/>
      <c r="AE14" s="2784"/>
      <c r="AF14" s="2784"/>
      <c r="AG14" s="2784"/>
      <c r="AH14" s="2784"/>
      <c r="AI14" s="2784"/>
      <c r="AJ14" s="2785"/>
    </row>
    <row r="15" spans="1:36" ht="15">
      <c r="A15" s="3293"/>
      <c r="B15" s="2041"/>
      <c r="C15" s="2042"/>
      <c r="D15" s="2043"/>
      <c r="E15" s="2044"/>
      <c r="F15" s="3308" t="s">
        <v>3239</v>
      </c>
      <c r="G15" s="3309"/>
      <c r="H15" s="3310"/>
      <c r="I15" s="3311"/>
      <c r="J15" s="3312"/>
      <c r="K15" s="1118"/>
      <c r="L15" s="1118"/>
      <c r="M15" s="1118"/>
      <c r="N15" s="1118"/>
      <c r="O15" s="1118"/>
      <c r="P15" s="1118"/>
      <c r="Q15" s="1118"/>
      <c r="R15" s="1211">
        <v>14</v>
      </c>
      <c r="S15" s="1212"/>
      <c r="T15" s="3356" t="e">
        <f t="shared" si="0"/>
        <v>#DIV/0!</v>
      </c>
      <c r="U15" s="1212"/>
      <c r="V15" s="3356" t="e">
        <f t="shared" si="1"/>
        <v>#DIV/0!</v>
      </c>
      <c r="W15" s="1215"/>
      <c r="X15" s="1215"/>
      <c r="Y15" s="1215"/>
      <c r="Z15" s="1215"/>
      <c r="AA15" s="1215"/>
      <c r="AB15" s="1215"/>
      <c r="AC15" s="1216"/>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8"/>
      <c r="L16" s="1996"/>
      <c r="M16" s="1996"/>
      <c r="N16" s="1996"/>
      <c r="O16" s="1996"/>
      <c r="P16" s="1996"/>
      <c r="Q16" s="1118"/>
      <c r="R16" s="1211">
        <v>15</v>
      </c>
      <c r="S16" s="1212"/>
      <c r="T16" s="3356" t="e">
        <f t="shared" si="0"/>
        <v>#DIV/0!</v>
      </c>
      <c r="U16" s="1212"/>
      <c r="V16" s="3356" t="e">
        <f t="shared" si="1"/>
        <v>#DIV/0!</v>
      </c>
      <c r="W16" s="1215"/>
      <c r="X16" s="1215"/>
      <c r="Y16" s="1215"/>
      <c r="Z16" s="1215"/>
      <c r="AA16" s="1215"/>
      <c r="AB16" s="1215"/>
      <c r="AC16" s="1216"/>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5"/>
      <c r="C18" s="3323"/>
      <c r="D18" s="3318" t="s">
        <v>3243</v>
      </c>
      <c r="E18" s="3324"/>
      <c r="F18" s="3319" t="s">
        <v>3246</v>
      </c>
      <c r="G18" s="3323">
        <f>ROUND(1-(1/(POWER(1+G24,E18))),4)</f>
        <v>0</v>
      </c>
      <c r="H18" s="3319" t="s">
        <v>3248</v>
      </c>
      <c r="I18" s="3323">
        <f>ROUND(1-(1/(POWER(1+G24,J24))),4)</f>
        <v>0</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3"/>
    </row>
    <row r="19" spans="1:37" s="2013" customFormat="1" ht="15" thickBot="1">
      <c r="A19" s="3330"/>
      <c r="B19" s="3331"/>
      <c r="C19" s="3332"/>
      <c r="D19" s="3332" t="s">
        <v>3244</v>
      </c>
      <c r="E19" s="3333"/>
      <c r="F19" s="3334" t="s">
        <v>3247</v>
      </c>
      <c r="G19" s="3333"/>
      <c r="H19" s="3332"/>
      <c r="I19" s="3332"/>
      <c r="J19" s="333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6"/>
      <c r="AH19" s="2140"/>
      <c r="AI19" s="2787"/>
      <c r="AJ19" s="2787"/>
      <c r="AK19" s="2056"/>
    </row>
    <row r="20" spans="1:37" s="2013" customFormat="1" ht="14.25">
      <c r="A20" s="3744" t="s">
        <v>3249</v>
      </c>
      <c r="B20" s="167" t="s">
        <v>1992</v>
      </c>
      <c r="C20" s="3320" t="e">
        <f>ROUND(IF(F21="与级别开发程度一致",0,(G21-E21)/C21),0)</f>
        <v>#DIV/0!</v>
      </c>
      <c r="D20" s="3336" t="s">
        <v>1996</v>
      </c>
      <c r="E20" s="3337"/>
      <c r="F20" s="3750" t="s">
        <v>1993</v>
      </c>
      <c r="G20" s="3751"/>
      <c r="H20" s="3321"/>
      <c r="I20" s="3321"/>
      <c r="J20" s="3322"/>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3" customFormat="1" ht="15" thickBot="1">
      <c r="A21" s="3745"/>
      <c r="B21" s="2163" t="s">
        <v>1995</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3" customFormat="1" ht="15.75" thickBot="1">
      <c r="A22" s="2157" t="s">
        <v>363</v>
      </c>
      <c r="B22" s="2158" t="s">
        <v>1998</v>
      </c>
      <c r="C22" s="2159">
        <f>SUMIF(修正!C20:C51,E3,修正!E20:E51)</f>
        <v>0</v>
      </c>
      <c r="D22" s="2160"/>
      <c r="E22" s="2161"/>
      <c r="F22" s="2161"/>
      <c r="G22" s="2161"/>
      <c r="H22" s="2161"/>
      <c r="I22" s="2161"/>
      <c r="J22" s="2162"/>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9" t="s">
        <v>364</v>
      </c>
      <c r="B23" s="2050"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2000</v>
      </c>
      <c r="E23" s="760">
        <v>44197</v>
      </c>
      <c r="F23" s="2053" t="s">
        <v>2001</v>
      </c>
      <c r="G23" s="761">
        <f>'数据-取费表'!B2</f>
        <v>45057</v>
      </c>
      <c r="H23" s="3338" t="s">
        <v>3251</v>
      </c>
      <c r="I23" s="3339" t="str">
        <f>IF(H23="季度增幅（自定义）",SUMIF(N25:N28,E2,O25:O28),"")</f>
        <v/>
      </c>
      <c r="J23" s="3441" t="s">
        <v>3250</v>
      </c>
      <c r="K23" s="1124"/>
      <c r="L23" s="2054" t="s">
        <v>2002</v>
      </c>
      <c r="M23" s="1327">
        <f>ROUND(SUMIF(地价!B2:G2,E2,地价!B16:G16),0)</f>
        <v>0</v>
      </c>
      <c r="N23" s="2055" t="s">
        <v>2003</v>
      </c>
      <c r="O23" s="762">
        <f>ROUNDDOWN(DATEDIF(E23,G23,"M")/3,0)</f>
        <v>9</v>
      </c>
      <c r="P23" s="1121"/>
      <c r="Q23" s="278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t="e">
        <f>ROUND(POWER(1+G24,J24-I24)*(POWER(1+G24,I24)-1)/(POWER(1+G24,J24)-1),4)</f>
        <v>#DIV/0!</v>
      </c>
      <c r="D24" s="2059" t="s">
        <v>2005</v>
      </c>
      <c r="E24" s="1334">
        <f>存贷款利率!E22/100</f>
        <v>4.3499999999999997E-2</v>
      </c>
      <c r="F24" s="2059" t="s">
        <v>1997</v>
      </c>
      <c r="G24" s="767">
        <f>SUMIF(M30:Q30,E2,M33:Q33)</f>
        <v>0</v>
      </c>
      <c r="H24" s="2059" t="s">
        <v>2006</v>
      </c>
      <c r="I24" s="768" t="e">
        <f>SUMIF('数据-取费表'!C6:C15,E2,'数据-取费表'!F6:F15)/COUNTIF('数据-取费表'!C6:C15,E2)</f>
        <v>#DIV/0!</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4" t="s">
        <v>366</v>
      </c>
      <c r="B25" s="2065" t="s">
        <v>3330</v>
      </c>
      <c r="C25" s="770">
        <f>IF(B25="容积率修正",IF(G3&lt;10,D26,J26),C27)</f>
        <v>0</v>
      </c>
      <c r="D25" s="2066"/>
      <c r="E25" s="2066"/>
      <c r="F25" s="2066"/>
      <c r="G25" s="2066"/>
      <c r="H25" s="2066"/>
      <c r="I25" s="2066"/>
      <c r="J25" s="2067"/>
      <c r="K25" s="1124"/>
      <c r="L25" s="2783"/>
      <c r="M25" s="2783"/>
      <c r="N25" s="2068" t="s">
        <v>2011</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0"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71" t="str">
        <f>IF(G3&gt;=10,D115,"——")</f>
        <v>——</v>
      </c>
      <c r="K26" s="1124"/>
      <c r="L26" s="2783"/>
      <c r="M26" s="2783"/>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0</v>
      </c>
      <c r="D28" s="2051"/>
      <c r="E28" s="2076"/>
      <c r="F28" s="2076"/>
      <c r="G28" s="2076"/>
      <c r="H28" s="2076"/>
      <c r="I28" s="2076"/>
      <c r="J28" s="2077"/>
      <c r="K28" s="1124"/>
      <c r="L28" s="2783"/>
      <c r="M28" s="2783"/>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0" t="s">
        <v>2021</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t="e">
        <f>IF(B25="容积率修正",E33+SUM(E37:E42),SUM(V2:V16)+SUM(E37:E42))</f>
        <v>#DIV/0!</v>
      </c>
      <c r="D30" s="2082"/>
      <c r="E30" s="2045"/>
      <c r="F30" s="2083"/>
      <c r="G30" s="2045"/>
      <c r="H30" s="2045"/>
      <c r="I30" s="2045"/>
      <c r="J30" s="2084"/>
      <c r="K30" s="1118"/>
      <c r="L30" s="3346" t="s">
        <v>1934</v>
      </c>
      <c r="M30" s="3347" t="s">
        <v>1988</v>
      </c>
      <c r="N30" s="3347" t="s">
        <v>1989</v>
      </c>
      <c r="O30" s="3347" t="s">
        <v>1990</v>
      </c>
      <c r="P30" s="3347" t="s">
        <v>1991</v>
      </c>
      <c r="Q30" s="3350"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t="e">
        <f>E34+SUM(I37:I42)</f>
        <v>#DIV/0!</v>
      </c>
      <c r="D31" s="2086"/>
      <c r="E31" s="2087"/>
      <c r="F31" s="2088"/>
      <c r="G31" s="2087"/>
      <c r="H31" s="2087"/>
      <c r="I31" s="2087"/>
      <c r="J31" s="2089"/>
      <c r="K31" s="1118"/>
      <c r="L31" s="3348" t="s">
        <v>1994</v>
      </c>
      <c r="M31" s="1999">
        <v>0.25</v>
      </c>
      <c r="N31" s="1999">
        <v>0.2</v>
      </c>
      <c r="O31" s="1999">
        <v>0.15</v>
      </c>
      <c r="P31" s="1999">
        <v>0.1</v>
      </c>
      <c r="Q31" s="334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49" t="s">
        <v>1997</v>
      </c>
      <c r="M32" s="2566">
        <f>ROUND($E$24*(1+M31),3)</f>
        <v>5.3999999999999999E-2</v>
      </c>
      <c r="N32" s="2566">
        <f>ROUND($E$24*(1+N31),3)</f>
        <v>5.1999999999999998E-2</v>
      </c>
      <c r="O32" s="2566">
        <f>ROUND($E$24*(1+O31),3)</f>
        <v>0.05</v>
      </c>
      <c r="P32" s="2566">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t="e">
        <f>ROUND(C5*C22*C23*C24*C25*C28,0)</f>
        <v>#DIV/0!</v>
      </c>
      <c r="D33" s="2097"/>
      <c r="E33" s="772" t="e">
        <f>ROUND(C33*D33/10000,0)</f>
        <v>#DIV/0!</v>
      </c>
      <c r="F33" s="3341" t="s">
        <v>3255</v>
      </c>
      <c r="G33" s="2098"/>
      <c r="H33" s="2098"/>
      <c r="I33" s="2098"/>
      <c r="J33" s="2099"/>
      <c r="K33" s="1118"/>
      <c r="L33" s="3344" t="s">
        <v>3258</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t="e">
        <f>ROUND(IF(E2="工业",C33*M42,IF(B25="楼层修正",SUM(V2:V16)*M41*10000/D34,C33*M41)),0)</f>
        <v>#DIV/0!</v>
      </c>
      <c r="D34" s="2102"/>
      <c r="E34" s="772" t="e">
        <f>ROUND(IF(B25="楼层修正",SUM(V2:V16)*M40,C34*D34/10000),0)</f>
        <v>#DIV/0!</v>
      </c>
      <c r="F34" s="2103" t="s">
        <v>2030</v>
      </c>
      <c r="G34" s="2104"/>
      <c r="H34" s="2104"/>
      <c r="I34" s="2104"/>
      <c r="J34" s="2105"/>
      <c r="K34" s="1118"/>
      <c r="L34" s="3344" t="s">
        <v>3259</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2" t="s">
        <v>3256</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2" t="s">
        <v>3260</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48"/>
      <c r="B37" s="2112" t="s">
        <v>2034</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7"/>
      <c r="K37" s="3354" t="s">
        <v>3261</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49"/>
      <c r="B38" s="2040" t="s">
        <v>2035</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749"/>
      <c r="B39" s="2040" t="s">
        <v>3254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5" t="s">
        <v>3262</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t="e">
        <f>ROUND(POWER(1+E44,H44-G44)*(POWER(1+E44,G44)-1)/(POWER(1+E44,H44)-1),4)</f>
        <v>#DIV/0!</v>
      </c>
      <c r="D44" s="171" t="s">
        <v>1997</v>
      </c>
      <c r="E44" s="2152">
        <f>G24</f>
        <v>0</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2050</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2051</v>
      </c>
      <c r="B51" s="2133" t="str">
        <f>估价对象房地状况!C18</f>
        <v>较好</v>
      </c>
      <c r="C51" s="2043"/>
      <c r="D51" s="1064">
        <f t="shared" si="7"/>
        <v>0</v>
      </c>
      <c r="E51" s="744"/>
      <c r="F51" s="1813"/>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4" t="s">
        <v>3264</v>
      </c>
      <c r="B52" s="2133">
        <f>估价对象房地状况!C19</f>
        <v>0</v>
      </c>
      <c r="C52" s="2043"/>
      <c r="D52" s="1064">
        <f t="shared" si="7"/>
        <v>0</v>
      </c>
      <c r="E52" s="744"/>
      <c r="F52" s="1813"/>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2057</v>
      </c>
      <c r="B56" s="1325" t="str">
        <f>估价对象房地状况!C21</f>
        <v>较好</v>
      </c>
      <c r="C56" s="2043"/>
      <c r="D56" s="1064">
        <f t="shared" si="7"/>
        <v>0</v>
      </c>
      <c r="E56" s="744"/>
      <c r="F56" s="1813"/>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2058</v>
      </c>
      <c r="B57" s="2133" t="str">
        <f>估价对象房地状况!C22</f>
        <v>七通</v>
      </c>
      <c r="C57" s="2043"/>
      <c r="D57" s="1064">
        <f t="shared" si="7"/>
        <v>0</v>
      </c>
      <c r="E57" s="744"/>
      <c r="F57" s="1813"/>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2059</v>
      </c>
      <c r="B58" s="2138" t="str">
        <f>估价对象房地状况!C20</f>
        <v>一般</v>
      </c>
      <c r="C58" s="2043"/>
      <c r="D58" s="1064">
        <f t="shared" si="7"/>
        <v>0</v>
      </c>
      <c r="E58" s="745"/>
      <c r="F58" s="1813"/>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2051</v>
      </c>
      <c r="B62" s="2133" t="str">
        <f>估价对象房地状况!C18</f>
        <v>较好</v>
      </c>
      <c r="C62" s="2043"/>
      <c r="D62" s="1064">
        <f t="shared" si="12"/>
        <v>0</v>
      </c>
      <c r="E62" s="744"/>
      <c r="F62" s="1813"/>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3264</v>
      </c>
      <c r="B63" s="2133">
        <f>估价对象房地状况!C19</f>
        <v>0</v>
      </c>
      <c r="C63" s="2043"/>
      <c r="D63" s="1064">
        <f t="shared" si="12"/>
        <v>0</v>
      </c>
      <c r="E63" s="744"/>
      <c r="F63" s="1813"/>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2057</v>
      </c>
      <c r="B67" s="1325" t="str">
        <f>估价对象房地状况!C21</f>
        <v>较好</v>
      </c>
      <c r="C67" s="2043"/>
      <c r="D67" s="1064">
        <f t="shared" si="12"/>
        <v>0</v>
      </c>
      <c r="E67" s="744"/>
      <c r="F67" s="1813"/>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2058</v>
      </c>
      <c r="B68" s="1325" t="str">
        <f>估价对象房地状况!C22</f>
        <v>七通</v>
      </c>
      <c r="C68" s="2043"/>
      <c r="D68" s="1064">
        <f t="shared" si="12"/>
        <v>0</v>
      </c>
      <c r="E68" s="744"/>
      <c r="F68" s="1813"/>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2059</v>
      </c>
      <c r="B69" s="2139" t="str">
        <f>估价对象房地状况!C20</f>
        <v>一般</v>
      </c>
      <c r="C69" s="2043"/>
      <c r="D69" s="1064">
        <f t="shared" si="12"/>
        <v>0</v>
      </c>
      <c r="E69" s="745"/>
      <c r="F69" s="1813"/>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2051</v>
      </c>
      <c r="B73" s="2133" t="str">
        <f>估价对象房地状况!C18</f>
        <v>较好</v>
      </c>
      <c r="C73" s="2043"/>
      <c r="D73" s="1064">
        <f t="shared" si="17"/>
        <v>0</v>
      </c>
      <c r="E73" s="746"/>
      <c r="F73" s="1813"/>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4" t="s">
        <v>3264</v>
      </c>
      <c r="B74" s="2133">
        <f>估价对象房地状况!C19</f>
        <v>0</v>
      </c>
      <c r="C74" s="2043"/>
      <c r="D74" s="1064">
        <f t="shared" si="17"/>
        <v>0</v>
      </c>
      <c r="E74" s="746"/>
      <c r="F74" s="1813"/>
      <c r="G74" s="1062"/>
      <c r="H74" s="1065" t="str">
        <f t="shared" si="18"/>
        <v>——</v>
      </c>
      <c r="I74" s="336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2057</v>
      </c>
      <c r="B76" s="1325" t="str">
        <f>估价对象房地状况!C21</f>
        <v>较好</v>
      </c>
      <c r="C76" s="2043"/>
      <c r="D76" s="1064">
        <f t="shared" si="17"/>
        <v>0</v>
      </c>
      <c r="E76" s="746"/>
      <c r="F76" s="1813"/>
      <c r="G76" s="1062"/>
      <c r="H76" s="1065" t="str">
        <f t="shared" si="18"/>
        <v>——</v>
      </c>
      <c r="I76" s="3362">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2058</v>
      </c>
      <c r="B77" s="1325" t="str">
        <f>估价对象房地状况!C22</f>
        <v>七通</v>
      </c>
      <c r="C77" s="2043"/>
      <c r="D77" s="1064">
        <f t="shared" si="17"/>
        <v>0</v>
      </c>
      <c r="E77" s="746"/>
      <c r="F77" s="1813"/>
      <c r="G77" s="1062"/>
      <c r="H77" s="1065" t="str">
        <f t="shared" si="18"/>
        <v>——</v>
      </c>
      <c r="I77" s="336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2">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2059</v>
      </c>
      <c r="B79" s="2132" t="str">
        <f>估价对象房地状况!C20</f>
        <v>一般</v>
      </c>
      <c r="C79" s="2043"/>
      <c r="D79" s="1064">
        <f t="shared" si="17"/>
        <v>0</v>
      </c>
      <c r="E79" s="746"/>
      <c r="F79" s="1813"/>
      <c r="G79" s="1062"/>
      <c r="H79" s="1065" t="str">
        <f t="shared" si="18"/>
        <v>——</v>
      </c>
      <c r="I79" s="3362">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3">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2">
        <v>0.3</v>
      </c>
      <c r="J84" s="1063">
        <f t="shared" si="24"/>
        <v>0</v>
      </c>
      <c r="K84" s="1063">
        <f t="shared" si="25"/>
        <v>0</v>
      </c>
      <c r="L84" s="1063">
        <v>0</v>
      </c>
      <c r="M84" s="1063">
        <f t="shared" si="26"/>
        <v>0</v>
      </c>
      <c r="N84" s="1063">
        <f t="shared" si="26"/>
        <v>0</v>
      </c>
      <c r="Z84" s="1997"/>
      <c r="AA84" s="2052"/>
      <c r="AG84" s="1120"/>
      <c r="AK84" s="2052"/>
    </row>
    <row r="85" spans="1:37" ht="36">
      <c r="A85" s="3364" t="s">
        <v>3265</v>
      </c>
      <c r="B85" s="2133">
        <f>估价对象房地状况!G17</f>
        <v>0</v>
      </c>
      <c r="C85" s="2043"/>
      <c r="D85" s="1064">
        <f t="shared" si="22"/>
        <v>0</v>
      </c>
      <c r="E85" s="746"/>
      <c r="F85" s="1813"/>
      <c r="G85" s="1062"/>
      <c r="H85" s="1065" t="str">
        <f t="shared" si="23"/>
        <v>——</v>
      </c>
      <c r="I85" s="3362">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2">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2">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2">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2">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3">
        <v>0.05</v>
      </c>
      <c r="J90" s="1063">
        <f t="shared" si="24"/>
        <v>0</v>
      </c>
      <c r="K90" s="1063">
        <f t="shared" si="25"/>
        <v>0</v>
      </c>
      <c r="L90" s="1063">
        <v>0</v>
      </c>
      <c r="M90" s="1063">
        <f t="shared" si="26"/>
        <v>0</v>
      </c>
      <c r="N90" s="1063">
        <f t="shared" si="26"/>
        <v>0</v>
      </c>
    </row>
    <row r="91" spans="1:37" ht="15">
      <c r="A91" s="3372" t="s">
        <v>2605</v>
      </c>
      <c r="B91" s="3373">
        <f>1+E93</f>
        <v>1</v>
      </c>
      <c r="C91" s="3366"/>
      <c r="D91" s="3367"/>
      <c r="E91" s="1813"/>
      <c r="F91" s="1813"/>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5"/>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3268</v>
      </c>
      <c r="B94" s="3365" t="str">
        <f>估价对象房地状况!C18</f>
        <v>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3272</v>
      </c>
      <c r="B99" s="3365" t="str">
        <f>估价对象房地状况!C21</f>
        <v>较好</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3273</v>
      </c>
      <c r="B100" s="3365" t="str">
        <f>估价对象房地状况!C22</f>
        <v>七通</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3274</v>
      </c>
      <c r="B101" s="3382" t="str">
        <f>估价对象房地状况!C20</f>
        <v>一般</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6" t="s">
        <v>3289</v>
      </c>
      <c r="B103" s="3746"/>
      <c r="C103" s="3746"/>
      <c r="D103" s="3746"/>
      <c r="E103" s="3746"/>
      <c r="F103" s="3746"/>
      <c r="G103" s="3746"/>
      <c r="H103" s="3746"/>
      <c r="I103" s="3746"/>
      <c r="J103" s="3746"/>
      <c r="K103" s="3385"/>
      <c r="L103" s="3385"/>
      <c r="M103" s="3385"/>
      <c r="N103" s="3385"/>
    </row>
    <row r="104" spans="1:14">
      <c r="A104" s="3747" t="s">
        <v>3290</v>
      </c>
      <c r="B104" s="3747" t="s">
        <v>3291</v>
      </c>
      <c r="C104" s="3386" t="s">
        <v>3292</v>
      </c>
      <c r="D104" s="3387"/>
      <c r="E104" s="3387"/>
      <c r="F104" s="3387"/>
      <c r="G104" s="3387"/>
      <c r="H104" s="3387"/>
      <c r="I104" s="3387"/>
      <c r="J104" s="3388"/>
      <c r="K104" s="3389"/>
      <c r="L104" s="3389"/>
      <c r="M104" s="3389"/>
      <c r="N104" s="3389"/>
    </row>
    <row r="105" spans="1:14">
      <c r="A105" s="3747"/>
      <c r="B105" s="3747"/>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733"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4"/>
      <c r="B111" s="3390" t="s">
        <v>3263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3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36" t="s">
        <v>3306</v>
      </c>
      <c r="B113" s="3736"/>
      <c r="C113" s="3736"/>
      <c r="D113" s="3736"/>
      <c r="E113" s="3736"/>
      <c r="F113" s="3736"/>
      <c r="G113" s="3736"/>
      <c r="H113" s="3736"/>
      <c r="I113" s="3736"/>
      <c r="J113" s="373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9" t="s">
        <v>3309</v>
      </c>
      <c r="F116" s="3397">
        <f>E2</f>
        <v>0</v>
      </c>
      <c r="G116" s="1999" t="s">
        <v>3310</v>
      </c>
      <c r="H116" s="3397">
        <f>G2</f>
        <v>0</v>
      </c>
      <c r="I116" s="1999"/>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3324</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3325</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2605</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2587</v>
      </c>
      <c r="B1" s="3067" t="s">
        <v>2588</v>
      </c>
      <c r="C1" s="3067" t="s">
        <v>2589</v>
      </c>
      <c r="D1" s="3067" t="s">
        <v>2590</v>
      </c>
      <c r="E1" s="3067" t="s">
        <v>2591</v>
      </c>
      <c r="F1" s="3067" t="s">
        <v>2592</v>
      </c>
      <c r="G1" s="3067" t="s">
        <v>2593</v>
      </c>
      <c r="H1" s="3067" t="s">
        <v>2594</v>
      </c>
      <c r="I1" s="3067" t="s">
        <v>2595</v>
      </c>
      <c r="J1" s="3067" t="s">
        <v>2596</v>
      </c>
      <c r="K1" s="3067" t="s">
        <v>2597</v>
      </c>
      <c r="L1" s="3067" t="s">
        <v>2598</v>
      </c>
      <c r="M1" s="3068" t="s">
        <v>2599</v>
      </c>
    </row>
    <row r="2" spans="1:13" ht="19.5" customHeight="1">
      <c r="A2" s="3070" t="s">
        <v>2600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2616</v>
      </c>
      <c r="B18" s="3092"/>
      <c r="C18" s="3093"/>
      <c r="D18" s="3093"/>
      <c r="E18" s="3092"/>
      <c r="F18" s="3093"/>
      <c r="G18" s="3093"/>
    </row>
    <row r="19" spans="1:13" ht="19.5" customHeight="1" thickBot="1">
      <c r="A19" s="3090" t="s">
        <v>2617</v>
      </c>
      <c r="B19" s="3095" t="s">
        <v>2618</v>
      </c>
      <c r="C19" s="3095" t="s">
        <v>2619</v>
      </c>
      <c r="D19" s="3096"/>
      <c r="E19" s="3090" t="s">
        <v>2620</v>
      </c>
      <c r="F19" s="3097"/>
      <c r="G19" s="3097"/>
    </row>
    <row r="20" spans="1:13" ht="19.5" customHeight="1">
      <c r="A20" s="3761" t="s">
        <v>2600</v>
      </c>
      <c r="B20" s="3756" t="s">
        <v>2621</v>
      </c>
      <c r="C20" s="3098" t="s">
        <v>2432</v>
      </c>
      <c r="D20" s="3099"/>
      <c r="E20" s="3100">
        <v>1</v>
      </c>
      <c r="F20" s="3101" t="s">
        <v>2433</v>
      </c>
      <c r="G20" s="3101"/>
    </row>
    <row r="21" spans="1:13" ht="19.5" customHeight="1">
      <c r="A21" s="3762"/>
      <c r="B21" s="3755"/>
      <c r="C21" s="3102" t="s">
        <v>2434</v>
      </c>
      <c r="D21" s="3103"/>
      <c r="E21" s="3104">
        <v>1</v>
      </c>
      <c r="F21" s="3101" t="s">
        <v>2435</v>
      </c>
      <c r="G21" s="3101"/>
    </row>
    <row r="22" spans="1:13" ht="19.5" customHeight="1">
      <c r="A22" s="3762"/>
      <c r="B22" s="3755"/>
      <c r="C22" s="3102" t="s">
        <v>2436</v>
      </c>
      <c r="D22" s="3103"/>
      <c r="E22" s="3104">
        <v>0.9</v>
      </c>
      <c r="F22" s="3101" t="s">
        <v>2437</v>
      </c>
      <c r="G22" s="3101"/>
    </row>
    <row r="23" spans="1:13" ht="19.5" customHeight="1">
      <c r="A23" s="3762"/>
      <c r="B23" s="3755"/>
      <c r="C23" s="3102" t="s">
        <v>2438</v>
      </c>
      <c r="D23" s="3103"/>
      <c r="E23" s="3104">
        <v>0.9</v>
      </c>
      <c r="F23" s="3101" t="s">
        <v>2439</v>
      </c>
      <c r="G23" s="3101"/>
    </row>
    <row r="24" spans="1:13" ht="19.5" customHeight="1">
      <c r="A24" s="3762"/>
      <c r="B24" s="3755"/>
      <c r="C24" s="3102" t="s">
        <v>2440</v>
      </c>
      <c r="D24" s="3103"/>
      <c r="E24" s="3104">
        <v>0.8</v>
      </c>
      <c r="F24" s="3101" t="s">
        <v>2441</v>
      </c>
      <c r="G24" s="3101"/>
    </row>
    <row r="25" spans="1:13" ht="19.5" customHeight="1" thickBot="1">
      <c r="A25" s="3763"/>
      <c r="B25" s="3757"/>
      <c r="C25" s="3105" t="s">
        <v>2442</v>
      </c>
      <c r="D25" s="3106"/>
      <c r="E25" s="3107">
        <v>0.8</v>
      </c>
      <c r="F25" s="3101" t="s">
        <v>2443</v>
      </c>
      <c r="G25" s="3101"/>
    </row>
    <row r="26" spans="1:13" ht="19.5" customHeight="1" thickBot="1">
      <c r="A26" s="3108" t="s">
        <v>2622</v>
      </c>
      <c r="B26" s="3109" t="s">
        <v>2621</v>
      </c>
      <c r="C26" s="3110" t="s">
        <v>2623</v>
      </c>
      <c r="D26" s="3111"/>
      <c r="E26" s="3112">
        <v>1</v>
      </c>
      <c r="F26" s="3101" t="s">
        <v>2444</v>
      </c>
      <c r="G26" s="3101"/>
    </row>
    <row r="27" spans="1:13" ht="19.5" customHeight="1">
      <c r="A27" s="3758" t="s">
        <v>2624</v>
      </c>
      <c r="B27" s="3756" t="s">
        <v>2605</v>
      </c>
      <c r="C27" s="3098" t="s">
        <v>2445</v>
      </c>
      <c r="D27" s="3099"/>
      <c r="E27" s="3100">
        <v>1</v>
      </c>
      <c r="F27" s="3101" t="s">
        <v>2446</v>
      </c>
      <c r="G27" s="3101"/>
    </row>
    <row r="28" spans="1:13" ht="19.5" customHeight="1">
      <c r="A28" s="3759"/>
      <c r="B28" s="3755"/>
      <c r="C28" s="3102" t="s">
        <v>2447</v>
      </c>
      <c r="D28" s="3103"/>
      <c r="E28" s="3104">
        <v>1</v>
      </c>
      <c r="F28" s="3101" t="s">
        <v>2448</v>
      </c>
      <c r="G28" s="3101"/>
    </row>
    <row r="29" spans="1:13" ht="19.5" customHeight="1">
      <c r="A29" s="3759"/>
      <c r="B29" s="3755"/>
      <c r="C29" s="3102" t="s">
        <v>2449</v>
      </c>
      <c r="D29" s="3103"/>
      <c r="E29" s="3104">
        <v>0.8</v>
      </c>
      <c r="F29" s="3101" t="s">
        <v>2450</v>
      </c>
      <c r="G29" s="3101"/>
    </row>
    <row r="30" spans="1:13" ht="19.5" customHeight="1">
      <c r="A30" s="3759"/>
      <c r="B30" s="3755"/>
      <c r="C30" s="3102" t="s">
        <v>2451</v>
      </c>
      <c r="D30" s="3103"/>
      <c r="E30" s="3104">
        <v>0.8</v>
      </c>
      <c r="F30" s="3101" t="s">
        <v>2452</v>
      </c>
      <c r="G30" s="3101"/>
    </row>
    <row r="31" spans="1:13" ht="19.5" customHeight="1">
      <c r="A31" s="3759"/>
      <c r="B31" s="3755"/>
      <c r="C31" s="3102" t="s">
        <v>2453</v>
      </c>
      <c r="D31" s="3103"/>
      <c r="E31" s="3104">
        <v>0.8</v>
      </c>
      <c r="F31" s="3101" t="s">
        <v>2454</v>
      </c>
      <c r="G31" s="3101"/>
    </row>
    <row r="32" spans="1:13" ht="19.5" customHeight="1">
      <c r="A32" s="3759"/>
      <c r="B32" s="3755"/>
      <c r="C32" s="3102" t="s">
        <v>2455</v>
      </c>
      <c r="D32" s="3103"/>
      <c r="E32" s="3104">
        <v>0.7</v>
      </c>
      <c r="F32" s="3101" t="s">
        <v>2456</v>
      </c>
      <c r="G32" s="3101"/>
    </row>
    <row r="33" spans="1:7" ht="19.5" customHeight="1">
      <c r="A33" s="3759"/>
      <c r="B33" s="3755"/>
      <c r="C33" s="3102" t="s">
        <v>2457</v>
      </c>
      <c r="D33" s="3103"/>
      <c r="E33" s="3104">
        <v>0.8</v>
      </c>
      <c r="F33" s="3101" t="s">
        <v>2458</v>
      </c>
      <c r="G33" s="3101"/>
    </row>
    <row r="34" spans="1:7" ht="19.5" customHeight="1">
      <c r="A34" s="3759"/>
      <c r="B34" s="3755"/>
      <c r="C34" s="3102" t="s">
        <v>2459</v>
      </c>
      <c r="D34" s="3103"/>
      <c r="E34" s="3104">
        <v>0.6</v>
      </c>
      <c r="F34" s="3101" t="s">
        <v>2460</v>
      </c>
      <c r="G34" s="3101"/>
    </row>
    <row r="35" spans="1:7" ht="19.5" customHeight="1">
      <c r="A35" s="3759"/>
      <c r="B35" s="3755"/>
      <c r="C35" s="3102" t="s">
        <v>2461</v>
      </c>
      <c r="D35" s="3103"/>
      <c r="E35" s="3104">
        <v>0.2</v>
      </c>
      <c r="F35" s="3101" t="s">
        <v>2462</v>
      </c>
      <c r="G35" s="3101"/>
    </row>
    <row r="36" spans="1:7" ht="19.5" customHeight="1">
      <c r="A36" s="3759"/>
      <c r="B36" s="3755"/>
      <c r="C36" s="3102" t="s">
        <v>2463</v>
      </c>
      <c r="D36" s="3103"/>
      <c r="E36" s="3104">
        <v>0.2</v>
      </c>
      <c r="F36" s="3101" t="s">
        <v>2464</v>
      </c>
      <c r="G36" s="3101"/>
    </row>
    <row r="37" spans="1:7" ht="19.5" customHeight="1">
      <c r="A37" s="3759"/>
      <c r="B37" s="3753" t="s">
        <v>2625</v>
      </c>
      <c r="C37" s="3102" t="s">
        <v>2465</v>
      </c>
      <c r="D37" s="3103"/>
      <c r="E37" s="3104">
        <v>0.6</v>
      </c>
      <c r="F37" s="3101" t="s">
        <v>2466</v>
      </c>
      <c r="G37" s="3101"/>
    </row>
    <row r="38" spans="1:7" ht="19.5" customHeight="1">
      <c r="A38" s="3759"/>
      <c r="B38" s="3755"/>
      <c r="C38" s="3102" t="s">
        <v>2467</v>
      </c>
      <c r="D38" s="3103"/>
      <c r="E38" s="3104">
        <v>0.6</v>
      </c>
      <c r="F38" s="3101" t="s">
        <v>2468</v>
      </c>
      <c r="G38" s="3101"/>
    </row>
    <row r="39" spans="1:7" ht="19.5" customHeight="1" thickBot="1">
      <c r="A39" s="3760"/>
      <c r="B39" s="3757"/>
      <c r="C39" s="3105" t="s">
        <v>2469</v>
      </c>
      <c r="D39" s="3106"/>
      <c r="E39" s="3107">
        <v>0.6</v>
      </c>
      <c r="F39" s="3101" t="s">
        <v>2470</v>
      </c>
      <c r="G39" s="3101"/>
    </row>
    <row r="40" spans="1:7" ht="19.5" customHeight="1" thickBot="1">
      <c r="A40" s="3108" t="s">
        <v>2602</v>
      </c>
      <c r="B40" s="3109" t="s">
        <v>2602</v>
      </c>
      <c r="C40" s="3110" t="s">
        <v>2626</v>
      </c>
      <c r="D40" s="3111"/>
      <c r="E40" s="3112">
        <v>1</v>
      </c>
      <c r="F40" s="3101" t="s">
        <v>2471</v>
      </c>
      <c r="G40" s="3101"/>
    </row>
    <row r="41" spans="1:7" ht="19.5" customHeight="1">
      <c r="A41" s="3761" t="s">
        <v>2603</v>
      </c>
      <c r="B41" s="3756" t="s">
        <v>2627</v>
      </c>
      <c r="C41" s="3098" t="s">
        <v>2472</v>
      </c>
      <c r="D41" s="3099"/>
      <c r="E41" s="3100">
        <v>1</v>
      </c>
      <c r="F41" s="3101" t="s">
        <v>2473</v>
      </c>
      <c r="G41" s="3101"/>
    </row>
    <row r="42" spans="1:7" ht="19.5" customHeight="1">
      <c r="A42" s="3762"/>
      <c r="B42" s="3755"/>
      <c r="C42" s="3102" t="s">
        <v>2474</v>
      </c>
      <c r="D42" s="3103"/>
      <c r="E42" s="3104">
        <v>1</v>
      </c>
      <c r="F42" s="3101" t="s">
        <v>2475</v>
      </c>
      <c r="G42" s="3101"/>
    </row>
    <row r="43" spans="1:7" ht="19.5" customHeight="1">
      <c r="A43" s="3762"/>
      <c r="B43" s="3754"/>
      <c r="C43" s="3102" t="s">
        <v>2476</v>
      </c>
      <c r="D43" s="3103"/>
      <c r="E43" s="3104">
        <v>1.5</v>
      </c>
      <c r="F43" s="3101" t="s">
        <v>2477</v>
      </c>
      <c r="G43" s="3101"/>
    </row>
    <row r="44" spans="1:7" ht="19.5" customHeight="1">
      <c r="A44" s="3762"/>
      <c r="B44" s="3113" t="s">
        <v>2628</v>
      </c>
      <c r="C44" s="3102" t="s">
        <v>2629</v>
      </c>
      <c r="D44" s="3103"/>
      <c r="E44" s="3104">
        <v>2</v>
      </c>
      <c r="F44" s="3101" t="s">
        <v>2478</v>
      </c>
      <c r="G44" s="3101"/>
    </row>
    <row r="45" spans="1:7" ht="19.5" customHeight="1">
      <c r="A45" s="3762"/>
      <c r="B45" s="3753" t="s">
        <v>2630</v>
      </c>
      <c r="C45" s="3102" t="s">
        <v>2479</v>
      </c>
      <c r="D45" s="3103"/>
      <c r="E45" s="3104">
        <v>1</v>
      </c>
      <c r="F45" s="3101" t="s">
        <v>2480</v>
      </c>
      <c r="G45" s="3101"/>
    </row>
    <row r="46" spans="1:7" ht="19.5" customHeight="1">
      <c r="A46" s="3762"/>
      <c r="B46" s="3755"/>
      <c r="C46" s="3102" t="s">
        <v>2481</v>
      </c>
      <c r="D46" s="3103"/>
      <c r="E46" s="3104">
        <v>1</v>
      </c>
      <c r="F46" s="3101" t="s">
        <v>2482</v>
      </c>
      <c r="G46" s="3101"/>
    </row>
    <row r="47" spans="1:7" ht="19.5" customHeight="1">
      <c r="A47" s="3762"/>
      <c r="B47" s="3755"/>
      <c r="C47" s="3102" t="s">
        <v>2483</v>
      </c>
      <c r="D47" s="3103"/>
      <c r="E47" s="3104">
        <v>1</v>
      </c>
      <c r="F47" s="3101" t="s">
        <v>2484</v>
      </c>
      <c r="G47" s="3101"/>
    </row>
    <row r="48" spans="1:7" ht="19.5" customHeight="1">
      <c r="A48" s="3762"/>
      <c r="B48" s="3755"/>
      <c r="C48" s="3102" t="s">
        <v>2485</v>
      </c>
      <c r="D48" s="3103"/>
      <c r="E48" s="3104">
        <v>1</v>
      </c>
      <c r="F48" s="3101" t="s">
        <v>2486</v>
      </c>
      <c r="G48" s="3101"/>
    </row>
    <row r="49" spans="1:7" ht="19.5" customHeight="1">
      <c r="A49" s="3762"/>
      <c r="B49" s="3755"/>
      <c r="C49" s="3102" t="s">
        <v>2487</v>
      </c>
      <c r="D49" s="3103"/>
      <c r="E49" s="3104">
        <v>1</v>
      </c>
      <c r="F49" s="3101" t="s">
        <v>2488</v>
      </c>
      <c r="G49" s="3101"/>
    </row>
    <row r="50" spans="1:7" ht="19.5" customHeight="1">
      <c r="A50" s="3762"/>
      <c r="B50" s="3755"/>
      <c r="C50" s="3102" t="s">
        <v>2489</v>
      </c>
      <c r="D50" s="3103"/>
      <c r="E50" s="3104">
        <v>1</v>
      </c>
      <c r="F50" s="3101" t="s">
        <v>2490</v>
      </c>
      <c r="G50" s="3101"/>
    </row>
    <row r="51" spans="1:7" ht="19.5" customHeight="1" thickBot="1">
      <c r="A51" s="3763"/>
      <c r="B51" s="3757"/>
      <c r="C51" s="3105" t="s">
        <v>2491</v>
      </c>
      <c r="D51" s="3106"/>
      <c r="E51" s="3107">
        <v>1</v>
      </c>
      <c r="F51" s="3101" t="s">
        <v>2492</v>
      </c>
      <c r="G51" s="3101"/>
    </row>
    <row r="52" spans="1:7" ht="19.5" customHeight="1">
      <c r="A52" s="3114"/>
      <c r="B52" s="3114"/>
      <c r="C52" s="3114"/>
      <c r="D52" s="3114"/>
      <c r="E52" s="3114"/>
      <c r="F52" s="3114"/>
      <c r="G52" s="3114"/>
    </row>
    <row r="54" spans="1:7" ht="19.5" customHeight="1">
      <c r="A54" s="3115"/>
      <c r="B54" s="3087" t="s">
        <v>2631</v>
      </c>
      <c r="C54" s="3087" t="s">
        <v>2631</v>
      </c>
      <c r="D54" s="3087" t="s">
        <v>2631</v>
      </c>
      <c r="E54" s="3090" t="s">
        <v>2631</v>
      </c>
      <c r="F54" s="3090" t="s">
        <v>2632</v>
      </c>
      <c r="G54" s="3090" t="s">
        <v>2633</v>
      </c>
    </row>
    <row r="55" spans="1:7" ht="19.5" customHeight="1">
      <c r="A55" s="3116"/>
      <c r="B55" s="3090" t="s">
        <v>2600</v>
      </c>
      <c r="C55" s="3090" t="s">
        <v>2600</v>
      </c>
      <c r="D55" s="3090" t="s">
        <v>2600</v>
      </c>
      <c r="E55" s="3087" t="s">
        <v>2601</v>
      </c>
      <c r="F55" s="3087" t="s">
        <v>2603</v>
      </c>
      <c r="G55" s="3087" t="s">
        <v>2634</v>
      </c>
    </row>
    <row r="56" spans="1:7" ht="19.5" customHeight="1">
      <c r="A56" s="3117"/>
      <c r="B56" s="3087">
        <v>1</v>
      </c>
      <c r="C56" s="3087">
        <v>2</v>
      </c>
      <c r="D56" s="3087">
        <v>3</v>
      </c>
      <c r="E56" s="3118" t="s">
        <v>2635</v>
      </c>
      <c r="F56" s="3118" t="s">
        <v>2635</v>
      </c>
      <c r="G56" s="3118" t="s">
        <v>2635</v>
      </c>
    </row>
    <row r="57" spans="1:7" ht="19.5" customHeight="1">
      <c r="A57" s="3119" t="s">
        <v>2588</v>
      </c>
      <c r="B57" s="3087">
        <v>0.7</v>
      </c>
      <c r="C57" s="3087">
        <v>0.4</v>
      </c>
      <c r="D57" s="3087">
        <v>0.3</v>
      </c>
      <c r="E57" s="3118">
        <v>0.3</v>
      </c>
      <c r="F57" s="3087">
        <v>0.3</v>
      </c>
      <c r="G57" s="3087">
        <v>0.2</v>
      </c>
    </row>
    <row r="58" spans="1:7" ht="19.5" customHeight="1">
      <c r="A58" s="3119" t="s">
        <v>2589</v>
      </c>
      <c r="B58" s="3087">
        <v>0.7</v>
      </c>
      <c r="C58" s="3087">
        <v>0.4</v>
      </c>
      <c r="D58" s="3087">
        <v>0.3</v>
      </c>
      <c r="E58" s="3087">
        <v>0.3</v>
      </c>
      <c r="F58" s="3087">
        <v>0.3</v>
      </c>
      <c r="G58" s="3087">
        <v>0.2</v>
      </c>
    </row>
    <row r="59" spans="1:7" ht="19.5" customHeight="1">
      <c r="A59" s="3119" t="s">
        <v>2590</v>
      </c>
      <c r="B59" s="3087">
        <v>0.6</v>
      </c>
      <c r="C59" s="3087">
        <v>0.3</v>
      </c>
      <c r="D59" s="3087">
        <v>0.25</v>
      </c>
      <c r="E59" s="3087">
        <v>0.25</v>
      </c>
      <c r="F59" s="3087">
        <v>0.25</v>
      </c>
      <c r="G59" s="3087">
        <v>0.15</v>
      </c>
    </row>
    <row r="60" spans="1:7" ht="19.5" customHeight="1">
      <c r="A60" s="3119" t="s">
        <v>2591</v>
      </c>
      <c r="B60" s="3087">
        <v>0.6</v>
      </c>
      <c r="C60" s="3087">
        <v>0.3</v>
      </c>
      <c r="D60" s="3087">
        <v>0.25</v>
      </c>
      <c r="E60" s="3087">
        <v>0.25</v>
      </c>
      <c r="F60" s="3087">
        <v>0.25</v>
      </c>
      <c r="G60" s="3087">
        <v>0.15</v>
      </c>
    </row>
    <row r="61" spans="1:7" ht="19.5" customHeight="1">
      <c r="A61" s="3119" t="s">
        <v>2592</v>
      </c>
      <c r="B61" s="3087">
        <v>0.6</v>
      </c>
      <c r="C61" s="3087">
        <v>0.3</v>
      </c>
      <c r="D61" s="3087">
        <v>0.25</v>
      </c>
      <c r="E61" s="3087">
        <v>0.25</v>
      </c>
      <c r="F61" s="3087">
        <v>0.25</v>
      </c>
      <c r="G61" s="3087">
        <v>0.15</v>
      </c>
    </row>
    <row r="62" spans="1:7" ht="19.5" customHeight="1">
      <c r="A62" s="3119" t="s">
        <v>2593</v>
      </c>
      <c r="B62" s="3087">
        <v>0.6</v>
      </c>
      <c r="C62" s="3087">
        <v>0.3</v>
      </c>
      <c r="D62" s="3087">
        <v>0.25</v>
      </c>
      <c r="E62" s="3087">
        <v>0.25</v>
      </c>
      <c r="F62" s="3087">
        <v>0.25</v>
      </c>
      <c r="G62" s="3087">
        <v>0.15</v>
      </c>
    </row>
    <row r="63" spans="1:7" ht="19.5" customHeight="1">
      <c r="A63" s="3119" t="s">
        <v>2594</v>
      </c>
      <c r="B63" s="3087">
        <v>0.6</v>
      </c>
      <c r="C63" s="3087">
        <v>0.3</v>
      </c>
      <c r="D63" s="3087">
        <v>0.25</v>
      </c>
      <c r="E63" s="3087">
        <v>0.25</v>
      </c>
      <c r="F63" s="3087">
        <v>0.25</v>
      </c>
      <c r="G63" s="3087">
        <v>0.15</v>
      </c>
    </row>
    <row r="64" spans="1:7" ht="19.5" customHeight="1">
      <c r="A64" s="3119" t="s">
        <v>2595</v>
      </c>
      <c r="B64" s="3087">
        <v>0.5</v>
      </c>
      <c r="C64" s="3087">
        <v>0.2</v>
      </c>
      <c r="D64" s="3087">
        <v>0.2</v>
      </c>
      <c r="E64" s="3087">
        <v>0.2</v>
      </c>
      <c r="F64" s="3087">
        <v>0.2</v>
      </c>
      <c r="G64" s="3087">
        <v>0.1</v>
      </c>
    </row>
    <row r="65" spans="1:7" ht="19.5" customHeight="1">
      <c r="A65" s="3119" t="s">
        <v>2596</v>
      </c>
      <c r="B65" s="3087">
        <v>0.5</v>
      </c>
      <c r="C65" s="3087">
        <v>0.2</v>
      </c>
      <c r="D65" s="3087">
        <v>0.2</v>
      </c>
      <c r="E65" s="3087">
        <v>0.2</v>
      </c>
      <c r="F65" s="3087">
        <v>0.2</v>
      </c>
      <c r="G65" s="3087">
        <v>0.1</v>
      </c>
    </row>
    <row r="66" spans="1:7" ht="19.5" customHeight="1">
      <c r="A66" s="3119" t="s">
        <v>2597</v>
      </c>
      <c r="B66" s="3087">
        <v>0.5</v>
      </c>
      <c r="C66" s="3087">
        <v>0.2</v>
      </c>
      <c r="D66" s="3087">
        <v>0.2</v>
      </c>
      <c r="E66" s="3087">
        <v>0.2</v>
      </c>
      <c r="F66" s="3087">
        <v>0.2</v>
      </c>
      <c r="G66" s="3087">
        <v>0.1</v>
      </c>
    </row>
    <row r="67" spans="1:7" ht="19.5" customHeight="1">
      <c r="A67" s="3119" t="s">
        <v>2598</v>
      </c>
      <c r="B67" s="3087">
        <v>0.5</v>
      </c>
      <c r="C67" s="3087">
        <v>0.2</v>
      </c>
      <c r="D67" s="3087">
        <v>0.2</v>
      </c>
      <c r="E67" s="3087">
        <v>0.2</v>
      </c>
      <c r="F67" s="3087">
        <v>0.2</v>
      </c>
      <c r="G67" s="3087">
        <v>0.1</v>
      </c>
    </row>
    <row r="68" spans="1:7" ht="19.5" customHeight="1">
      <c r="A68" s="3119" t="s">
        <v>2599</v>
      </c>
      <c r="B68" s="3087">
        <v>0.5</v>
      </c>
      <c r="C68" s="3087">
        <v>0.2</v>
      </c>
      <c r="D68" s="3087">
        <v>0.2</v>
      </c>
      <c r="E68" s="3087">
        <v>0.2</v>
      </c>
      <c r="F68" s="3087">
        <v>0.2</v>
      </c>
      <c r="G68" s="3087">
        <v>0.1</v>
      </c>
    </row>
    <row r="70" spans="1:7" ht="19.5" customHeight="1">
      <c r="A70" s="3120"/>
      <c r="B70" s="3121"/>
      <c r="C70" s="3121"/>
      <c r="D70" s="3121" t="s">
        <v>2636</v>
      </c>
      <c r="E70" s="3121"/>
      <c r="F70" s="3121"/>
    </row>
    <row r="71" spans="1:7" ht="19.5" customHeight="1">
      <c r="A71" s="3113" t="s">
        <v>2637</v>
      </c>
      <c r="B71" s="3113" t="s">
        <v>2638</v>
      </c>
      <c r="C71" s="3113" t="s">
        <v>2639</v>
      </c>
      <c r="D71" s="3113" t="s">
        <v>2640</v>
      </c>
      <c r="E71" s="3113" t="s">
        <v>2641</v>
      </c>
      <c r="F71" s="3113" t="s">
        <v>2642</v>
      </c>
    </row>
    <row r="72" spans="1:7" ht="13.5">
      <c r="A72" s="3113"/>
      <c r="B72" s="3113"/>
      <c r="C72" s="3113" t="s">
        <v>2643</v>
      </c>
      <c r="D72" s="3113"/>
      <c r="E72" s="3113" t="s">
        <v>2614</v>
      </c>
      <c r="F72" s="3113" t="s">
        <v>2614</v>
      </c>
    </row>
    <row r="73" spans="1:7" ht="13.5">
      <c r="A73" s="3113">
        <v>1</v>
      </c>
      <c r="B73" s="3753" t="s">
        <v>2644</v>
      </c>
      <c r="C73" s="3087" t="s">
        <v>2645</v>
      </c>
      <c r="D73" s="3087" t="s">
        <v>2646</v>
      </c>
      <c r="E73" s="3113">
        <v>0.2</v>
      </c>
      <c r="F73" s="3113">
        <v>25</v>
      </c>
    </row>
    <row r="74" spans="1:7" ht="24">
      <c r="A74" s="3113">
        <v>2</v>
      </c>
      <c r="B74" s="3755"/>
      <c r="C74" s="3087" t="s">
        <v>2647</v>
      </c>
      <c r="D74" s="3087" t="s">
        <v>2648</v>
      </c>
      <c r="E74" s="3113">
        <v>0.2</v>
      </c>
      <c r="F74" s="3113">
        <v>25</v>
      </c>
    </row>
    <row r="75" spans="1:7" ht="24">
      <c r="A75" s="3113">
        <v>3</v>
      </c>
      <c r="B75" s="3755"/>
      <c r="C75" s="3087" t="s">
        <v>2649</v>
      </c>
      <c r="D75" s="3087" t="s">
        <v>2650</v>
      </c>
      <c r="E75" s="3113">
        <v>0.2</v>
      </c>
      <c r="F75" s="3113">
        <v>25</v>
      </c>
    </row>
    <row r="76" spans="1:7" ht="13.5">
      <c r="A76" s="3113">
        <v>4</v>
      </c>
      <c r="B76" s="3755"/>
      <c r="C76" s="3087" t="s">
        <v>2651</v>
      </c>
      <c r="D76" s="3087" t="s">
        <v>2652</v>
      </c>
      <c r="E76" s="3113">
        <v>0.15</v>
      </c>
      <c r="F76" s="3113">
        <v>20</v>
      </c>
    </row>
    <row r="77" spans="1:7" ht="24">
      <c r="A77" s="3113">
        <v>5</v>
      </c>
      <c r="B77" s="3755"/>
      <c r="C77" s="3087" t="s">
        <v>2653</v>
      </c>
      <c r="D77" s="3087" t="s">
        <v>2654</v>
      </c>
      <c r="E77" s="3113">
        <v>0.15</v>
      </c>
      <c r="F77" s="3113">
        <v>20</v>
      </c>
    </row>
    <row r="78" spans="1:7" ht="24">
      <c r="A78" s="3113">
        <v>6</v>
      </c>
      <c r="B78" s="3755"/>
      <c r="C78" s="3087" t="s">
        <v>2655</v>
      </c>
      <c r="D78" s="3087" t="s">
        <v>2656</v>
      </c>
      <c r="E78" s="3113">
        <v>0.15</v>
      </c>
      <c r="F78" s="3113">
        <v>20</v>
      </c>
    </row>
    <row r="79" spans="1:7" ht="24">
      <c r="A79" s="3113">
        <v>7</v>
      </c>
      <c r="B79" s="3755"/>
      <c r="C79" s="3087" t="s">
        <v>2657</v>
      </c>
      <c r="D79" s="3087" t="s">
        <v>2658</v>
      </c>
      <c r="E79" s="3113">
        <v>0.15</v>
      </c>
      <c r="F79" s="3113">
        <v>20</v>
      </c>
    </row>
    <row r="80" spans="1:7" ht="24">
      <c r="A80" s="3113">
        <v>8</v>
      </c>
      <c r="B80" s="3755"/>
      <c r="C80" s="3087" t="s">
        <v>2659</v>
      </c>
      <c r="D80" s="3087" t="s">
        <v>2660</v>
      </c>
      <c r="E80" s="3113">
        <v>0.1</v>
      </c>
      <c r="F80" s="3113">
        <v>15</v>
      </c>
    </row>
    <row r="81" spans="1:6" ht="24">
      <c r="A81" s="3113">
        <v>9</v>
      </c>
      <c r="B81" s="3755"/>
      <c r="C81" s="3087" t="s">
        <v>2661</v>
      </c>
      <c r="D81" s="3087" t="s">
        <v>2662</v>
      </c>
      <c r="E81" s="3113">
        <v>0.1</v>
      </c>
      <c r="F81" s="3113">
        <v>15</v>
      </c>
    </row>
    <row r="82" spans="1:6" ht="24">
      <c r="A82" s="3113">
        <v>10</v>
      </c>
      <c r="B82" s="3755"/>
      <c r="C82" s="3087" t="s">
        <v>2663</v>
      </c>
      <c r="D82" s="3087" t="s">
        <v>2664</v>
      </c>
      <c r="E82" s="3113">
        <v>0.1</v>
      </c>
      <c r="F82" s="3113">
        <v>15</v>
      </c>
    </row>
    <row r="83" spans="1:6" ht="24">
      <c r="A83" s="3113">
        <v>11</v>
      </c>
      <c r="B83" s="3755"/>
      <c r="C83" s="3087" t="s">
        <v>2665</v>
      </c>
      <c r="D83" s="3087" t="s">
        <v>2666</v>
      </c>
      <c r="E83" s="3113">
        <v>0.1</v>
      </c>
      <c r="F83" s="3113">
        <v>15</v>
      </c>
    </row>
    <row r="84" spans="1:6" ht="24">
      <c r="A84" s="3113">
        <v>12</v>
      </c>
      <c r="B84" s="3755"/>
      <c r="C84" s="3087" t="s">
        <v>2667</v>
      </c>
      <c r="D84" s="3087" t="s">
        <v>2668</v>
      </c>
      <c r="E84" s="3113">
        <v>0.1</v>
      </c>
      <c r="F84" s="3113">
        <v>15</v>
      </c>
    </row>
    <row r="85" spans="1:6" ht="13.5">
      <c r="A85" s="3113">
        <v>13</v>
      </c>
      <c r="B85" s="3755"/>
      <c r="C85" s="3087" t="s">
        <v>2669</v>
      </c>
      <c r="D85" s="3087" t="s">
        <v>2670</v>
      </c>
      <c r="E85" s="3113">
        <v>0.1</v>
      </c>
      <c r="F85" s="3113">
        <v>15</v>
      </c>
    </row>
    <row r="86" spans="1:6" ht="13.5">
      <c r="A86" s="3113">
        <v>14</v>
      </c>
      <c r="B86" s="3755"/>
      <c r="C86" s="3087" t="s">
        <v>2671</v>
      </c>
      <c r="D86" s="3087" t="s">
        <v>2672</v>
      </c>
      <c r="E86" s="3113">
        <v>0.1</v>
      </c>
      <c r="F86" s="3113">
        <v>15</v>
      </c>
    </row>
    <row r="87" spans="1:6" ht="13.5">
      <c r="A87" s="3113">
        <v>15</v>
      </c>
      <c r="B87" s="3755"/>
      <c r="C87" s="3087" t="s">
        <v>2673</v>
      </c>
      <c r="D87" s="3087" t="s">
        <v>2674</v>
      </c>
      <c r="E87" s="3113">
        <v>0.1</v>
      </c>
      <c r="F87" s="3113">
        <v>15</v>
      </c>
    </row>
    <row r="88" spans="1:6" ht="24">
      <c r="A88" s="3113">
        <v>16</v>
      </c>
      <c r="B88" s="3755"/>
      <c r="C88" s="3087" t="s">
        <v>2675</v>
      </c>
      <c r="D88" s="3087" t="s">
        <v>2676</v>
      </c>
      <c r="E88" s="3113">
        <v>0.1</v>
      </c>
      <c r="F88" s="3113">
        <v>15</v>
      </c>
    </row>
    <row r="89" spans="1:6" ht="24">
      <c r="A89" s="3113">
        <v>17</v>
      </c>
      <c r="B89" s="3754"/>
      <c r="C89" s="3087" t="s">
        <v>2677</v>
      </c>
      <c r="D89" s="3087" t="s">
        <v>2678</v>
      </c>
      <c r="E89" s="3113">
        <v>0.1</v>
      </c>
      <c r="F89" s="3113">
        <v>15</v>
      </c>
    </row>
    <row r="90" spans="1:6" ht="13.5">
      <c r="A90" s="3113">
        <v>18</v>
      </c>
      <c r="B90" s="3753" t="s">
        <v>2679</v>
      </c>
      <c r="C90" s="3087" t="s">
        <v>2680</v>
      </c>
      <c r="D90" s="3087" t="s">
        <v>2681</v>
      </c>
      <c r="E90" s="3113">
        <v>0.2</v>
      </c>
      <c r="F90" s="3113">
        <v>25</v>
      </c>
    </row>
    <row r="91" spans="1:6" ht="24">
      <c r="A91" s="3113">
        <v>19</v>
      </c>
      <c r="B91" s="3755"/>
      <c r="C91" s="3087" t="s">
        <v>2682</v>
      </c>
      <c r="D91" s="3087" t="s">
        <v>2683</v>
      </c>
      <c r="E91" s="3113">
        <v>0.2</v>
      </c>
      <c r="F91" s="3113">
        <v>25</v>
      </c>
    </row>
    <row r="92" spans="1:6" ht="13.5">
      <c r="A92" s="3113">
        <v>20</v>
      </c>
      <c r="B92" s="3755"/>
      <c r="C92" s="3087" t="s">
        <v>2684</v>
      </c>
      <c r="D92" s="3087" t="s">
        <v>2685</v>
      </c>
      <c r="E92" s="3113">
        <v>0.15</v>
      </c>
      <c r="F92" s="3113">
        <v>20</v>
      </c>
    </row>
    <row r="93" spans="1:6" ht="13.5">
      <c r="A93" s="3113">
        <v>21</v>
      </c>
      <c r="B93" s="3755"/>
      <c r="C93" s="3087" t="s">
        <v>2686</v>
      </c>
      <c r="D93" s="3087" t="s">
        <v>2687</v>
      </c>
      <c r="E93" s="3113">
        <v>0.15</v>
      </c>
      <c r="F93" s="3113">
        <v>20</v>
      </c>
    </row>
    <row r="94" spans="1:6" ht="13.5">
      <c r="A94" s="3113">
        <v>22</v>
      </c>
      <c r="B94" s="3755"/>
      <c r="C94" s="3087" t="s">
        <v>2688</v>
      </c>
      <c r="D94" s="3087" t="s">
        <v>2689</v>
      </c>
      <c r="E94" s="3113">
        <v>0.15</v>
      </c>
      <c r="F94" s="3113">
        <v>20</v>
      </c>
    </row>
    <row r="95" spans="1:6" ht="36">
      <c r="A95" s="3113">
        <v>23</v>
      </c>
      <c r="B95" s="3755"/>
      <c r="C95" s="3087" t="s">
        <v>2690</v>
      </c>
      <c r="D95" s="3087" t="s">
        <v>2691</v>
      </c>
      <c r="E95" s="3113">
        <v>0.15</v>
      </c>
      <c r="F95" s="3113">
        <v>20</v>
      </c>
    </row>
    <row r="96" spans="1:6" ht="13.5">
      <c r="A96" s="3113">
        <v>24</v>
      </c>
      <c r="B96" s="3755"/>
      <c r="C96" s="3087" t="s">
        <v>2692</v>
      </c>
      <c r="D96" s="3087" t="s">
        <v>2693</v>
      </c>
      <c r="E96" s="3113">
        <v>0.1</v>
      </c>
      <c r="F96" s="3113">
        <v>15</v>
      </c>
    </row>
    <row r="97" spans="1:6" ht="13.5">
      <c r="A97" s="3113">
        <v>25</v>
      </c>
      <c r="B97" s="3755"/>
      <c r="C97" s="3087" t="s">
        <v>2694</v>
      </c>
      <c r="D97" s="3087" t="s">
        <v>2695</v>
      </c>
      <c r="E97" s="3113">
        <v>0.1</v>
      </c>
      <c r="F97" s="3113">
        <v>15</v>
      </c>
    </row>
    <row r="98" spans="1:6" ht="24">
      <c r="A98" s="3113">
        <v>26</v>
      </c>
      <c r="B98" s="3755"/>
      <c r="C98" s="3087" t="s">
        <v>2696</v>
      </c>
      <c r="D98" s="3087" t="s">
        <v>2697</v>
      </c>
      <c r="E98" s="3113">
        <v>0.1</v>
      </c>
      <c r="F98" s="3113">
        <v>15</v>
      </c>
    </row>
    <row r="99" spans="1:6" ht="24">
      <c r="A99" s="3113">
        <v>27</v>
      </c>
      <c r="B99" s="3755"/>
      <c r="C99" s="3087" t="s">
        <v>2698</v>
      </c>
      <c r="D99" s="3087" t="s">
        <v>2699</v>
      </c>
      <c r="E99" s="3113">
        <v>0.1</v>
      </c>
      <c r="F99" s="3113">
        <v>15</v>
      </c>
    </row>
    <row r="100" spans="1:6" ht="13.5">
      <c r="A100" s="3113">
        <v>28</v>
      </c>
      <c r="B100" s="3755"/>
      <c r="C100" s="3087" t="s">
        <v>2700</v>
      </c>
      <c r="D100" s="3087" t="s">
        <v>2701</v>
      </c>
      <c r="E100" s="3113">
        <v>0.1</v>
      </c>
      <c r="F100" s="3113">
        <v>15</v>
      </c>
    </row>
    <row r="101" spans="1:6" ht="13.5">
      <c r="A101" s="3113">
        <v>29</v>
      </c>
      <c r="B101" s="3755"/>
      <c r="C101" s="3087" t="s">
        <v>2702</v>
      </c>
      <c r="D101" s="3087" t="s">
        <v>2703</v>
      </c>
      <c r="E101" s="3113">
        <v>0.1</v>
      </c>
      <c r="F101" s="3113">
        <v>15</v>
      </c>
    </row>
    <row r="102" spans="1:6" ht="13.5">
      <c r="A102" s="3113">
        <v>30</v>
      </c>
      <c r="B102" s="3755"/>
      <c r="C102" s="3087" t="s">
        <v>2704</v>
      </c>
      <c r="D102" s="3087" t="s">
        <v>2705</v>
      </c>
      <c r="E102" s="3113">
        <v>0.1</v>
      </c>
      <c r="F102" s="3113">
        <v>15</v>
      </c>
    </row>
    <row r="103" spans="1:6" ht="24">
      <c r="A103" s="3113">
        <v>31</v>
      </c>
      <c r="B103" s="3755"/>
      <c r="C103" s="3087" t="s">
        <v>2706</v>
      </c>
      <c r="D103" s="3087" t="s">
        <v>2707</v>
      </c>
      <c r="E103" s="3113">
        <v>0.1</v>
      </c>
      <c r="F103" s="3113">
        <v>15</v>
      </c>
    </row>
    <row r="104" spans="1:6" ht="24">
      <c r="A104" s="3113">
        <v>32</v>
      </c>
      <c r="B104" s="3755"/>
      <c r="C104" s="3087" t="s">
        <v>2708</v>
      </c>
      <c r="D104" s="3087" t="s">
        <v>2709</v>
      </c>
      <c r="E104" s="3113">
        <v>0.1</v>
      </c>
      <c r="F104" s="3113">
        <v>15</v>
      </c>
    </row>
    <row r="105" spans="1:6" ht="24">
      <c r="A105" s="3113">
        <v>33</v>
      </c>
      <c r="B105" s="3755"/>
      <c r="C105" s="3087" t="s">
        <v>2710</v>
      </c>
      <c r="D105" s="3087" t="s">
        <v>2711</v>
      </c>
      <c r="E105" s="3113">
        <v>0.1</v>
      </c>
      <c r="F105" s="3113">
        <v>15</v>
      </c>
    </row>
    <row r="106" spans="1:6" ht="24">
      <c r="A106" s="3113">
        <v>34</v>
      </c>
      <c r="B106" s="3754"/>
      <c r="C106" s="3087" t="s">
        <v>2712</v>
      </c>
      <c r="D106" s="3087" t="s">
        <v>2713</v>
      </c>
      <c r="E106" s="3113">
        <v>0.1</v>
      </c>
      <c r="F106" s="3113">
        <v>15</v>
      </c>
    </row>
    <row r="107" spans="1:6" ht="24">
      <c r="A107" s="3113">
        <v>35</v>
      </c>
      <c r="B107" s="3753" t="s">
        <v>2714</v>
      </c>
      <c r="C107" s="3113" t="s">
        <v>2715</v>
      </c>
      <c r="D107" s="3087" t="s">
        <v>2716</v>
      </c>
      <c r="E107" s="3113">
        <v>0.15</v>
      </c>
      <c r="F107" s="3113">
        <v>20</v>
      </c>
    </row>
    <row r="108" spans="1:6" ht="13.5">
      <c r="A108" s="3113">
        <v>36</v>
      </c>
      <c r="B108" s="3755"/>
      <c r="C108" s="3113" t="s">
        <v>2717</v>
      </c>
      <c r="D108" s="3087" t="s">
        <v>2718</v>
      </c>
      <c r="E108" s="3113">
        <v>0.15</v>
      </c>
      <c r="F108" s="3113">
        <v>20</v>
      </c>
    </row>
    <row r="109" spans="1:6" ht="13.5">
      <c r="A109" s="3113">
        <v>37</v>
      </c>
      <c r="B109" s="3755"/>
      <c r="C109" s="3113" t="s">
        <v>2719</v>
      </c>
      <c r="D109" s="3087" t="s">
        <v>2720</v>
      </c>
      <c r="E109" s="3113">
        <v>0.15</v>
      </c>
      <c r="F109" s="3113">
        <v>20</v>
      </c>
    </row>
    <row r="110" spans="1:6" ht="13.5">
      <c r="A110" s="3113">
        <v>38</v>
      </c>
      <c r="B110" s="3755"/>
      <c r="C110" s="3113" t="s">
        <v>2721</v>
      </c>
      <c r="D110" s="3087" t="s">
        <v>2722</v>
      </c>
      <c r="E110" s="3113">
        <v>0.1</v>
      </c>
      <c r="F110" s="3113">
        <v>15</v>
      </c>
    </row>
    <row r="111" spans="1:6" ht="24">
      <c r="A111" s="3113">
        <v>39</v>
      </c>
      <c r="B111" s="3755"/>
      <c r="C111" s="3113" t="s">
        <v>2723</v>
      </c>
      <c r="D111" s="3087" t="s">
        <v>2724</v>
      </c>
      <c r="E111" s="3113">
        <v>0.1</v>
      </c>
      <c r="F111" s="3113">
        <v>15</v>
      </c>
    </row>
    <row r="112" spans="1:6" ht="24">
      <c r="A112" s="3113">
        <v>40</v>
      </c>
      <c r="B112" s="3754"/>
      <c r="C112" s="3113" t="s">
        <v>2725</v>
      </c>
      <c r="D112" s="3087" t="s">
        <v>2726</v>
      </c>
      <c r="E112" s="3113">
        <v>0.1</v>
      </c>
      <c r="F112" s="3113">
        <v>15</v>
      </c>
    </row>
    <row r="113" spans="1:6" ht="13.5">
      <c r="A113" s="3113">
        <v>41</v>
      </c>
      <c r="B113" s="3752" t="s">
        <v>2727</v>
      </c>
      <c r="C113" s="3113" t="s">
        <v>2728</v>
      </c>
      <c r="D113" s="3087" t="s">
        <v>2729</v>
      </c>
      <c r="E113" s="3113">
        <v>0.1</v>
      </c>
      <c r="F113" s="3113">
        <v>15</v>
      </c>
    </row>
    <row r="114" spans="1:6" ht="13.5">
      <c r="A114" s="3113">
        <v>42</v>
      </c>
      <c r="B114" s="3752"/>
      <c r="C114" s="3113" t="s">
        <v>2730</v>
      </c>
      <c r="D114" s="3087" t="s">
        <v>2731</v>
      </c>
      <c r="E114" s="3113">
        <v>0.1</v>
      </c>
      <c r="F114" s="3113">
        <v>15</v>
      </c>
    </row>
    <row r="115" spans="1:6" ht="24">
      <c r="A115" s="3113">
        <v>43</v>
      </c>
      <c r="B115" s="3752"/>
      <c r="C115" s="3113" t="s">
        <v>2732</v>
      </c>
      <c r="D115" s="3087" t="s">
        <v>2733</v>
      </c>
      <c r="E115" s="3113">
        <v>0.1</v>
      </c>
      <c r="F115" s="3113">
        <v>15</v>
      </c>
    </row>
    <row r="116" spans="1:6" ht="13.5">
      <c r="A116" s="3113">
        <v>44</v>
      </c>
      <c r="B116" s="3753" t="s">
        <v>2734</v>
      </c>
      <c r="C116" s="3113" t="s">
        <v>2735</v>
      </c>
      <c r="D116" s="3087" t="s">
        <v>2736</v>
      </c>
      <c r="E116" s="3113">
        <v>0.1</v>
      </c>
      <c r="F116" s="3113">
        <v>15</v>
      </c>
    </row>
    <row r="117" spans="1:6" ht="24">
      <c r="A117" s="3113">
        <v>45</v>
      </c>
      <c r="B117" s="3754"/>
      <c r="C117" s="3087" t="s">
        <v>2737</v>
      </c>
      <c r="D117" s="3087" t="s">
        <v>2738</v>
      </c>
      <c r="E117" s="3113">
        <v>0.1</v>
      </c>
      <c r="F117" s="3113">
        <v>15</v>
      </c>
    </row>
    <row r="118" spans="1:6" ht="24">
      <c r="A118" s="3113">
        <v>46</v>
      </c>
      <c r="B118" s="3753" t="s">
        <v>2739</v>
      </c>
      <c r="C118" s="3113" t="s">
        <v>2740</v>
      </c>
      <c r="D118" s="3087" t="s">
        <v>2741</v>
      </c>
      <c r="E118" s="3113">
        <v>0.1</v>
      </c>
      <c r="F118" s="3113">
        <v>15</v>
      </c>
    </row>
    <row r="119" spans="1:6" ht="24">
      <c r="A119" s="3113">
        <v>47</v>
      </c>
      <c r="B119" s="3754"/>
      <c r="C119" s="3113" t="s">
        <v>2742</v>
      </c>
      <c r="D119" s="3087" t="s">
        <v>2743</v>
      </c>
      <c r="E119" s="3113">
        <v>0.1</v>
      </c>
      <c r="F119" s="3113">
        <v>15</v>
      </c>
    </row>
    <row r="120" spans="1:6" ht="13.5">
      <c r="A120" s="3113">
        <v>48</v>
      </c>
      <c r="B120" s="3753" t="s">
        <v>2744</v>
      </c>
      <c r="C120" s="3113" t="s">
        <v>2745</v>
      </c>
      <c r="D120" s="3087" t="s">
        <v>2746</v>
      </c>
      <c r="E120" s="3113">
        <v>0.1</v>
      </c>
      <c r="F120" s="3113">
        <v>15</v>
      </c>
    </row>
    <row r="121" spans="1:6" ht="13.5">
      <c r="A121" s="3113">
        <v>49</v>
      </c>
      <c r="B121" s="3754"/>
      <c r="C121" s="3113" t="s">
        <v>2747</v>
      </c>
      <c r="D121" s="3087" t="s">
        <v>2748</v>
      </c>
      <c r="E121" s="3113">
        <v>0.1</v>
      </c>
      <c r="F121" s="3113">
        <v>15</v>
      </c>
    </row>
    <row r="122" spans="1:6" ht="24">
      <c r="A122" s="3113">
        <v>50</v>
      </c>
      <c r="B122" s="3752" t="s">
        <v>2749</v>
      </c>
      <c r="C122" s="3113" t="s">
        <v>2750</v>
      </c>
      <c r="D122" s="3087" t="s">
        <v>2751</v>
      </c>
      <c r="E122" s="3113">
        <v>0.1</v>
      </c>
      <c r="F122" s="3113">
        <v>15</v>
      </c>
    </row>
    <row r="123" spans="1:6" ht="24">
      <c r="A123" s="3113">
        <v>51</v>
      </c>
      <c r="B123" s="3752"/>
      <c r="C123" s="3113" t="s">
        <v>2752</v>
      </c>
      <c r="D123" s="3087" t="s">
        <v>2753</v>
      </c>
      <c r="E123" s="3113">
        <v>0.1</v>
      </c>
      <c r="F123" s="3113">
        <v>15</v>
      </c>
    </row>
    <row r="124" spans="1:6" ht="24">
      <c r="A124" s="3113">
        <v>52</v>
      </c>
      <c r="B124" s="3752" t="s">
        <v>2754</v>
      </c>
      <c r="C124" s="3113" t="s">
        <v>2755</v>
      </c>
      <c r="D124" s="3087" t="s">
        <v>2756</v>
      </c>
      <c r="E124" s="3113">
        <v>0.1</v>
      </c>
      <c r="F124" s="3113">
        <v>15</v>
      </c>
    </row>
    <row r="125" spans="1:6" ht="24">
      <c r="A125" s="3113">
        <v>53</v>
      </c>
      <c r="B125" s="3752"/>
      <c r="C125" s="3113" t="s">
        <v>2757</v>
      </c>
      <c r="D125" s="3087" t="s">
        <v>2758</v>
      </c>
      <c r="E125" s="3113">
        <v>0.1</v>
      </c>
      <c r="F125" s="3113">
        <v>15</v>
      </c>
    </row>
    <row r="126" spans="1:6" ht="13.5">
      <c r="A126" s="3113">
        <v>54</v>
      </c>
      <c r="B126" s="3113" t="s">
        <v>2759</v>
      </c>
      <c r="C126" s="3113" t="s">
        <v>2760</v>
      </c>
      <c r="D126" s="3087" t="s">
        <v>2761</v>
      </c>
      <c r="E126" s="3113">
        <v>0.1</v>
      </c>
      <c r="F126" s="3113">
        <v>15</v>
      </c>
    </row>
    <row r="127" spans="1:6" ht="13.5">
      <c r="A127" s="3113">
        <v>55</v>
      </c>
      <c r="B127" s="3752" t="s">
        <v>2762</v>
      </c>
      <c r="C127" s="3113" t="s">
        <v>2763</v>
      </c>
      <c r="D127" s="3087" t="s">
        <v>2764</v>
      </c>
      <c r="E127" s="3113">
        <v>0.1</v>
      </c>
      <c r="F127" s="3113">
        <v>15</v>
      </c>
    </row>
    <row r="128" spans="1:6" ht="13.5">
      <c r="A128" s="3113">
        <v>56</v>
      </c>
      <c r="B128" s="3752"/>
      <c r="C128" s="3113" t="s">
        <v>2765</v>
      </c>
      <c r="D128" s="3087" t="s">
        <v>2766</v>
      </c>
      <c r="E128" s="3113">
        <v>0.1</v>
      </c>
      <c r="F128" s="3113">
        <v>15</v>
      </c>
    </row>
    <row r="129" spans="1:6" ht="24">
      <c r="A129" s="3113">
        <v>57</v>
      </c>
      <c r="B129" s="3752"/>
      <c r="C129" s="3113" t="s">
        <v>2767</v>
      </c>
      <c r="D129" s="3087" t="s">
        <v>2768</v>
      </c>
      <c r="E129" s="3113">
        <v>0.1</v>
      </c>
      <c r="F129" s="3113">
        <v>15</v>
      </c>
    </row>
    <row r="130" spans="1:6" ht="24">
      <c r="A130" s="3113">
        <v>58</v>
      </c>
      <c r="B130" s="3752" t="s">
        <v>2769</v>
      </c>
      <c r="C130" s="3113" t="s">
        <v>2770</v>
      </c>
      <c r="D130" s="3087" t="s">
        <v>2771</v>
      </c>
      <c r="E130" s="3113">
        <v>0.1</v>
      </c>
      <c r="F130" s="3113">
        <v>15</v>
      </c>
    </row>
    <row r="131" spans="1:6" ht="13.5">
      <c r="A131" s="3113">
        <v>59</v>
      </c>
      <c r="B131" s="3752"/>
      <c r="C131" s="3113" t="s">
        <v>2772</v>
      </c>
      <c r="D131" s="3087" t="s">
        <v>2773</v>
      </c>
      <c r="E131" s="3113">
        <v>0.1</v>
      </c>
      <c r="F131" s="3113">
        <v>15</v>
      </c>
    </row>
    <row r="132" spans="1:6" ht="13.5">
      <c r="A132" s="3113">
        <v>60</v>
      </c>
      <c r="B132" s="3753" t="s">
        <v>2774</v>
      </c>
      <c r="C132" s="3113" t="s">
        <v>2775</v>
      </c>
      <c r="D132" s="3087" t="s">
        <v>2776</v>
      </c>
      <c r="E132" s="3113">
        <v>0.1</v>
      </c>
      <c r="F132" s="3113">
        <v>15</v>
      </c>
    </row>
    <row r="133" spans="1:6" ht="13.5">
      <c r="A133" s="3113">
        <v>61</v>
      </c>
      <c r="B133" s="3754"/>
      <c r="C133" s="3113" t="s">
        <v>2777</v>
      </c>
      <c r="D133" s="3087" t="s">
        <v>2778</v>
      </c>
      <c r="E133" s="3113">
        <v>0.1</v>
      </c>
      <c r="F133" s="3113">
        <v>15</v>
      </c>
    </row>
    <row r="134" spans="1:6" ht="24">
      <c r="A134" s="3113">
        <v>62</v>
      </c>
      <c r="B134" s="3113" t="s">
        <v>2779</v>
      </c>
      <c r="C134" s="3113" t="s">
        <v>2780</v>
      </c>
      <c r="D134" s="3087" t="s">
        <v>2781</v>
      </c>
      <c r="E134" s="3113">
        <v>0.1</v>
      </c>
      <c r="F134" s="3113">
        <v>15</v>
      </c>
    </row>
    <row r="135" spans="1:6" ht="13.5">
      <c r="A135" s="3113">
        <v>63</v>
      </c>
      <c r="B135" s="3752" t="s">
        <v>2782</v>
      </c>
      <c r="C135" s="3113" t="s">
        <v>2783</v>
      </c>
      <c r="D135" s="3087" t="s">
        <v>2784</v>
      </c>
      <c r="E135" s="3113">
        <v>0.1</v>
      </c>
      <c r="F135" s="3113">
        <v>15</v>
      </c>
    </row>
    <row r="136" spans="1:6" ht="13.5">
      <c r="A136" s="3113">
        <v>64</v>
      </c>
      <c r="B136" s="3752"/>
      <c r="C136" s="3113" t="s">
        <v>2785</v>
      </c>
      <c r="D136" s="3087" t="s">
        <v>2786</v>
      </c>
      <c r="E136" s="3113">
        <v>0.1</v>
      </c>
      <c r="F136" s="3113">
        <v>15</v>
      </c>
    </row>
    <row r="137" spans="1:6" ht="13.5">
      <c r="A137" s="3113">
        <v>65</v>
      </c>
      <c r="B137" s="3113" t="s">
        <v>2787</v>
      </c>
      <c r="C137" s="3113" t="s">
        <v>2788</v>
      </c>
      <c r="D137" s="3087" t="s">
        <v>2789</v>
      </c>
      <c r="E137" s="3113">
        <v>0.1</v>
      </c>
      <c r="F137" s="3113">
        <v>15</v>
      </c>
    </row>
    <row r="138" spans="1:6" ht="13.5">
      <c r="A138" s="3113"/>
      <c r="B138" s="3113"/>
      <c r="C138" s="3113"/>
      <c r="D138" s="3113"/>
      <c r="E138" s="3113" t="s">
        <v>2790</v>
      </c>
      <c r="F138" s="3113"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2791</v>
      </c>
      <c r="B1" s="3122"/>
      <c r="C1" s="3122"/>
      <c r="D1" s="3122"/>
      <c r="E1" s="3122"/>
      <c r="F1" s="3122"/>
      <c r="G1" s="3122"/>
      <c r="H1" s="3122"/>
      <c r="I1" s="3122"/>
      <c r="J1" s="3122"/>
      <c r="K1" s="3122"/>
      <c r="L1" s="3122"/>
      <c r="M1" s="3122"/>
      <c r="N1" s="748"/>
    </row>
    <row r="2" spans="1:20">
      <c r="A2" s="3123" t="s">
        <v>2792</v>
      </c>
      <c r="B2" s="3124" t="s">
        <v>2588</v>
      </c>
      <c r="C2" s="3124" t="s">
        <v>2589</v>
      </c>
      <c r="D2" s="3124" t="s">
        <v>2590</v>
      </c>
      <c r="E2" s="3124" t="s">
        <v>2591</v>
      </c>
      <c r="F2" s="3124" t="s">
        <v>2592</v>
      </c>
      <c r="G2" s="3124" t="s">
        <v>2593</v>
      </c>
      <c r="H2" s="3125" t="s">
        <v>2594</v>
      </c>
      <c r="I2" s="3125" t="s">
        <v>2595</v>
      </c>
      <c r="J2" s="3126" t="s">
        <v>2596</v>
      </c>
      <c r="K2" s="3126" t="s">
        <v>2597</v>
      </c>
      <c r="L2" s="3126" t="s">
        <v>2598</v>
      </c>
      <c r="M2" s="3127" t="s">
        <v>2599</v>
      </c>
      <c r="Q2" s="3137" t="s">
        <v>2797</v>
      </c>
      <c r="R2" s="3137" t="s">
        <v>2798</v>
      </c>
      <c r="S2" s="3137" t="s">
        <v>2799</v>
      </c>
      <c r="T2" s="3137" t="s">
        <v>2800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2793</v>
      </c>
      <c r="B93" s="3122"/>
      <c r="C93" s="3122"/>
      <c r="D93" s="3122"/>
      <c r="E93" s="3122"/>
      <c r="F93" s="3122"/>
      <c r="G93" s="3122"/>
      <c r="H93" s="3122"/>
      <c r="I93" s="3122"/>
      <c r="J93" s="3122"/>
      <c r="K93" s="3122"/>
      <c r="L93" s="3122"/>
      <c r="M93" s="3122"/>
    </row>
    <row r="94" spans="1:20">
      <c r="A94" s="3123" t="s">
        <v>2792</v>
      </c>
      <c r="B94" s="3124" t="s">
        <v>2588</v>
      </c>
      <c r="C94" s="3124" t="s">
        <v>2589</v>
      </c>
      <c r="D94" s="3124" t="s">
        <v>2590</v>
      </c>
      <c r="E94" s="3124" t="s">
        <v>2591</v>
      </c>
      <c r="F94" s="3124" t="s">
        <v>2592</v>
      </c>
      <c r="G94" s="3124" t="s">
        <v>2593</v>
      </c>
      <c r="H94" s="3125" t="s">
        <v>2594</v>
      </c>
      <c r="I94" s="3125" t="s">
        <v>2595</v>
      </c>
      <c r="J94" s="3126" t="s">
        <v>2596</v>
      </c>
      <c r="K94" s="3126" t="s">
        <v>2597</v>
      </c>
      <c r="L94" s="3126" t="s">
        <v>2598</v>
      </c>
      <c r="M94" s="3127" t="s">
        <v>2599</v>
      </c>
      <c r="N94" s="749">
        <f>SUMPRODUCT((A95:A184=ROUNDDOWN(基准地价修正!G3,1))*(B94:M94=基准地价修正!G2)*(B95:M184))</f>
        <v>0</v>
      </c>
      <c r="Q94" s="3137" t="s">
        <v>2797</v>
      </c>
      <c r="R94" s="3137" t="s">
        <v>2798</v>
      </c>
      <c r="S94" s="3137" t="s">
        <v>2799</v>
      </c>
      <c r="T94" s="3137" t="s">
        <v>2800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2794</v>
      </c>
      <c r="B185" s="3122"/>
      <c r="C185" s="3122"/>
      <c r="D185" s="3122"/>
      <c r="E185" s="3122"/>
      <c r="F185" s="3122"/>
      <c r="G185" s="3122"/>
      <c r="H185" s="3122"/>
      <c r="I185" s="3122"/>
      <c r="J185" s="3122"/>
      <c r="K185" s="3122"/>
      <c r="L185" s="3122"/>
      <c r="M185" s="3122"/>
    </row>
    <row r="186" spans="1:20">
      <c r="A186" s="3123" t="s">
        <v>2792</v>
      </c>
      <c r="B186" s="3124" t="s">
        <v>2588</v>
      </c>
      <c r="C186" s="3124" t="s">
        <v>2589</v>
      </c>
      <c r="D186" s="3124" t="s">
        <v>2590</v>
      </c>
      <c r="E186" s="3124" t="s">
        <v>2591</v>
      </c>
      <c r="F186" s="3124" t="s">
        <v>2592</v>
      </c>
      <c r="G186" s="3124" t="s">
        <v>2593</v>
      </c>
      <c r="H186" s="3125" t="s">
        <v>2594</v>
      </c>
      <c r="I186" s="3125" t="s">
        <v>2595</v>
      </c>
      <c r="J186" s="3126" t="s">
        <v>2596</v>
      </c>
      <c r="K186" s="3126" t="s">
        <v>2597</v>
      </c>
      <c r="L186" s="3126" t="s">
        <v>2598</v>
      </c>
      <c r="M186" s="3127" t="s">
        <v>2599</v>
      </c>
      <c r="Q186" s="3137" t="s">
        <v>2797</v>
      </c>
      <c r="R186" s="3137" t="s">
        <v>2798</v>
      </c>
      <c r="S186" s="3137" t="s">
        <v>2799</v>
      </c>
      <c r="T186" s="3137" t="s">
        <v>2800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2795</v>
      </c>
      <c r="B277" s="3122"/>
      <c r="C277" s="3122"/>
      <c r="D277" s="3122"/>
      <c r="E277" s="3122"/>
      <c r="F277" s="3122"/>
      <c r="G277" s="3122"/>
      <c r="H277" s="3122"/>
      <c r="I277" s="3122"/>
      <c r="J277" s="3122"/>
      <c r="K277" s="3122"/>
      <c r="L277" s="3122"/>
      <c r="M277" s="3122"/>
    </row>
    <row r="278" spans="1:21">
      <c r="A278" s="3123" t="s">
        <v>2792</v>
      </c>
      <c r="B278" s="3124" t="s">
        <v>2588</v>
      </c>
      <c r="C278" s="3124" t="s">
        <v>2589</v>
      </c>
      <c r="D278" s="3124" t="s">
        <v>2590</v>
      </c>
      <c r="E278" s="3124" t="s">
        <v>2591</v>
      </c>
      <c r="F278" s="3124" t="s">
        <v>2592</v>
      </c>
      <c r="G278" s="3124" t="s">
        <v>2593</v>
      </c>
      <c r="H278" s="3125" t="s">
        <v>2594</v>
      </c>
      <c r="I278" s="3125" t="s">
        <v>2595</v>
      </c>
      <c r="J278" s="3126" t="s">
        <v>2596</v>
      </c>
      <c r="K278" s="3126" t="s">
        <v>2597</v>
      </c>
      <c r="L278" s="3126" t="s">
        <v>2598</v>
      </c>
      <c r="M278" s="3127" t="s">
        <v>2599</v>
      </c>
      <c r="Q278" s="3137" t="s">
        <v>2797</v>
      </c>
      <c r="R278" s="3137" t="s">
        <v>2798</v>
      </c>
      <c r="S278" s="3137" t="s">
        <v>2801</v>
      </c>
      <c r="T278" s="3137" t="s">
        <v>2802</v>
      </c>
      <c r="U278" s="3137" t="s">
        <v>2800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2796</v>
      </c>
      <c r="B369" s="3135"/>
      <c r="C369" s="3135"/>
      <c r="D369" s="3135"/>
      <c r="E369" s="3135"/>
      <c r="F369" s="3135"/>
      <c r="G369" s="3135"/>
      <c r="H369" s="3135"/>
      <c r="I369" s="3135"/>
      <c r="J369" s="3135"/>
      <c r="K369" s="3135"/>
      <c r="L369" s="3135"/>
      <c r="M369" s="3135"/>
    </row>
    <row r="370" spans="1:20">
      <c r="A370" s="3123" t="s">
        <v>2792</v>
      </c>
      <c r="B370" s="3124" t="s">
        <v>2588</v>
      </c>
      <c r="C370" s="3124" t="s">
        <v>2589</v>
      </c>
      <c r="D370" s="3124" t="s">
        <v>2590</v>
      </c>
      <c r="E370" s="3124" t="s">
        <v>2591</v>
      </c>
      <c r="F370" s="3124" t="s">
        <v>2592</v>
      </c>
      <c r="G370" s="3124" t="s">
        <v>2593</v>
      </c>
      <c r="H370" s="3125" t="s">
        <v>2594</v>
      </c>
      <c r="I370" s="3125" t="s">
        <v>2595</v>
      </c>
      <c r="J370" s="3126" t="s">
        <v>2596</v>
      </c>
      <c r="K370" s="3126" t="s">
        <v>2597</v>
      </c>
      <c r="L370" s="3126" t="s">
        <v>2598</v>
      </c>
      <c r="M370" s="3127" t="s">
        <v>2599</v>
      </c>
      <c r="N370" s="749">
        <f>SUMPRODUCT((A371:A460=ROUNDDOWN(基准地价修正!G3,1))*(B370:M370=基准地价修正!G2)*(B371:M460))</f>
        <v>0</v>
      </c>
      <c r="Q370" s="3137" t="s">
        <v>2797</v>
      </c>
      <c r="R370" s="3137" t="s">
        <v>2798</v>
      </c>
      <c r="S370" s="3137" t="s">
        <v>2799</v>
      </c>
      <c r="T370" s="3137" t="s">
        <v>2800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29469</v>
      </c>
      <c r="C2" s="2" t="s">
        <v>106</v>
      </c>
      <c r="D2" s="199"/>
      <c r="E2" s="199"/>
      <c r="F2" s="199"/>
      <c r="G2" s="199"/>
    </row>
    <row r="3" spans="1:7" s="200" customFormat="1" ht="18" customHeight="1" thickBot="1">
      <c r="A3" s="203" t="s">
        <v>58</v>
      </c>
      <c r="B3" s="204">
        <f ca="1">ROUND(B2*10000/'数据-汇总表'!E3,0)</f>
        <v>732349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8</v>
      </c>
      <c r="D10" s="844">
        <f>'数据-汇总表'!E6</f>
        <v>402.39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v>
      </c>
      <c r="D19" s="848">
        <f>'数据-汇总表'!E3</f>
        <v>402.39</v>
      </c>
      <c r="E19" s="211">
        <f>'数据-取费表'!B31</f>
        <v>180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161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v>
      </c>
      <c r="D37" s="217">
        <f>'数据-汇总表'!E3</f>
        <v>402.39</v>
      </c>
      <c r="E37" s="249">
        <f>'数据-取费表'!B35</f>
        <v>180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7</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7</v>
      </c>
      <c r="D42" s="238"/>
      <c r="E42" s="238"/>
      <c r="F42" s="239"/>
      <c r="G42" s="3628" t="s">
        <v>94</v>
      </c>
    </row>
    <row r="43" spans="1:7" ht="13.5" customHeight="1">
      <c r="A43" s="779" t="s">
        <v>347</v>
      </c>
      <c r="B43" s="215" t="s">
        <v>426</v>
      </c>
      <c r="C43" s="238">
        <f ca="1">ROUND(IF('数据-取费表'!B22&lt;=1,C39*F22*'数据-取费表'!B21/2,C39*(POWER((1+F22),'数据-取费表'!B21/2)-1)),0)</f>
        <v>0</v>
      </c>
      <c r="D43" s="238"/>
      <c r="E43" s="238"/>
      <c r="F43" s="239"/>
      <c r="G43" s="3629"/>
    </row>
    <row r="44" spans="1:7" ht="13.5" customHeight="1">
      <c r="A44" s="779" t="s">
        <v>348</v>
      </c>
      <c r="B44" s="215" t="s">
        <v>428</v>
      </c>
      <c r="C44" s="238">
        <f ca="1">ROUND(IF('数据-取费表'!B22&lt;=1,C40*F22*'数据-取费表'!B21/2,C40*(POWER((1+F22),'数据-取费表'!B21/2)-1)),4)</f>
        <v>8.0000000000000004E-4</v>
      </c>
      <c r="D44" s="238"/>
      <c r="E44" s="238"/>
      <c r="F44" s="239"/>
      <c r="G44" s="3630"/>
    </row>
    <row r="45" spans="1:7" s="214" customFormat="1" ht="13.5" customHeight="1">
      <c r="A45" s="776" t="s">
        <v>341</v>
      </c>
      <c r="B45" s="244" t="s">
        <v>85</v>
      </c>
      <c r="C45" s="245">
        <f>C46</f>
        <v>36</v>
      </c>
      <c r="D45" s="235">
        <f>C47</f>
        <v>4.0000000000000001E-3</v>
      </c>
      <c r="E45" s="236" t="s">
        <v>102</v>
      </c>
      <c r="F45" s="246"/>
      <c r="G45" s="247" t="s">
        <v>434</v>
      </c>
    </row>
    <row r="46" spans="1:7" s="214" customFormat="1" ht="13.5" customHeight="1">
      <c r="A46" s="779" t="s">
        <v>349</v>
      </c>
      <c r="B46" s="248" t="s">
        <v>427</v>
      </c>
      <c r="C46" s="249">
        <f>ROUND((C33+C39)*F27,0)</f>
        <v>36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241</v>
      </c>
      <c r="D49" s="232"/>
      <c r="E49" s="232"/>
      <c r="F49" s="264"/>
      <c r="G49" s="234" t="s">
        <v>435</v>
      </c>
    </row>
    <row r="50" spans="1:7" s="258" customFormat="1" ht="24">
      <c r="A50" s="776" t="s">
        <v>344</v>
      </c>
      <c r="B50" s="210" t="s">
        <v>97</v>
      </c>
      <c r="C50" s="232"/>
      <c r="D50" s="232"/>
      <c r="E50" s="232"/>
      <c r="F50" s="264">
        <f>IF('数据-取费表'!B24=0,'数据-取费表'!N16,1)</f>
        <v>0.88</v>
      </c>
      <c r="G50" s="247" t="s">
        <v>98</v>
      </c>
    </row>
    <row r="51" spans="1:7" ht="16.5" customHeight="1">
      <c r="A51" s="776" t="s">
        <v>345</v>
      </c>
      <c r="B51" s="210" t="s">
        <v>105</v>
      </c>
      <c r="C51" s="232">
        <f ca="1">ROUND(C49*F50,0)</f>
        <v>212</v>
      </c>
      <c r="D51" s="232"/>
      <c r="E51" s="232"/>
      <c r="F51" s="264"/>
      <c r="G51" s="234" t="s">
        <v>37</v>
      </c>
    </row>
    <row r="52" spans="1:7" s="208" customFormat="1" ht="16.5" thickBot="1">
      <c r="A52" s="265" t="s">
        <v>38</v>
      </c>
      <c r="B52" s="266"/>
      <c r="C52" s="267">
        <f ca="1">C31+C51</f>
        <v>29469</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9.5" thickBot="1">
      <c r="A4" s="1492"/>
      <c r="B4" s="3449" t="s">
        <v>917</v>
      </c>
      <c r="C4" s="3449"/>
      <c r="D4" s="3449"/>
      <c r="E4" s="1492"/>
    </row>
    <row r="5" spans="1:5" ht="16.5" thickTop="1">
      <c r="A5" s="1490"/>
      <c r="B5" s="3447" t="s">
        <v>909</v>
      </c>
      <c r="C5" s="1493" t="s">
        <v>910</v>
      </c>
      <c r="D5" s="849">
        <f ca="1">结果表!H101</f>
        <v>1359</v>
      </c>
      <c r="E5" s="1490"/>
    </row>
    <row r="6" spans="1:5" ht="15.75">
      <c r="A6" s="1490"/>
      <c r="B6" s="3447"/>
      <c r="C6" s="1493" t="s">
        <v>911</v>
      </c>
      <c r="D6" s="849" t="str">
        <f ca="1">NUMBERSTRING(INT(D5*10000),2)&amp;"元整"</f>
        <v>壹仟叁佰伍拾玖万元整</v>
      </c>
      <c r="E6" s="1490"/>
    </row>
    <row r="7" spans="1:5" ht="15.75">
      <c r="A7" s="1490"/>
      <c r="B7" s="3452"/>
      <c r="C7" s="1494" t="s">
        <v>912</v>
      </c>
      <c r="D7" s="850">
        <f ca="1">结果表!H102</f>
        <v>33782</v>
      </c>
      <c r="E7" s="1490"/>
    </row>
    <row r="8" spans="1:5" ht="15.75">
      <c r="A8" s="1490"/>
      <c r="B8" s="3453" t="str">
        <f>结果表!E103</f>
        <v>2.估价师知悉的法定优先受偿款</v>
      </c>
      <c r="C8" s="1495" t="s">
        <v>913</v>
      </c>
      <c r="D8" s="850">
        <f>结果表!H103</f>
        <v>0</v>
      </c>
      <c r="E8" s="1490"/>
    </row>
    <row r="9" spans="1:5" ht="15.75">
      <c r="A9" s="1490"/>
      <c r="B9" s="345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46" t="str">
        <f>结果表!E107</f>
        <v>3.房地产抵押价值</v>
      </c>
      <c r="C13" s="1498" t="s">
        <v>910</v>
      </c>
      <c r="D13" s="852">
        <f ca="1">结果表!H107</f>
        <v>1359</v>
      </c>
      <c r="E13" s="1490"/>
    </row>
    <row r="14" spans="1:5" ht="15.75">
      <c r="A14" s="1490"/>
      <c r="B14" s="3447"/>
      <c r="C14" s="1493" t="s">
        <v>911</v>
      </c>
      <c r="D14" s="849" t="str">
        <f ca="1">NUMBERSTRING(INT(D13*10000),2)&amp;"元整"</f>
        <v>壹仟叁佰伍拾玖万元整</v>
      </c>
      <c r="E14" s="1490"/>
    </row>
    <row r="15" spans="1:5" ht="15">
      <c r="A15" s="1490"/>
      <c r="B15" s="3452"/>
      <c r="C15" s="1494" t="s">
        <v>921</v>
      </c>
      <c r="D15" s="858">
        <f ca="1">结果表!H108</f>
        <v>33782</v>
      </c>
      <c r="E15" s="1490"/>
    </row>
    <row r="16" spans="1:5" ht="15">
      <c r="A16" s="1490"/>
      <c r="B16" s="3453" t="str">
        <f>结果表!E109</f>
        <v>——</v>
      </c>
      <c r="C16" s="1498" t="s">
        <v>922</v>
      </c>
      <c r="D16" s="1499" t="str">
        <f>结果表!H109</f>
        <v>——</v>
      </c>
      <c r="E16" s="1490"/>
    </row>
    <row r="17" spans="1:5" ht="15.75">
      <c r="A17" s="1490"/>
      <c r="B17" s="3454"/>
      <c r="C17" s="1493" t="s">
        <v>923</v>
      </c>
      <c r="D17" s="849" t="e">
        <f>NUMBERSTRING(INT(D16*10000),2)&amp;"元整"</f>
        <v>#VALUE!</v>
      </c>
      <c r="E17" s="1490"/>
    </row>
    <row r="18" spans="1:5" ht="15">
      <c r="A18" s="1490"/>
      <c r="B18" s="3455"/>
      <c r="C18" s="1494" t="s">
        <v>912</v>
      </c>
      <c r="D18" s="858" t="str">
        <f>结果表!H110</f>
        <v>——</v>
      </c>
      <c r="E18" s="1490"/>
    </row>
    <row r="19" spans="1:5" ht="15.75">
      <c r="A19" s="1490"/>
      <c r="B19" s="3446" t="str">
        <f>结果表!E111</f>
        <v>——</v>
      </c>
      <c r="C19" s="1498" t="s">
        <v>910</v>
      </c>
      <c r="D19" s="850" t="str">
        <f>结果表!H111</f>
        <v>——</v>
      </c>
      <c r="E19" s="1490"/>
    </row>
    <row r="20" spans="1:5" ht="15.75">
      <c r="A20" s="1490"/>
      <c r="B20" s="3447"/>
      <c r="C20" s="1493" t="s">
        <v>923</v>
      </c>
      <c r="D20" s="849" t="e">
        <f>NUMBERSTRING(INT(D19*10000),2)&amp;"元整"</f>
        <v>#VALUE!</v>
      </c>
      <c r="E20" s="1490"/>
    </row>
    <row r="21" spans="1:5" ht="15.75" thickBot="1">
      <c r="A21" s="1490"/>
      <c r="B21" s="344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66" t="s">
        <v>2834</v>
      </c>
      <c r="B1" s="3766"/>
      <c r="C1" s="3766"/>
      <c r="D1" s="3766"/>
      <c r="E1" s="3766"/>
      <c r="F1" s="3766"/>
      <c r="G1" s="3767"/>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764" t="s">
        <v>2861</v>
      </c>
      <c r="B3" s="3225"/>
      <c r="C3" s="3226" t="s">
        <v>2804</v>
      </c>
      <c r="D3" s="3226" t="s">
        <v>2862</v>
      </c>
      <c r="E3" s="3226" t="s">
        <v>2806</v>
      </c>
      <c r="F3" s="3226" t="s">
        <v>2863</v>
      </c>
      <c r="G3" s="3226" t="s">
        <v>2624</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765"/>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68" t="s">
        <v>3176</v>
      </c>
      <c r="B1" s="3768"/>
    </row>
    <row r="2" spans="1:7" ht="14.25" thickBot="1">
      <c r="A2" s="3250"/>
      <c r="B2" s="3250"/>
    </row>
    <row r="3" spans="1:7" ht="14.25" thickBot="1">
      <c r="A3" s="3250"/>
      <c r="B3" s="3250"/>
      <c r="C3" s="3251" t="s">
        <v>2804</v>
      </c>
      <c r="D3" s="3251" t="s">
        <v>2862</v>
      </c>
      <c r="E3" s="3251" t="s">
        <v>2806</v>
      </c>
      <c r="F3" s="3251" t="s">
        <v>2863</v>
      </c>
      <c r="G3" s="3251" t="s">
        <v>2624</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69" t="s">
        <v>3227</v>
      </c>
      <c r="B1" s="3769"/>
      <c r="C1" s="3769"/>
      <c r="D1" s="3769"/>
      <c r="E1" s="3769"/>
      <c r="F1" s="3770"/>
    </row>
    <row r="2" spans="1:6">
      <c r="A2" s="3286" t="s">
        <v>3228</v>
      </c>
      <c r="B2" s="3287"/>
      <c r="C2" s="3287"/>
      <c r="D2" s="3287"/>
      <c r="E2" s="3287"/>
      <c r="F2" s="3287"/>
    </row>
    <row r="3" spans="1:6">
      <c r="A3" s="3286" t="s">
        <v>3229</v>
      </c>
      <c r="B3" s="3287"/>
      <c r="C3" s="3287"/>
      <c r="D3" s="3287"/>
      <c r="E3" s="3287"/>
      <c r="F3" s="3288" t="s">
        <v>3230</v>
      </c>
    </row>
    <row r="4" spans="1:6">
      <c r="A4" s="3289" t="s">
        <v>672</v>
      </c>
      <c r="B4" s="3289" t="s">
        <v>673</v>
      </c>
      <c r="C4" s="3289" t="s">
        <v>21</v>
      </c>
      <c r="D4" s="3289" t="s">
        <v>674</v>
      </c>
      <c r="E4" s="3289" t="s">
        <v>3</v>
      </c>
      <c r="F4" s="3289" t="s">
        <v>3231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45057</v>
      </c>
      <c r="B1" s="3205" t="s">
        <v>2833</v>
      </c>
      <c r="C1" s="3206"/>
      <c r="D1" s="3206"/>
      <c r="E1" s="3206"/>
      <c r="F1" s="3206"/>
      <c r="G1" s="3206"/>
      <c r="H1" s="3206"/>
      <c r="I1" s="3206"/>
      <c r="J1" s="3160"/>
      <c r="K1" s="3206" t="s">
        <v>454</v>
      </c>
      <c r="L1" s="3206"/>
      <c r="M1" s="3206"/>
      <c r="N1" s="3206"/>
      <c r="O1" s="3206"/>
      <c r="P1" s="3206"/>
      <c r="Q1" s="3160"/>
      <c r="R1" s="3771" t="s">
        <v>456</v>
      </c>
      <c r="S1" s="3772"/>
      <c r="T1" s="3772"/>
      <c r="U1" s="3772"/>
      <c r="V1" s="3772"/>
      <c r="W1" s="3772"/>
      <c r="X1" s="3160"/>
      <c r="Y1" s="3771" t="s">
        <v>457</v>
      </c>
      <c r="Z1" s="3772"/>
      <c r="AA1" s="3772"/>
      <c r="AB1" s="3772"/>
      <c r="AC1" s="3772"/>
      <c r="AD1" s="3772"/>
    </row>
    <row r="2" spans="1:30" s="3138" customFormat="1" ht="14.25" thickBot="1">
      <c r="B2" s="3139"/>
      <c r="C2" s="3140"/>
      <c r="D2" s="3141" t="s">
        <v>2803</v>
      </c>
      <c r="E2" s="3142" t="s">
        <v>2804</v>
      </c>
      <c r="F2" s="3142" t="s">
        <v>2805</v>
      </c>
      <c r="G2" s="3142" t="s">
        <v>2806</v>
      </c>
      <c r="H2" s="3142" t="s">
        <v>2807</v>
      </c>
      <c r="I2" s="3142" t="s">
        <v>2624</v>
      </c>
      <c r="J2" s="3143"/>
      <c r="K2" s="3141" t="s">
        <v>2803</v>
      </c>
      <c r="L2" s="3142" t="s">
        <v>2804</v>
      </c>
      <c r="M2" s="3142" t="s">
        <v>2805</v>
      </c>
      <c r="N2" s="3142" t="s">
        <v>2806</v>
      </c>
      <c r="O2" s="3142" t="s">
        <v>2808</v>
      </c>
      <c r="P2" s="3142" t="s">
        <v>2624</v>
      </c>
      <c r="Q2" s="3143"/>
      <c r="R2" s="3141" t="s">
        <v>2803</v>
      </c>
      <c r="S2" s="3142" t="s">
        <v>2804</v>
      </c>
      <c r="T2" s="3142" t="s">
        <v>2805</v>
      </c>
      <c r="U2" s="3142" t="s">
        <v>2809</v>
      </c>
      <c r="V2" s="3142" t="s">
        <v>2810</v>
      </c>
      <c r="W2" s="3142" t="s">
        <v>2624</v>
      </c>
      <c r="X2" s="3143"/>
      <c r="Y2" s="3141" t="s">
        <v>2803</v>
      </c>
      <c r="Z2" s="3142" t="s">
        <v>2804</v>
      </c>
      <c r="AA2" s="3142" t="s">
        <v>2805</v>
      </c>
      <c r="AB2" s="3142" t="s">
        <v>2811</v>
      </c>
      <c r="AC2" s="3142" t="s">
        <v>2810</v>
      </c>
      <c r="AD2" s="3142" t="s">
        <v>2624</v>
      </c>
    </row>
    <row r="3" spans="1:30" s="3156" customFormat="1" ht="12.75">
      <c r="A3" s="3144" t="s">
        <v>2812</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3364</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3365</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3363</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3366</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3367</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3359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2816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2817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3361</v>
      </c>
    </row>
    <row r="19" spans="1:30" s="3004" customFormat="1">
      <c r="I19" s="3203" t="s">
        <v>2818</v>
      </c>
    </row>
    <row r="20" spans="1:30" s="3004" customFormat="1"/>
    <row r="21" spans="1:30" s="3204" customFormat="1" ht="12.75">
      <c r="B21" s="3205" t="s">
        <v>2819</v>
      </c>
      <c r="C21" s="3206"/>
      <c r="D21" s="3206"/>
      <c r="E21" s="3206"/>
      <c r="F21" s="3206"/>
      <c r="G21" s="3206"/>
      <c r="H21" s="3206"/>
      <c r="I21" s="3206"/>
      <c r="J21" s="3160"/>
      <c r="K21" s="3206" t="s">
        <v>2820</v>
      </c>
      <c r="L21" s="3206"/>
      <c r="M21" s="3206"/>
      <c r="N21" s="3206"/>
      <c r="O21" s="3206"/>
      <c r="P21" s="3206"/>
      <c r="Q21" s="3160"/>
      <c r="R21" s="3771" t="s">
        <v>2821</v>
      </c>
      <c r="S21" s="3772"/>
      <c r="T21" s="3772"/>
      <c r="U21" s="3772"/>
      <c r="V21" s="3772"/>
      <c r="W21" s="3772"/>
      <c r="X21" s="3160"/>
      <c r="Y21" s="3771" t="s">
        <v>2822</v>
      </c>
      <c r="Z21" s="3772"/>
      <c r="AA21" s="3772"/>
      <c r="AB21" s="3772"/>
      <c r="AC21" s="3772"/>
      <c r="AD21" s="3772"/>
    </row>
    <row r="22" spans="1:30" s="3138" customFormat="1" ht="14.25" thickBot="1">
      <c r="B22" s="3139"/>
      <c r="C22" s="3140"/>
      <c r="D22" s="3141" t="s">
        <v>2823</v>
      </c>
      <c r="E22" s="3142" t="s">
        <v>2824</v>
      </c>
      <c r="F22" s="3142" t="s">
        <v>2825</v>
      </c>
      <c r="G22" s="3142" t="s">
        <v>2826</v>
      </c>
      <c r="H22" s="3142"/>
      <c r="I22" s="3142" t="s">
        <v>2827</v>
      </c>
      <c r="J22" s="3143"/>
      <c r="K22" s="3141" t="s">
        <v>2823</v>
      </c>
      <c r="L22" s="3142" t="s">
        <v>2824</v>
      </c>
      <c r="M22" s="3142" t="s">
        <v>2825</v>
      </c>
      <c r="N22" s="3142" t="s">
        <v>2826</v>
      </c>
      <c r="O22" s="3142"/>
      <c r="P22" s="3142" t="s">
        <v>2827</v>
      </c>
      <c r="Q22" s="3143"/>
      <c r="R22" s="3141" t="s">
        <v>2823</v>
      </c>
      <c r="S22" s="3142" t="s">
        <v>2824</v>
      </c>
      <c r="T22" s="3142" t="s">
        <v>2825</v>
      </c>
      <c r="U22" s="3142" t="s">
        <v>2826</v>
      </c>
      <c r="V22" s="3142"/>
      <c r="W22" s="3142" t="s">
        <v>2827</v>
      </c>
      <c r="X22" s="3143"/>
      <c r="Y22" s="3141" t="s">
        <v>2823</v>
      </c>
      <c r="Z22" s="3142" t="s">
        <v>2824</v>
      </c>
      <c r="AA22" s="3142" t="s">
        <v>2825</v>
      </c>
      <c r="AB22" s="3142" t="s">
        <v>2826</v>
      </c>
      <c r="AC22" s="3142"/>
      <c r="AD22" s="3142" t="s">
        <v>2827</v>
      </c>
    </row>
    <row r="23" spans="1:30" s="3156" customFormat="1" ht="12.75">
      <c r="A23" s="3144" t="s">
        <v>2828</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3364</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3365</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3363</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3366</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3367</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3360</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2829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2817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78" t="s">
        <v>452</v>
      </c>
      <c r="C1" s="3778"/>
      <c r="D1" s="3778"/>
      <c r="E1" s="3778"/>
      <c r="F1" s="3778"/>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77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7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45057</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2303</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A40" sqref="A40"/>
    </sheetView>
  </sheetViews>
  <sheetFormatPr defaultRowHeight="13.5"/>
  <sheetData>
    <row r="1" spans="1:4">
      <c r="A1" s="3789" t="s">
        <v>3401</v>
      </c>
      <c r="B1" s="3789" t="s">
        <v>3405</v>
      </c>
      <c r="C1" s="3789" t="s">
        <v>3406</v>
      </c>
      <c r="D1" s="3789" t="s">
        <v>3407</v>
      </c>
    </row>
    <row r="2" spans="1:4">
      <c r="A2" s="3789" t="s">
        <v>3402</v>
      </c>
      <c r="B2">
        <v>330</v>
      </c>
      <c r="C2">
        <v>85.82</v>
      </c>
      <c r="D2">
        <f>ROUND(B2*10000/C2,0)</f>
        <v>38453</v>
      </c>
    </row>
    <row r="3" spans="1:4">
      <c r="A3" s="3789" t="s">
        <v>3403</v>
      </c>
      <c r="B3">
        <v>400</v>
      </c>
      <c r="C3">
        <v>105.06</v>
      </c>
      <c r="D3">
        <f>ROUND(B3*10000/C3,0)</f>
        <v>38073</v>
      </c>
    </row>
    <row r="4" spans="1:4">
      <c r="A4" s="3789" t="s">
        <v>3404</v>
      </c>
      <c r="B4">
        <v>200</v>
      </c>
      <c r="C4">
        <v>55.6</v>
      </c>
      <c r="D4">
        <f>ROUND(B4*10000/C4,0)</f>
        <v>35971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853" t="s">
        <v>925</v>
      </c>
      <c r="E3" s="853" t="s">
        <v>931</v>
      </c>
      <c r="F3" s="853" t="s">
        <v>925</v>
      </c>
      <c r="G3" s="853" t="s">
        <v>926</v>
      </c>
      <c r="H3" s="853" t="s">
        <v>925</v>
      </c>
      <c r="I3" s="853" t="s">
        <v>926</v>
      </c>
    </row>
    <row r="4" spans="1:9" ht="15">
      <c r="A4" s="1504" t="str">
        <f>项目基本情况!S2</f>
        <v>北京市房山区怡和南路8号院8号楼1层101房地产</v>
      </c>
      <c r="B4" s="853">
        <f>项目基本情况!C17</f>
        <v>402.39</v>
      </c>
      <c r="C4" s="853">
        <f>项目基本情况!C18</f>
        <v>0</v>
      </c>
      <c r="D4" s="853" t="e">
        <f ca="1">结果表!D118</f>
        <v>#REF!</v>
      </c>
      <c r="E4" s="853" t="e">
        <f ca="1">结果表!E118</f>
        <v>#REF!</v>
      </c>
      <c r="F4" s="853" t="e">
        <f ca="1">结果表!F118</f>
        <v>#REF!</v>
      </c>
      <c r="G4" s="853" t="e">
        <f ca="1">结果表!G118</f>
        <v>#REF!</v>
      </c>
      <c r="H4" s="853">
        <f ca="1">结果表!H118</f>
        <v>1359</v>
      </c>
      <c r="I4" s="853">
        <f ca="1">结果表!I118</f>
        <v>33782</v>
      </c>
    </row>
    <row r="5" spans="1:9" ht="30" customHeight="1">
      <c r="A5" s="3459" t="s">
        <v>927</v>
      </c>
      <c r="B5" s="3459"/>
      <c r="C5" s="3459"/>
      <c r="D5" s="3459" t="e">
        <f ca="1">结果表!D119</f>
        <v>#REF!</v>
      </c>
      <c r="E5" s="3459"/>
      <c r="F5" s="3459" t="e">
        <f ca="1">结果表!F119</f>
        <v>#REF!</v>
      </c>
      <c r="G5" s="3459"/>
      <c r="H5" s="3459" t="str">
        <f ca="1">结果表!H119</f>
        <v>壹仟叁佰伍拾玖万元整</v>
      </c>
      <c r="I5" s="3459"/>
    </row>
    <row r="6" spans="1:9" ht="15.75">
      <c r="A6" s="3458" t="str">
        <f>结果表!A120</f>
        <v>估价师知悉的法定优先受偿款</v>
      </c>
      <c r="B6" s="3458"/>
      <c r="C6" s="3458"/>
      <c r="D6" s="3458">
        <f>结果表!D120</f>
        <v>0</v>
      </c>
      <c r="E6" s="3458"/>
      <c r="F6" s="3458"/>
      <c r="G6" s="3458"/>
      <c r="H6" s="3458"/>
      <c r="I6" s="3458"/>
    </row>
    <row r="7" spans="1:9" ht="15">
      <c r="A7" s="3459" t="s">
        <v>927</v>
      </c>
      <c r="B7" s="3459"/>
      <c r="C7" s="3459"/>
      <c r="D7" s="3460" t="str">
        <f>结果表!D121</f>
        <v>零元整</v>
      </c>
      <c r="E7" s="3461"/>
      <c r="F7" s="3461"/>
      <c r="G7" s="3461"/>
      <c r="H7" s="3461"/>
      <c r="I7" s="3462"/>
    </row>
    <row r="8" spans="1:9" ht="15.75">
      <c r="A8" s="3458" t="str">
        <f>结果表!A122</f>
        <v>房地产抵押价值</v>
      </c>
      <c r="B8" s="3458"/>
      <c r="C8" s="3458"/>
      <c r="D8" s="3458">
        <f ca="1">结果表!D122</f>
        <v>1359</v>
      </c>
      <c r="E8" s="3458"/>
      <c r="F8" s="3458"/>
      <c r="G8" s="3458"/>
      <c r="H8" s="3458"/>
      <c r="I8" s="3458"/>
    </row>
    <row r="9" spans="1:9" ht="15">
      <c r="A9" s="3459" t="s">
        <v>927</v>
      </c>
      <c r="B9" s="3459"/>
      <c r="C9" s="3459"/>
      <c r="D9" s="3459" t="str">
        <f ca="1">结果表!D123</f>
        <v>壹仟叁佰伍拾玖万元整</v>
      </c>
      <c r="E9" s="3459"/>
      <c r="F9" s="3459"/>
      <c r="G9" s="3459"/>
      <c r="H9" s="3459"/>
      <c r="I9" s="3459"/>
    </row>
    <row r="10" spans="1:9" ht="15.75">
      <c r="A10" s="3458" t="str">
        <f>结果表!A124</f>
        <v/>
      </c>
      <c r="B10" s="3458"/>
      <c r="C10" s="3458"/>
      <c r="D10" s="3458" t="str">
        <f>结果表!D124</f>
        <v>——</v>
      </c>
      <c r="E10" s="3458"/>
      <c r="F10" s="3458"/>
      <c r="G10" s="3458"/>
      <c r="H10" s="3458"/>
      <c r="I10" s="3458"/>
    </row>
    <row r="11" spans="1:9" ht="15">
      <c r="A11" s="3459" t="s">
        <v>927</v>
      </c>
      <c r="B11" s="3459"/>
      <c r="C11" s="3459"/>
      <c r="D11" s="3459" t="e">
        <f>结果表!D125</f>
        <v>#VALUE!</v>
      </c>
      <c r="E11" s="3459"/>
      <c r="F11" s="3459"/>
      <c r="G11" s="3459"/>
      <c r="H11" s="3459"/>
      <c r="I11" s="3459"/>
    </row>
    <row r="12" spans="1:9" ht="15.75">
      <c r="A12" s="3458" t="str">
        <f>结果表!A126</f>
        <v/>
      </c>
      <c r="B12" s="3458"/>
      <c r="C12" s="3458"/>
      <c r="D12" s="3458" t="str">
        <f>结果表!D126</f>
        <v>——</v>
      </c>
      <c r="E12" s="3458"/>
      <c r="F12" s="3458"/>
      <c r="G12" s="3458"/>
      <c r="H12" s="3458"/>
      <c r="I12" s="3458"/>
    </row>
    <row r="13" spans="1:9" ht="15.75" thickBot="1">
      <c r="A13" s="3456" t="s">
        <v>927</v>
      </c>
      <c r="B13" s="3456"/>
      <c r="C13" s="3456"/>
      <c r="D13" s="3456" t="e">
        <f>结果表!D127</f>
        <v>#VALUE!</v>
      </c>
      <c r="E13" s="3456"/>
      <c r="F13" s="3456"/>
      <c r="G13" s="3456"/>
      <c r="H13" s="3456"/>
      <c r="I13" s="3456"/>
    </row>
    <row r="14" spans="1:9" ht="15" thickTop="1">
      <c r="A14" s="3457" t="s">
        <v>932</v>
      </c>
      <c r="B14" s="3457"/>
      <c r="C14" s="3457"/>
      <c r="D14" s="3457"/>
      <c r="E14" s="3457"/>
      <c r="F14" s="3457"/>
      <c r="G14" s="3457"/>
      <c r="H14" s="3457"/>
      <c r="I14" s="345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1" t="s">
        <v>949</v>
      </c>
      <c r="B1" s="3471"/>
      <c r="C1" s="3471"/>
      <c r="D1" s="3471"/>
    </row>
    <row r="2" spans="1:4" ht="18">
      <c r="A2" s="3472" t="s">
        <v>933</v>
      </c>
      <c r="B2" s="3472"/>
      <c r="C2" s="3472"/>
      <c r="D2" s="347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72" t="s">
        <v>939</v>
      </c>
      <c r="B6" s="3472"/>
      <c r="C6" s="3472"/>
      <c r="D6" s="347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3" t="s">
        <v>942</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5" t="str">
        <f>IF(项目基本情况!B8="抵押","4.本次评估估价师所知悉的法定优先受偿款情况说明如下：","——")</f>
        <v>4.本次评估估价师所知悉的法定优先受偿款情况说明如下：</v>
      </c>
      <c r="B14" s="3470"/>
      <c r="C14" s="3470"/>
      <c r="D14" s="3470"/>
    </row>
    <row r="15" spans="1:4" ht="42" customHeight="1">
      <c r="A15" s="3465" t="str">
        <f>IF(项目基本情况!B8="抵押","（1）"&amp;CONCATENATE(项目基本情况!L20,项目基本情况!L21,项目基本情况!L22),"——")</f>
        <v>（1）根据估价对象《不动产权证书》复印件、，截至价值时点，估价对象抵押权未见登记。</v>
      </c>
      <c r="B15" s="3465"/>
      <c r="C15" s="3465"/>
      <c r="D15" s="3465"/>
    </row>
    <row r="16" spans="1:4" ht="30" customHeight="1">
      <c r="A16" s="3467" t="s">
        <v>943</v>
      </c>
      <c r="B16" s="3467"/>
      <c r="C16" s="3467"/>
      <c r="D16" s="3467"/>
    </row>
    <row r="17" spans="1:4" ht="144" customHeight="1">
      <c r="A17" s="3467" t="s">
        <v>944</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945</v>
      </c>
      <c r="B22" s="3469"/>
      <c r="C22" s="3469"/>
      <c r="D22" s="346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79" t="s">
        <v>956</v>
      </c>
      <c r="B15" s="3474" t="s">
        <v>109</v>
      </c>
      <c r="C15" s="3475"/>
    </row>
    <row r="16" spans="1:7" ht="13.5">
      <c r="A16" s="3480"/>
      <c r="B16" s="3474" t="s">
        <v>42</v>
      </c>
      <c r="C16" s="3475"/>
    </row>
    <row r="17" spans="1:3" ht="13.5">
      <c r="A17" s="3480"/>
      <c r="B17" s="3477" t="s">
        <v>957</v>
      </c>
      <c r="C17" s="1531" t="s">
        <v>956</v>
      </c>
    </row>
    <row r="18" spans="1:3" ht="13.5">
      <c r="A18" s="3480"/>
      <c r="B18" s="3477"/>
      <c r="C18" s="1531" t="s">
        <v>958</v>
      </c>
    </row>
    <row r="19" spans="1:3" ht="13.5">
      <c r="A19" s="3480"/>
      <c r="B19" s="3477"/>
      <c r="C19" s="1531" t="s">
        <v>959</v>
      </c>
    </row>
    <row r="20" spans="1:3" ht="13.5">
      <c r="A20" s="3481"/>
      <c r="B20" s="3476" t="s">
        <v>960</v>
      </c>
      <c r="C20" s="3475"/>
    </row>
    <row r="21" spans="1:3" ht="13.5">
      <c r="A21" s="1532" t="s">
        <v>961</v>
      </c>
      <c r="B21" s="1533"/>
      <c r="C21" s="1534"/>
    </row>
    <row r="22" spans="1:3" ht="13.5">
      <c r="A22" s="3478" t="s">
        <v>962</v>
      </c>
      <c r="B22" s="3476" t="s">
        <v>963</v>
      </c>
      <c r="C22" s="3475"/>
    </row>
    <row r="23" spans="1:3" ht="13.5">
      <c r="A23" s="3478"/>
      <c r="B23" s="3476" t="s">
        <v>964</v>
      </c>
      <c r="C23" s="3475"/>
    </row>
    <row r="24" spans="1:3" ht="13.5">
      <c r="A24" s="3478"/>
      <c r="B24" s="3476" t="s">
        <v>965</v>
      </c>
      <c r="C24" s="3475"/>
    </row>
    <row r="25" spans="1:3" ht="13.5">
      <c r="A25" s="3478"/>
      <c r="B25" s="3477" t="s">
        <v>966</v>
      </c>
      <c r="C25" s="1531" t="s">
        <v>967</v>
      </c>
    </row>
    <row r="26" spans="1:3" ht="13.5">
      <c r="A26" s="3478"/>
      <c r="B26" s="3477"/>
      <c r="C26" s="1531" t="s">
        <v>968</v>
      </c>
    </row>
    <row r="27" spans="1:3" ht="13.5">
      <c r="A27" s="3478"/>
      <c r="B27" s="3477"/>
      <c r="C27" s="1531" t="s">
        <v>969</v>
      </c>
    </row>
    <row r="28" spans="1:3" ht="13.5">
      <c r="A28" s="3478"/>
      <c r="B28" s="3477"/>
      <c r="C28" s="1531" t="s">
        <v>970</v>
      </c>
    </row>
    <row r="29" spans="1:3" ht="13.5">
      <c r="A29" s="3478"/>
      <c r="B29" s="3477"/>
      <c r="C29" s="1531" t="s">
        <v>971</v>
      </c>
    </row>
    <row r="30" spans="1:3" ht="13.5">
      <c r="A30" s="3478"/>
      <c r="B30" s="3477"/>
      <c r="C30" s="1531" t="s">
        <v>972</v>
      </c>
    </row>
    <row r="31" spans="1:3" ht="13.5">
      <c r="A31" s="3478"/>
      <c r="B31" s="3477"/>
      <c r="C31" s="1531" t="s">
        <v>973</v>
      </c>
    </row>
    <row r="32" spans="1:3" ht="13.5">
      <c r="A32" s="3478"/>
      <c r="B32" s="3477"/>
      <c r="C32" s="1531" t="s">
        <v>974</v>
      </c>
    </row>
    <row r="33" spans="1:3" ht="13.5">
      <c r="A33" s="3478"/>
      <c r="B33" s="347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45061</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f ca="1">IF(C13&lt;B2,"已过期",1120020033)</f>
        <v>1120020033</v>
      </c>
      <c r="C13" s="2344">
        <v>45375</v>
      </c>
      <c r="D13" s="2345" t="str">
        <f t="shared" ca="1" si="0"/>
        <v>刘敬东（注册号：1120020033）</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2430</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2" t="s">
        <v>2157</v>
      </c>
      <c r="B17" s="3482"/>
      <c r="C17" s="3482"/>
      <c r="D17" s="3482"/>
      <c r="E17" s="3482"/>
      <c r="F17" s="3482"/>
      <c r="G17" s="3482"/>
      <c r="H17" s="3482"/>
    </row>
    <row r="18" spans="1:8" ht="24" customHeight="1">
      <c r="A18" s="3483" t="s">
        <v>2158</v>
      </c>
      <c r="B18" s="3483"/>
      <c r="C18" s="3483"/>
      <c r="D18" s="2342"/>
      <c r="E18" s="3484" t="s">
        <v>2159</v>
      </c>
      <c r="F18" s="3483"/>
      <c r="G18" s="3483"/>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2023-05-15T02:18:10Z</dcterms:modified>
</cp:coreProperties>
</file>