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210" windowWidth="12120" windowHeight="762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假设开发法" sheetId="12" state="hidden" r:id="rId21"/>
    <sheet name="比较法-办公" sheetId="34" r:id="rId22"/>
    <sheet name="收益法" sheetId="15" r:id="rId23"/>
    <sheet name="成本法 (元)" sheetId="69"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 name="办公比较法案例" sheetId="81" r:id="rId46"/>
    <sheet name="租金案例" sheetId="82" r:id="rId47"/>
    <sheet name="Sheet2" sheetId="78" state="hidden" r:id="rId48"/>
    <sheet name="车位测算" sheetId="83" r:id="rId49"/>
    <sheet name="汇总" sheetId="80" r:id="rId50"/>
  </sheet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fileRecoveryPr repairLoad="1"/>
</workbook>
</file>

<file path=xl/calcChain.xml><?xml version="1.0" encoding="utf-8"?>
<calcChain xmlns="http://schemas.openxmlformats.org/spreadsheetml/2006/main">
  <c r="F9" i="80"/>
  <c r="F8" l="1"/>
  <c r="F7"/>
  <c r="F6"/>
  <c r="F5"/>
  <c r="F4"/>
  <c r="F3" l="1"/>
  <c r="F2"/>
  <c r="C17" i="78"/>
  <c r="C14" l="1"/>
  <c r="AS4"/>
  <c r="AS3"/>
  <c r="AS2"/>
  <c r="F45" i="77"/>
  <c r="F23" l="1"/>
  <c r="E19"/>
  <c r="E15"/>
  <c r="I14"/>
  <c r="I13" s="1"/>
  <c r="D13"/>
  <c r="I12"/>
  <c r="Q11"/>
  <c r="I11"/>
  <c r="I10"/>
  <c r="Q9" l="1"/>
  <c r="I9"/>
  <c r="I8"/>
  <c r="I7"/>
  <c r="Q6"/>
  <c r="I6"/>
  <c r="I5"/>
  <c r="I4"/>
  <c r="I3"/>
  <c r="Q2"/>
  <c r="I2"/>
  <c r="J1" i="73"/>
  <c r="E1"/>
  <c r="K1" s="1"/>
  <c r="C1"/>
  <c r="G41" i="11"/>
  <c r="C40"/>
  <c r="F38"/>
  <c r="E37"/>
  <c r="F36"/>
  <c r="F35"/>
  <c r="F34"/>
  <c r="F30"/>
  <c r="C30"/>
  <c r="G22"/>
  <c r="F21"/>
  <c r="C21" s="1"/>
  <c r="F20"/>
  <c r="E19"/>
  <c r="E10"/>
  <c r="E9"/>
  <c r="C8"/>
  <c r="F7"/>
  <c r="C7" s="1"/>
  <c r="C5" s="1"/>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P23"/>
  <c r="N23"/>
  <c r="L23"/>
  <c r="J23"/>
  <c r="H23"/>
  <c r="F23"/>
  <c r="D23"/>
  <c r="S22"/>
  <c r="R22"/>
  <c r="B22"/>
  <c r="B21"/>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S2"/>
  <c r="R2"/>
  <c r="Q2"/>
  <c r="P2"/>
  <c r="O2"/>
  <c r="N2"/>
  <c r="M2"/>
  <c r="L2"/>
  <c r="K2"/>
  <c r="J2"/>
  <c r="I2"/>
  <c r="H2"/>
  <c r="G2"/>
  <c r="F2"/>
  <c r="E2"/>
  <c r="D2"/>
  <c r="C2"/>
  <c r="D73" i="71"/>
  <c r="F72"/>
  <c r="E72"/>
  <c r="D72"/>
  <c r="C72"/>
  <c r="B72"/>
  <c r="F71"/>
  <c r="E71"/>
  <c r="D71"/>
  <c r="C71"/>
  <c r="B71"/>
  <c r="F70"/>
  <c r="E70"/>
  <c r="D70"/>
  <c r="C70"/>
  <c r="B70"/>
  <c r="D69"/>
  <c r="F68"/>
  <c r="E68"/>
  <c r="D68"/>
  <c r="C68"/>
  <c r="B68"/>
  <c r="F67"/>
  <c r="E67"/>
  <c r="D67"/>
  <c r="C67"/>
  <c r="B67"/>
  <c r="F66"/>
  <c r="E66"/>
  <c r="D66"/>
  <c r="C66"/>
  <c r="B66"/>
  <c r="D65"/>
  <c r="V64"/>
  <c r="U64"/>
  <c r="T64"/>
  <c r="S64"/>
  <c r="Q64"/>
  <c r="P64"/>
  <c r="O64"/>
  <c r="N64"/>
  <c r="F64"/>
  <c r="E64"/>
  <c r="D64"/>
  <c r="C64"/>
  <c r="B64"/>
  <c r="Q63"/>
  <c r="P63"/>
  <c r="O63"/>
  <c r="N63"/>
  <c r="F63"/>
  <c r="E63"/>
  <c r="D63"/>
  <c r="C63"/>
  <c r="B63"/>
  <c r="Q62"/>
  <c r="P62"/>
  <c r="O62"/>
  <c r="N62"/>
  <c r="F62"/>
  <c r="E62"/>
  <c r="D62"/>
  <c r="C62"/>
  <c r="B62"/>
  <c r="Q61"/>
  <c r="P61"/>
  <c r="O61"/>
  <c r="N61"/>
  <c r="D61"/>
  <c r="V60"/>
  <c r="U60"/>
  <c r="T60"/>
  <c r="S60"/>
  <c r="Q60"/>
  <c r="P60"/>
  <c r="O60"/>
  <c r="N60"/>
  <c r="F60"/>
  <c r="E60"/>
  <c r="D60"/>
  <c r="C60"/>
  <c r="B60"/>
  <c r="Q59"/>
  <c r="P59"/>
  <c r="O59"/>
  <c r="N59"/>
  <c r="F59"/>
  <c r="E59"/>
  <c r="D59"/>
  <c r="C59"/>
  <c r="B59"/>
  <c r="Q58"/>
  <c r="P58"/>
  <c r="O58"/>
  <c r="N58"/>
  <c r="F58"/>
  <c r="E58"/>
  <c r="D58"/>
  <c r="C58"/>
  <c r="B58"/>
  <c r="Q57"/>
  <c r="P57"/>
  <c r="O57"/>
  <c r="N57"/>
  <c r="D57"/>
  <c r="V56"/>
  <c r="U56"/>
  <c r="T56"/>
  <c r="S56"/>
  <c r="Q56"/>
  <c r="P56"/>
  <c r="O56"/>
  <c r="N56"/>
  <c r="F56"/>
  <c r="E56"/>
  <c r="D56"/>
  <c r="C56"/>
  <c r="B56"/>
  <c r="Q55"/>
  <c r="P55"/>
  <c r="O55"/>
  <c r="N55"/>
  <c r="F55"/>
  <c r="E55"/>
  <c r="D55"/>
  <c r="C55"/>
  <c r="B55"/>
  <c r="Q54"/>
  <c r="P54"/>
  <c r="O54"/>
  <c r="N54"/>
  <c r="F54"/>
  <c r="E54"/>
  <c r="D54"/>
  <c r="C54"/>
  <c r="B54"/>
  <c r="Q53"/>
  <c r="P53"/>
  <c r="O53"/>
  <c r="N53"/>
  <c r="D53"/>
  <c r="V52"/>
  <c r="U52"/>
  <c r="T52"/>
  <c r="S52"/>
  <c r="Q52"/>
  <c r="P52"/>
  <c r="O52"/>
  <c r="N52"/>
  <c r="F52"/>
  <c r="E52"/>
  <c r="D52"/>
  <c r="C52"/>
  <c r="B52"/>
  <c r="Q51"/>
  <c r="P51"/>
  <c r="O51"/>
  <c r="N51"/>
  <c r="F51"/>
  <c r="E51"/>
  <c r="D51"/>
  <c r="C51"/>
  <c r="B51"/>
  <c r="Q50"/>
  <c r="P50"/>
  <c r="O50"/>
  <c r="N50"/>
  <c r="F50"/>
  <c r="E50"/>
  <c r="D50"/>
  <c r="C50"/>
  <c r="B50"/>
  <c r="Q49"/>
  <c r="P49"/>
  <c r="O49"/>
  <c r="N49"/>
  <c r="D49"/>
  <c r="V48"/>
  <c r="U48"/>
  <c r="T48"/>
  <c r="S48"/>
  <c r="Q48"/>
  <c r="P48"/>
  <c r="O48"/>
  <c r="N48"/>
  <c r="F48"/>
  <c r="E48"/>
  <c r="D48"/>
  <c r="C48"/>
  <c r="B48"/>
  <c r="Q47"/>
  <c r="P47"/>
  <c r="O47"/>
  <c r="N47"/>
  <c r="F47"/>
  <c r="E47"/>
  <c r="D47"/>
  <c r="C47"/>
  <c r="B47"/>
  <c r="Q46"/>
  <c r="P46"/>
  <c r="O46"/>
  <c r="N46"/>
  <c r="F46"/>
  <c r="E46"/>
  <c r="D46"/>
  <c r="C46"/>
  <c r="B46"/>
  <c r="Q45"/>
  <c r="P45"/>
  <c r="O45"/>
  <c r="N45"/>
  <c r="D45"/>
  <c r="V44"/>
  <c r="U44"/>
  <c r="T44"/>
  <c r="S44"/>
  <c r="Q44"/>
  <c r="P44"/>
  <c r="O44"/>
  <c r="N44"/>
  <c r="F44"/>
  <c r="E44"/>
  <c r="D44"/>
  <c r="C44"/>
  <c r="B44"/>
  <c r="Q43"/>
  <c r="P43"/>
  <c r="O43"/>
  <c r="N43"/>
  <c r="F43"/>
  <c r="E43"/>
  <c r="D43"/>
  <c r="C43"/>
  <c r="B43"/>
  <c r="Q42"/>
  <c r="P42"/>
  <c r="O42"/>
  <c r="N42"/>
  <c r="F42"/>
  <c r="E42"/>
  <c r="D42"/>
  <c r="C42"/>
  <c r="B42"/>
  <c r="Q41"/>
  <c r="P41"/>
  <c r="O41"/>
  <c r="N41"/>
  <c r="D41"/>
  <c r="V40"/>
  <c r="U40"/>
  <c r="T40"/>
  <c r="S40"/>
  <c r="Q40"/>
  <c r="P40"/>
  <c r="O40"/>
  <c r="N40"/>
  <c r="F40"/>
  <c r="E40"/>
  <c r="D40"/>
  <c r="C40"/>
  <c r="B40"/>
  <c r="Q39"/>
  <c r="P39"/>
  <c r="O39"/>
  <c r="N39"/>
  <c r="F39"/>
  <c r="E39"/>
  <c r="D39"/>
  <c r="C39"/>
  <c r="B39"/>
  <c r="Q38"/>
  <c r="P38"/>
  <c r="O38"/>
  <c r="N38"/>
  <c r="F38"/>
  <c r="E38"/>
  <c r="D38"/>
  <c r="C38"/>
  <c r="B38"/>
  <c r="Q37"/>
  <c r="P37"/>
  <c r="O37"/>
  <c r="N37"/>
  <c r="D37"/>
  <c r="V36"/>
  <c r="U36"/>
  <c r="T36"/>
  <c r="S36"/>
  <c r="Q36"/>
  <c r="P36"/>
  <c r="O36"/>
  <c r="N36"/>
  <c r="F36"/>
  <c r="E36"/>
  <c r="D36"/>
  <c r="C36"/>
  <c r="B36"/>
  <c r="Q35"/>
  <c r="P35"/>
  <c r="O35"/>
  <c r="N35"/>
  <c r="F35"/>
  <c r="E35"/>
  <c r="D35"/>
  <c r="C35"/>
  <c r="B35"/>
  <c r="Q34"/>
  <c r="P34"/>
  <c r="O34"/>
  <c r="N34"/>
  <c r="F34"/>
  <c r="E34"/>
  <c r="D34"/>
  <c r="C34"/>
  <c r="B34"/>
  <c r="Q33"/>
  <c r="P33"/>
  <c r="O33"/>
  <c r="N33"/>
  <c r="D33"/>
  <c r="V32"/>
  <c r="U32"/>
  <c r="T32"/>
  <c r="S32"/>
  <c r="Q32"/>
  <c r="P32"/>
  <c r="O32"/>
  <c r="N32"/>
  <c r="F32"/>
  <c r="E32"/>
  <c r="D32"/>
  <c r="B32"/>
  <c r="Q31"/>
  <c r="P31"/>
  <c r="O31"/>
  <c r="N31"/>
  <c r="F31"/>
  <c r="E31"/>
  <c r="D31"/>
  <c r="C31"/>
  <c r="B31"/>
  <c r="Q30"/>
  <c r="P30"/>
  <c r="O30"/>
  <c r="N30"/>
  <c r="F30"/>
  <c r="E30"/>
  <c r="D30"/>
  <c r="C30"/>
  <c r="B30"/>
  <c r="Q29"/>
  <c r="P29"/>
  <c r="O29"/>
  <c r="N29"/>
  <c r="D29"/>
  <c r="V28"/>
  <c r="U28"/>
  <c r="T28"/>
  <c r="S28"/>
  <c r="Q28"/>
  <c r="P28"/>
  <c r="O28"/>
  <c r="N28"/>
  <c r="F28"/>
  <c r="E28"/>
  <c r="D28"/>
  <c r="C28"/>
  <c r="B28"/>
  <c r="Q27"/>
  <c r="P27"/>
  <c r="O27"/>
  <c r="N27"/>
  <c r="F27"/>
  <c r="E27"/>
  <c r="D27"/>
  <c r="C27"/>
  <c r="B27"/>
  <c r="Q26"/>
  <c r="P26"/>
  <c r="O26"/>
  <c r="N26"/>
  <c r="F26"/>
  <c r="E26"/>
  <c r="D26"/>
  <c r="C26"/>
  <c r="B26"/>
  <c r="Q25"/>
  <c r="P25"/>
  <c r="O25"/>
  <c r="N25"/>
  <c r="D25"/>
  <c r="AH24"/>
  <c r="AG24"/>
  <c r="AF24"/>
  <c r="AE24"/>
  <c r="AD24"/>
  <c r="V24"/>
  <c r="U24"/>
  <c r="T24"/>
  <c r="S24"/>
  <c r="Q24"/>
  <c r="P24"/>
  <c r="O24"/>
  <c r="N24"/>
  <c r="F24"/>
  <c r="E24"/>
  <c r="D24"/>
  <c r="C24"/>
  <c r="B24"/>
  <c r="AH23"/>
  <c r="AG23"/>
  <c r="AF23"/>
  <c r="AE23"/>
  <c r="AD23"/>
  <c r="AB23"/>
  <c r="AA23"/>
  <c r="Z23"/>
  <c r="Y23"/>
  <c r="X23"/>
  <c r="Q23"/>
  <c r="P23"/>
  <c r="O23"/>
  <c r="N23"/>
  <c r="F23"/>
  <c r="E23"/>
  <c r="D23"/>
  <c r="C23"/>
  <c r="B23"/>
  <c r="AH22"/>
  <c r="AG22"/>
  <c r="AF22"/>
  <c r="AE22"/>
  <c r="AD22"/>
  <c r="AB22"/>
  <c r="AA22"/>
  <c r="Z22"/>
  <c r="Y22"/>
  <c r="X22"/>
  <c r="Q22"/>
  <c r="P22"/>
  <c r="O22"/>
  <c r="N22"/>
  <c r="F22"/>
  <c r="E22"/>
  <c r="D22"/>
  <c r="C22"/>
  <c r="B22"/>
  <c r="AH21"/>
  <c r="AG21"/>
  <c r="AF21"/>
  <c r="AE21"/>
  <c r="AD21"/>
  <c r="AB21"/>
  <c r="AA21"/>
  <c r="Z21"/>
  <c r="Y21"/>
  <c r="X21"/>
  <c r="Q21"/>
  <c r="P21"/>
  <c r="O21"/>
  <c r="N21"/>
  <c r="D21"/>
  <c r="AH20"/>
  <c r="AG20"/>
  <c r="AF20"/>
  <c r="AE20"/>
  <c r="AD20"/>
  <c r="AB20"/>
  <c r="AA20"/>
  <c r="Z20"/>
  <c r="Y20"/>
  <c r="X20"/>
  <c r="V20"/>
  <c r="U20"/>
  <c r="T20"/>
  <c r="S20"/>
  <c r="Q20"/>
  <c r="P20"/>
  <c r="O20"/>
  <c r="N20"/>
  <c r="F20"/>
  <c r="E20"/>
  <c r="D20"/>
  <c r="C20"/>
  <c r="B20"/>
  <c r="AH19"/>
  <c r="AG19"/>
  <c r="AF19"/>
  <c r="AE19"/>
  <c r="AD19"/>
  <c r="AB19"/>
  <c r="AA19"/>
  <c r="Z19"/>
  <c r="Y19"/>
  <c r="X19"/>
  <c r="Q19"/>
  <c r="P19"/>
  <c r="O19"/>
  <c r="N19"/>
  <c r="F19"/>
  <c r="E19"/>
  <c r="D19"/>
  <c r="C19"/>
  <c r="B19"/>
  <c r="AH18"/>
  <c r="AG18"/>
  <c r="AF18"/>
  <c r="AE18"/>
  <c r="AD18"/>
  <c r="AB18"/>
  <c r="AA18"/>
  <c r="Z18"/>
  <c r="Y18"/>
  <c r="X18"/>
  <c r="Q18"/>
  <c r="P18"/>
  <c r="O18"/>
  <c r="N18"/>
  <c r="F18"/>
  <c r="E18"/>
  <c r="D18"/>
  <c r="C18"/>
  <c r="B18"/>
  <c r="AH17"/>
  <c r="AG17"/>
  <c r="AF17"/>
  <c r="AE17"/>
  <c r="AD17"/>
  <c r="AB17"/>
  <c r="AA17"/>
  <c r="Z17"/>
  <c r="Y17"/>
  <c r="X17"/>
  <c r="Q17"/>
  <c r="P17"/>
  <c r="O17"/>
  <c r="N17"/>
  <c r="D17"/>
  <c r="AH16"/>
  <c r="AG16"/>
  <c r="AF16"/>
  <c r="AE16"/>
  <c r="AD16"/>
  <c r="AB16"/>
  <c r="AA16"/>
  <c r="Z16"/>
  <c r="Y16"/>
  <c r="X16"/>
  <c r="V16"/>
  <c r="U16"/>
  <c r="T16"/>
  <c r="S16"/>
  <c r="Q16"/>
  <c r="P16"/>
  <c r="O16"/>
  <c r="N16"/>
  <c r="F16"/>
  <c r="E16"/>
  <c r="D16"/>
  <c r="C16"/>
  <c r="B16"/>
  <c r="AH15"/>
  <c r="AG15"/>
  <c r="AF15"/>
  <c r="AE15"/>
  <c r="AD15"/>
  <c r="AB15"/>
  <c r="AA15"/>
  <c r="Z15"/>
  <c r="Y15"/>
  <c r="X15"/>
  <c r="Q15"/>
  <c r="P15"/>
  <c r="O15"/>
  <c r="N15"/>
  <c r="F15"/>
  <c r="E15"/>
  <c r="D15"/>
  <c r="C15"/>
  <c r="B15"/>
  <c r="AH14"/>
  <c r="AG14"/>
  <c r="AF14"/>
  <c r="AE14"/>
  <c r="AD14"/>
  <c r="AB14"/>
  <c r="AA14"/>
  <c r="Z14"/>
  <c r="Y14"/>
  <c r="X14"/>
  <c r="Q14"/>
  <c r="P14"/>
  <c r="O14"/>
  <c r="N14"/>
  <c r="F14"/>
  <c r="E14"/>
  <c r="D14"/>
  <c r="C14"/>
  <c r="B14"/>
  <c r="AH13"/>
  <c r="AG13"/>
  <c r="AF13"/>
  <c r="AE13"/>
  <c r="AD13"/>
  <c r="AB13"/>
  <c r="AA13"/>
  <c r="Z13"/>
  <c r="Y13"/>
  <c r="X13"/>
  <c r="Q13"/>
  <c r="P13"/>
  <c r="O13"/>
  <c r="N13"/>
  <c r="D13"/>
  <c r="AH12"/>
  <c r="AG12"/>
  <c r="AF12"/>
  <c r="AE12"/>
  <c r="AD12"/>
  <c r="AB12"/>
  <c r="AA12"/>
  <c r="Z12"/>
  <c r="Y12"/>
  <c r="X12"/>
  <c r="V12"/>
  <c r="U12"/>
  <c r="T12"/>
  <c r="S12"/>
  <c r="Q12"/>
  <c r="P12"/>
  <c r="O12"/>
  <c r="N12"/>
  <c r="F12"/>
  <c r="E12"/>
  <c r="D12"/>
  <c r="C12"/>
  <c r="B12"/>
  <c r="AH11"/>
  <c r="AG11"/>
  <c r="AF11"/>
  <c r="AE11"/>
  <c r="AD11"/>
  <c r="AB11"/>
  <c r="AA11"/>
  <c r="Z11"/>
  <c r="Y11"/>
  <c r="X11"/>
  <c r="Q11"/>
  <c r="P11"/>
  <c r="O11"/>
  <c r="N11"/>
  <c r="F11"/>
  <c r="E11"/>
  <c r="D11"/>
  <c r="C11"/>
  <c r="B11"/>
  <c r="AH10"/>
  <c r="AG10"/>
  <c r="AF10"/>
  <c r="AE10"/>
  <c r="AD10"/>
  <c r="AB10"/>
  <c r="AA10"/>
  <c r="Z10"/>
  <c r="Y10"/>
  <c r="X10"/>
  <c r="Q10"/>
  <c r="P10"/>
  <c r="O10"/>
  <c r="N10"/>
  <c r="F10"/>
  <c r="E10"/>
  <c r="D10"/>
  <c r="C10"/>
  <c r="B10"/>
  <c r="AH9"/>
  <c r="AG9"/>
  <c r="AF9"/>
  <c r="AE9"/>
  <c r="AD9"/>
  <c r="AB9"/>
  <c r="AA9"/>
  <c r="Z9"/>
  <c r="Y9"/>
  <c r="X9"/>
  <c r="Q9"/>
  <c r="P9"/>
  <c r="O9"/>
  <c r="N9"/>
  <c r="D9"/>
  <c r="AH8"/>
  <c r="AG8"/>
  <c r="AF8"/>
  <c r="AE8"/>
  <c r="AD8"/>
  <c r="AB8"/>
  <c r="AA8"/>
  <c r="Z8"/>
  <c r="Y8"/>
  <c r="X8"/>
  <c r="V8"/>
  <c r="U8"/>
  <c r="T8"/>
  <c r="S8"/>
  <c r="Q8"/>
  <c r="P8"/>
  <c r="O8"/>
  <c r="N8"/>
  <c r="F8"/>
  <c r="E8"/>
  <c r="D8"/>
  <c r="C8"/>
  <c r="B8"/>
  <c r="AH7"/>
  <c r="AG7"/>
  <c r="AF7"/>
  <c r="AE7"/>
  <c r="AD7"/>
  <c r="AB7"/>
  <c r="AA7"/>
  <c r="Z7"/>
  <c r="Y7"/>
  <c r="X7"/>
  <c r="Q7"/>
  <c r="P7"/>
  <c r="O7"/>
  <c r="N7"/>
  <c r="F7"/>
  <c r="E7"/>
  <c r="D7"/>
  <c r="C7"/>
  <c r="B7"/>
  <c r="AH6"/>
  <c r="AG6"/>
  <c r="AF6"/>
  <c r="AE6"/>
  <c r="AD6"/>
  <c r="AB6"/>
  <c r="AA6"/>
  <c r="Z6"/>
  <c r="Y6"/>
  <c r="X6"/>
  <c r="Q6"/>
  <c r="P6"/>
  <c r="O6"/>
  <c r="N6"/>
  <c r="F6"/>
  <c r="E6"/>
  <c r="D6"/>
  <c r="C6"/>
  <c r="B6"/>
  <c r="AH5"/>
  <c r="AG5"/>
  <c r="AF5"/>
  <c r="AE5"/>
  <c r="AD5"/>
  <c r="AB5"/>
  <c r="AA5"/>
  <c r="Z5"/>
  <c r="Y5"/>
  <c r="X5"/>
  <c r="Q5"/>
  <c r="P5"/>
  <c r="O5"/>
  <c r="N5"/>
  <c r="F5"/>
  <c r="E5"/>
  <c r="D5"/>
  <c r="C5"/>
  <c r="B5"/>
  <c r="AH3"/>
  <c r="AG3"/>
  <c r="AF3"/>
  <c r="AE3"/>
  <c r="AD3"/>
  <c r="AB3"/>
  <c r="AA3"/>
  <c r="Z3"/>
  <c r="Y3"/>
  <c r="X3"/>
  <c r="D6" i="73"/>
  <c r="D4"/>
  <c r="D7"/>
  <c r="D5"/>
  <c r="D3"/>
  <c r="G1"/>
  <c r="F20" i="31"/>
  <c r="B20" l="1"/>
  <c r="L1" i="73"/>
  <c r="L3" i="71"/>
  <c r="K3"/>
  <c r="J3"/>
  <c r="I3"/>
  <c r="F6" i="73"/>
  <c r="F4"/>
  <c r="F3"/>
  <c r="F5"/>
  <c r="F7"/>
  <c r="E12" i="76"/>
  <c r="B13"/>
  <c r="B11"/>
  <c r="B9"/>
  <c r="B7"/>
  <c r="E13"/>
  <c r="E11"/>
  <c r="E9"/>
  <c r="E7"/>
  <c r="B12"/>
  <c r="B10"/>
  <c r="B8"/>
  <c r="E10"/>
  <c r="E8"/>
  <c r="I1" i="73" l="1"/>
  <c r="H113" i="43"/>
  <c r="F113"/>
  <c r="N108"/>
  <c r="M108"/>
  <c r="L108"/>
  <c r="K108"/>
  <c r="J108"/>
  <c r="I108"/>
  <c r="H108"/>
  <c r="G108"/>
  <c r="F108"/>
  <c r="E108"/>
  <c r="D108"/>
  <c r="C108"/>
  <c r="N100"/>
  <c r="M100"/>
  <c r="L100"/>
  <c r="K100"/>
  <c r="J100"/>
  <c r="I100"/>
  <c r="H100"/>
  <c r="G100"/>
  <c r="F100"/>
  <c r="E100"/>
  <c r="D100"/>
  <c r="C100"/>
  <c r="N99"/>
  <c r="M99"/>
  <c r="L99"/>
  <c r="K99"/>
  <c r="J99"/>
  <c r="I99"/>
  <c r="H99"/>
  <c r="G99"/>
  <c r="F99"/>
  <c r="E99"/>
  <c r="D99"/>
  <c r="C99"/>
  <c r="N88"/>
  <c r="M88"/>
  <c r="K88"/>
  <c r="J88"/>
  <c r="D88"/>
  <c r="B88"/>
  <c r="N87"/>
  <c r="M87"/>
  <c r="K87"/>
  <c r="J87"/>
  <c r="H87"/>
  <c r="D87"/>
  <c r="N86"/>
  <c r="M86"/>
  <c r="K86"/>
  <c r="J86"/>
  <c r="D86"/>
  <c r="B86"/>
  <c r="N85"/>
  <c r="M85"/>
  <c r="K85"/>
  <c r="J85"/>
  <c r="D85"/>
  <c r="B85"/>
  <c r="N84"/>
  <c r="M84"/>
  <c r="K84"/>
  <c r="J84"/>
  <c r="H84" s="1"/>
  <c r="D84"/>
  <c r="B84"/>
  <c r="N83"/>
  <c r="M83"/>
  <c r="K83"/>
  <c r="J83"/>
  <c r="D83"/>
  <c r="B83"/>
  <c r="N82"/>
  <c r="M82"/>
  <c r="K82"/>
  <c r="J82"/>
  <c r="D82"/>
  <c r="B82"/>
  <c r="N81"/>
  <c r="M81"/>
  <c r="K81"/>
  <c r="J81"/>
  <c r="H81"/>
  <c r="F81"/>
  <c r="H88" s="1"/>
  <c r="E81"/>
  <c r="D81"/>
  <c r="B81"/>
  <c r="B79"/>
  <c r="N78"/>
  <c r="M78"/>
  <c r="K78"/>
  <c r="J78"/>
  <c r="D78"/>
  <c r="N77"/>
  <c r="M77"/>
  <c r="K77"/>
  <c r="J77"/>
  <c r="D77"/>
  <c r="B77"/>
  <c r="N76"/>
  <c r="M76"/>
  <c r="K76"/>
  <c r="J76"/>
  <c r="H76"/>
  <c r="D76"/>
  <c r="N75"/>
  <c r="M75"/>
  <c r="K75"/>
  <c r="J75"/>
  <c r="D75"/>
  <c r="B75"/>
  <c r="N74"/>
  <c r="M74"/>
  <c r="K74"/>
  <c r="J74"/>
  <c r="H74" s="1"/>
  <c r="D74"/>
  <c r="B74"/>
  <c r="N73"/>
  <c r="M73"/>
  <c r="K73"/>
  <c r="J73"/>
  <c r="D73"/>
  <c r="B73"/>
  <c r="N72"/>
  <c r="M72"/>
  <c r="K72"/>
  <c r="J72"/>
  <c r="D72"/>
  <c r="B72"/>
  <c r="N71"/>
  <c r="M71"/>
  <c r="K71"/>
  <c r="J71"/>
  <c r="D71"/>
  <c r="B71"/>
  <c r="N70"/>
  <c r="M70"/>
  <c r="K70"/>
  <c r="J70"/>
  <c r="H70"/>
  <c r="F70"/>
  <c r="H75" s="1"/>
  <c r="E70"/>
  <c r="D70"/>
  <c r="B70"/>
  <c r="B68"/>
  <c r="N67"/>
  <c r="M67"/>
  <c r="K67"/>
  <c r="J67"/>
  <c r="D67"/>
  <c r="B67"/>
  <c r="N66"/>
  <c r="M66"/>
  <c r="K66"/>
  <c r="J66"/>
  <c r="D66"/>
  <c r="B66"/>
  <c r="N65"/>
  <c r="M65"/>
  <c r="K65"/>
  <c r="J65"/>
  <c r="D65"/>
  <c r="B65"/>
  <c r="N64"/>
  <c r="M64"/>
  <c r="K64"/>
  <c r="J64"/>
  <c r="D64"/>
  <c r="N63"/>
  <c r="M63"/>
  <c r="K63"/>
  <c r="J63"/>
  <c r="D63"/>
  <c r="B63"/>
  <c r="N62"/>
  <c r="M62"/>
  <c r="K62"/>
  <c r="J62"/>
  <c r="D62"/>
  <c r="N61"/>
  <c r="M61"/>
  <c r="K61"/>
  <c r="J61"/>
  <c r="D61"/>
  <c r="B61"/>
  <c r="N60"/>
  <c r="M60"/>
  <c r="K60"/>
  <c r="J60"/>
  <c r="D60"/>
  <c r="B60"/>
  <c r="N59"/>
  <c r="M59"/>
  <c r="K59"/>
  <c r="J59"/>
  <c r="F59"/>
  <c r="H67" s="1"/>
  <c r="E59"/>
  <c r="D59"/>
  <c r="B59"/>
  <c r="B57"/>
  <c r="N56"/>
  <c r="M56"/>
  <c r="K56"/>
  <c r="J56"/>
  <c r="H56"/>
  <c r="D56"/>
  <c r="B56"/>
  <c r="N55"/>
  <c r="M55"/>
  <c r="K55"/>
  <c r="J55"/>
  <c r="H55"/>
  <c r="D55"/>
  <c r="B55"/>
  <c r="N54"/>
  <c r="M54"/>
  <c r="K54"/>
  <c r="J54"/>
  <c r="D54"/>
  <c r="B54"/>
  <c r="N53"/>
  <c r="M53"/>
  <c r="K53"/>
  <c r="J53"/>
  <c r="D53"/>
  <c r="N52"/>
  <c r="M52"/>
  <c r="K52"/>
  <c r="J52"/>
  <c r="H52"/>
  <c r="D52"/>
  <c r="B52"/>
  <c r="N51"/>
  <c r="M51"/>
  <c r="K51"/>
  <c r="J51"/>
  <c r="D51"/>
  <c r="N50"/>
  <c r="M50"/>
  <c r="K50"/>
  <c r="J50"/>
  <c r="H50"/>
  <c r="D50"/>
  <c r="B50"/>
  <c r="N49"/>
  <c r="M49"/>
  <c r="K49"/>
  <c r="J49"/>
  <c r="H49"/>
  <c r="D49"/>
  <c r="B49"/>
  <c r="N48"/>
  <c r="M48"/>
  <c r="K48"/>
  <c r="J48"/>
  <c r="F48"/>
  <c r="H53" s="1"/>
  <c r="E48"/>
  <c r="D48"/>
  <c r="B48"/>
  <c r="B46"/>
  <c r="H39"/>
  <c r="H38"/>
  <c r="H37"/>
  <c r="F37"/>
  <c r="H36"/>
  <c r="F36"/>
  <c r="H35"/>
  <c r="H34"/>
  <c r="H33"/>
  <c r="F33"/>
  <c r="C24"/>
  <c r="J20"/>
  <c r="I20"/>
  <c r="G20"/>
  <c r="E20"/>
  <c r="C20" s="1"/>
  <c r="M19"/>
  <c r="I19"/>
  <c r="C18"/>
  <c r="J17"/>
  <c r="H17"/>
  <c r="G17"/>
  <c r="E17"/>
  <c r="F15"/>
  <c r="E15"/>
  <c r="D15"/>
  <c r="C15"/>
  <c r="AJ12"/>
  <c r="AI12"/>
  <c r="AH12"/>
  <c r="AG12"/>
  <c r="AF12"/>
  <c r="AE12"/>
  <c r="AD12"/>
  <c r="AC12"/>
  <c r="AB12"/>
  <c r="AA12"/>
  <c r="Z12"/>
  <c r="Y12"/>
  <c r="C12"/>
  <c r="AJ10"/>
  <c r="AI10"/>
  <c r="AH10"/>
  <c r="AG10"/>
  <c r="AF10"/>
  <c r="AE10"/>
  <c r="AD10"/>
  <c r="AC10"/>
  <c r="AB10"/>
  <c r="AA10"/>
  <c r="Z10"/>
  <c r="Y10"/>
  <c r="C10"/>
  <c r="AJ9"/>
  <c r="AI9"/>
  <c r="AH9"/>
  <c r="AG9"/>
  <c r="AF9"/>
  <c r="AE9"/>
  <c r="AD9"/>
  <c r="AC9"/>
  <c r="AB9"/>
  <c r="AA9"/>
  <c r="Z9"/>
  <c r="C9"/>
  <c r="M8"/>
  <c r="A7"/>
  <c r="C6"/>
  <c r="N5"/>
  <c r="D5"/>
  <c r="N4"/>
  <c r="M4"/>
  <c r="N2"/>
  <c r="M2"/>
  <c r="I2"/>
  <c r="N12" s="1"/>
  <c r="G2"/>
  <c r="F39" s="1"/>
  <c r="M1"/>
  <c r="D1"/>
  <c r="B120" i="40"/>
  <c r="B118"/>
  <c r="B116"/>
  <c r="M115"/>
  <c r="L115"/>
  <c r="K115"/>
  <c r="J115"/>
  <c r="I115"/>
  <c r="H115"/>
  <c r="G115"/>
  <c r="F115"/>
  <c r="E115"/>
  <c r="D115"/>
  <c r="M113"/>
  <c r="L113"/>
  <c r="K113"/>
  <c r="J113"/>
  <c r="I113"/>
  <c r="H113"/>
  <c r="G113"/>
  <c r="F113"/>
  <c r="E113"/>
  <c r="D113"/>
  <c r="M111"/>
  <c r="L111"/>
  <c r="K111"/>
  <c r="J111"/>
  <c r="I111"/>
  <c r="H111"/>
  <c r="G111"/>
  <c r="F111"/>
  <c r="E111"/>
  <c r="D111"/>
  <c r="M107"/>
  <c r="L107"/>
  <c r="K107"/>
  <c r="J107"/>
  <c r="I107"/>
  <c r="H107"/>
  <c r="G107"/>
  <c r="F107"/>
  <c r="E107"/>
  <c r="D107"/>
  <c r="C107"/>
  <c r="B105"/>
  <c r="B103"/>
  <c r="B101"/>
  <c r="M100"/>
  <c r="L100"/>
  <c r="K100"/>
  <c r="J100"/>
  <c r="I100"/>
  <c r="H100"/>
  <c r="G100"/>
  <c r="F100"/>
  <c r="E100"/>
  <c r="D100"/>
  <c r="M98"/>
  <c r="L98"/>
  <c r="K98"/>
  <c r="J98"/>
  <c r="I98"/>
  <c r="H98"/>
  <c r="G98"/>
  <c r="F98"/>
  <c r="E98"/>
  <c r="D98"/>
  <c r="M96"/>
  <c r="L96"/>
  <c r="K96"/>
  <c r="J96"/>
  <c r="I96"/>
  <c r="H96"/>
  <c r="G96"/>
  <c r="F96"/>
  <c r="E96"/>
  <c r="D96"/>
  <c r="B95"/>
  <c r="G94"/>
  <c r="F94"/>
  <c r="E94"/>
  <c r="D94"/>
  <c r="G92"/>
  <c r="F92"/>
  <c r="E92"/>
  <c r="D92"/>
  <c r="G90"/>
  <c r="F90"/>
  <c r="E90"/>
  <c r="D90"/>
  <c r="G88"/>
  <c r="F88"/>
  <c r="E88"/>
  <c r="D88"/>
  <c r="G86"/>
  <c r="F86"/>
  <c r="E86"/>
  <c r="D86"/>
  <c r="G84"/>
  <c r="F84"/>
  <c r="E84"/>
  <c r="D84"/>
  <c r="B81"/>
  <c r="B79"/>
  <c r="B77"/>
  <c r="M76"/>
  <c r="L76"/>
  <c r="K76"/>
  <c r="J76"/>
  <c r="I76"/>
  <c r="H76"/>
  <c r="G76"/>
  <c r="F76"/>
  <c r="E76"/>
  <c r="D76"/>
  <c r="M74"/>
  <c r="L74"/>
  <c r="K74"/>
  <c r="J74"/>
  <c r="I74"/>
  <c r="H74"/>
  <c r="G74"/>
  <c r="F74"/>
  <c r="E74"/>
  <c r="D74"/>
  <c r="C74"/>
  <c r="H60" i="43" l="1"/>
  <c r="H63"/>
  <c r="H66"/>
  <c r="M3"/>
  <c r="M6"/>
  <c r="M7"/>
  <c r="N8"/>
  <c r="M9"/>
  <c r="M10"/>
  <c r="M11"/>
  <c r="M12"/>
  <c r="C17"/>
  <c r="I17"/>
  <c r="F34"/>
  <c r="F38"/>
  <c r="H51"/>
  <c r="H54"/>
  <c r="H59"/>
  <c r="H62"/>
  <c r="H65"/>
  <c r="H73"/>
  <c r="H78"/>
  <c r="H83"/>
  <c r="H86"/>
  <c r="H61"/>
  <c r="H71"/>
  <c r="H77"/>
  <c r="N3"/>
  <c r="M5"/>
  <c r="N6"/>
  <c r="N7"/>
  <c r="N9"/>
  <c r="N10"/>
  <c r="N11"/>
  <c r="F35"/>
  <c r="H48"/>
  <c r="H64"/>
  <c r="H72"/>
  <c r="H82"/>
  <c r="H85"/>
  <c r="M17"/>
  <c r="N17"/>
  <c r="P17"/>
  <c r="O17" s="1"/>
  <c r="C16" l="1"/>
  <c r="H60" i="40"/>
  <c r="H59"/>
  <c r="H58"/>
  <c r="I57"/>
  <c r="H57"/>
  <c r="H56"/>
  <c r="H55"/>
  <c r="H54"/>
  <c r="H53"/>
  <c r="H52"/>
  <c r="J50"/>
  <c r="J48"/>
  <c r="I48"/>
  <c r="H48"/>
  <c r="G48"/>
  <c r="F48"/>
  <c r="E48"/>
  <c r="P43"/>
  <c r="P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Z30"/>
  <c r="Q30"/>
  <c r="H30"/>
  <c r="U30" s="1"/>
  <c r="C30"/>
  <c r="J30" s="1"/>
  <c r="W30" s="1"/>
  <c r="AC28"/>
  <c r="AB28"/>
  <c r="AA28"/>
  <c r="Z28"/>
  <c r="W28"/>
  <c r="U28"/>
  <c r="S28"/>
  <c r="Q28"/>
  <c r="J28"/>
  <c r="H28"/>
  <c r="F28"/>
  <c r="C28"/>
  <c r="AC27"/>
  <c r="AB27"/>
  <c r="AA27"/>
  <c r="Z27"/>
  <c r="W27"/>
  <c r="U27"/>
  <c r="S27"/>
  <c r="Q27"/>
  <c r="J27"/>
  <c r="H27"/>
  <c r="F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Z10"/>
  <c r="Q10"/>
  <c r="AC9"/>
  <c r="AB9"/>
  <c r="AA9"/>
  <c r="Z9"/>
  <c r="W9"/>
  <c r="U9"/>
  <c r="S9"/>
  <c r="Q9"/>
  <c r="J9"/>
  <c r="H9"/>
  <c r="F9"/>
  <c r="AC8"/>
  <c r="AB8"/>
  <c r="AA8"/>
  <c r="W8"/>
  <c r="U8"/>
  <c r="S8"/>
  <c r="J8"/>
  <c r="H8"/>
  <c r="F8"/>
  <c r="S30" l="1"/>
  <c r="F30"/>
  <c r="AA30" s="1"/>
  <c r="AC30"/>
  <c r="AB30" s="1"/>
  <c r="C5" i="43"/>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I54"/>
  <c r="H54"/>
  <c r="G54"/>
  <c r="F54"/>
  <c r="C51"/>
  <c r="J42"/>
  <c r="I42"/>
  <c r="H42"/>
  <c r="G42"/>
  <c r="F42"/>
  <c r="E42"/>
  <c r="P37"/>
  <c r="P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I56"/>
  <c r="H56"/>
  <c r="G56"/>
  <c r="F56"/>
  <c r="C53"/>
  <c r="J44"/>
  <c r="I44"/>
  <c r="H44"/>
  <c r="G44"/>
  <c r="F44"/>
  <c r="E44"/>
  <c r="P39"/>
  <c r="P38"/>
  <c r="B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I60"/>
  <c r="H60"/>
  <c r="G60"/>
  <c r="F60"/>
  <c r="C57"/>
  <c r="J48"/>
  <c r="I48"/>
  <c r="H48"/>
  <c r="G48"/>
  <c r="F48"/>
  <c r="E48"/>
  <c r="P43"/>
  <c r="P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C63"/>
  <c r="J54"/>
  <c r="I54"/>
  <c r="H54"/>
  <c r="G54"/>
  <c r="F54"/>
  <c r="E54"/>
  <c r="P49"/>
  <c r="P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I66"/>
  <c r="H66"/>
  <c r="G66"/>
  <c r="F66"/>
  <c r="E66"/>
  <c r="D66"/>
  <c r="C63"/>
  <c r="J54"/>
  <c r="I54"/>
  <c r="H54"/>
  <c r="G54"/>
  <c r="F54"/>
  <c r="E54"/>
  <c r="P49"/>
  <c r="P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C32" i="66"/>
  <c r="C31"/>
  <c r="C30"/>
  <c r="C27"/>
  <c r="E26"/>
  <c r="I23"/>
  <c r="I21"/>
  <c r="I20"/>
  <c r="D20"/>
  <c r="I19"/>
  <c r="I18"/>
  <c r="I17"/>
  <c r="I15"/>
  <c r="E15"/>
  <c r="I14"/>
  <c r="I13"/>
  <c r="I12"/>
  <c r="I10"/>
  <c r="E10"/>
  <c r="I9"/>
  <c r="I8"/>
  <c r="I7"/>
  <c r="I6"/>
  <c r="I5"/>
  <c r="I4"/>
  <c r="I3"/>
  <c r="D1"/>
  <c r="A13" i="70"/>
  <c r="E12"/>
  <c r="A12"/>
  <c r="E11" s="1"/>
  <c r="A11"/>
  <c r="E10"/>
  <c r="A10"/>
  <c r="E9" s="1"/>
  <c r="A9"/>
  <c r="A8"/>
  <c r="E7" s="1"/>
  <c r="A7"/>
  <c r="A6"/>
  <c r="P74" i="67"/>
  <c r="Q72"/>
  <c r="D2" i="36"/>
  <c r="D2" i="35"/>
  <c r="D2" i="21"/>
  <c r="D2" i="33"/>
  <c r="D2" i="37"/>
  <c r="E8" i="70" l="1"/>
  <c r="E13"/>
  <c r="P61" i="67"/>
  <c r="Q59"/>
  <c r="K59"/>
  <c r="F59"/>
  <c r="Q58"/>
  <c r="J53" l="1"/>
  <c r="Q51"/>
  <c r="J51"/>
  <c r="J50"/>
  <c r="M47"/>
  <c r="D46"/>
  <c r="F34"/>
  <c r="F33"/>
  <c r="F61" s="1"/>
  <c r="F32"/>
  <c r="F31"/>
  <c r="F28"/>
  <c r="F23"/>
  <c r="D22" s="1"/>
  <c r="F21"/>
  <c r="M20"/>
  <c r="F20"/>
  <c r="M19"/>
  <c r="M18"/>
  <c r="F18"/>
  <c r="M17"/>
  <c r="F17"/>
  <c r="F15"/>
  <c r="F1"/>
  <c r="G41" i="69"/>
  <c r="F38"/>
  <c r="E37"/>
  <c r="F36"/>
  <c r="F35"/>
  <c r="F30"/>
  <c r="D23" i="67" l="1"/>
  <c r="G22" i="69"/>
  <c r="F21"/>
  <c r="F20"/>
  <c r="E19"/>
  <c r="C21" l="1"/>
  <c r="C40"/>
  <c r="E10" l="1"/>
  <c r="E9"/>
  <c r="F7"/>
  <c r="C7" s="1"/>
  <c r="H1"/>
  <c r="E2"/>
  <c r="Q72" i="15" l="1"/>
  <c r="P61"/>
  <c r="Q59"/>
  <c r="K59"/>
  <c r="F59"/>
  <c r="Q58" l="1"/>
  <c r="Q51" l="1"/>
  <c r="J50"/>
  <c r="M47"/>
  <c r="D46"/>
  <c r="F34"/>
  <c r="F33"/>
  <c r="F61" s="1"/>
  <c r="F32"/>
  <c r="F31"/>
  <c r="F28"/>
  <c r="F23"/>
  <c r="D22" s="1"/>
  <c r="F21"/>
  <c r="M20" s="1"/>
  <c r="F20"/>
  <c r="M19"/>
  <c r="M18"/>
  <c r="F18"/>
  <c r="M17"/>
  <c r="F17"/>
  <c r="F15"/>
  <c r="B131" i="34"/>
  <c r="B129"/>
  <c r="B127"/>
  <c r="G126" s="1"/>
  <c r="F126" s="1"/>
  <c r="E126" s="1"/>
  <c r="D126"/>
  <c r="M124" s="1"/>
  <c r="L124" s="1"/>
  <c r="K124" s="1"/>
  <c r="J124" s="1"/>
  <c r="I124" s="1"/>
  <c r="H124" s="1"/>
  <c r="G124" s="1"/>
  <c r="F124" s="1"/>
  <c r="E124" s="1"/>
  <c r="D124"/>
  <c r="M120"/>
  <c r="L120"/>
  <c r="K120"/>
  <c r="J120"/>
  <c r="I120"/>
  <c r="H120"/>
  <c r="G120"/>
  <c r="F120"/>
  <c r="E120"/>
  <c r="D120"/>
  <c r="G118" s="1"/>
  <c r="F118"/>
  <c r="E118" s="1"/>
  <c r="D118"/>
  <c r="M116" s="1"/>
  <c r="L116" s="1"/>
  <c r="K116" s="1"/>
  <c r="J116" s="1"/>
  <c r="I116" s="1"/>
  <c r="H116" s="1"/>
  <c r="G116" s="1"/>
  <c r="F116" s="1"/>
  <c r="E116" s="1"/>
  <c r="D116"/>
  <c r="M114"/>
  <c r="L114"/>
  <c r="K114"/>
  <c r="J114"/>
  <c r="I114"/>
  <c r="H114"/>
  <c r="G114"/>
  <c r="F114"/>
  <c r="E114"/>
  <c r="D114"/>
  <c r="M112" s="1"/>
  <c r="L112" s="1"/>
  <c r="K112" s="1"/>
  <c r="J112" s="1"/>
  <c r="I112" s="1"/>
  <c r="H112" s="1"/>
  <c r="G112"/>
  <c r="F112" s="1"/>
  <c r="E112" s="1"/>
  <c r="D112"/>
  <c r="G110"/>
  <c r="F110"/>
  <c r="E110"/>
  <c r="D110"/>
  <c r="C110"/>
  <c r="M109"/>
  <c r="L109"/>
  <c r="K109"/>
  <c r="J109"/>
  <c r="I109"/>
  <c r="H109"/>
  <c r="G109"/>
  <c r="F109"/>
  <c r="E109"/>
  <c r="D109"/>
  <c r="M107" s="1"/>
  <c r="L107" s="1"/>
  <c r="K107" s="1"/>
  <c r="J107" s="1"/>
  <c r="I107" s="1"/>
  <c r="H107" s="1"/>
  <c r="G107" s="1"/>
  <c r="F107" s="1"/>
  <c r="E107" s="1"/>
  <c r="D107"/>
  <c r="M103"/>
  <c r="L103"/>
  <c r="K103"/>
  <c r="J103"/>
  <c r="I103"/>
  <c r="H103"/>
  <c r="G103"/>
  <c r="F103"/>
  <c r="E103"/>
  <c r="D103"/>
  <c r="C103"/>
  <c r="M102" s="1"/>
  <c r="L102" s="1"/>
  <c r="K102" s="1"/>
  <c r="J102" s="1"/>
  <c r="I102" s="1"/>
  <c r="H102" s="1"/>
  <c r="G102" s="1"/>
  <c r="F102" s="1"/>
  <c r="E102" s="1"/>
  <c r="D102"/>
  <c r="B99"/>
  <c r="B97"/>
  <c r="B95"/>
  <c r="B93"/>
  <c r="M92"/>
  <c r="L92"/>
  <c r="K92"/>
  <c r="J92"/>
  <c r="I92"/>
  <c r="H92"/>
  <c r="G92"/>
  <c r="F92"/>
  <c r="E92"/>
  <c r="D92"/>
  <c r="B91"/>
  <c r="M90"/>
  <c r="L90"/>
  <c r="K90"/>
  <c r="J90"/>
  <c r="I90"/>
  <c r="H90"/>
  <c r="G90"/>
  <c r="F90"/>
  <c r="E90"/>
  <c r="D90"/>
  <c r="B89"/>
  <c r="M88" s="1"/>
  <c r="L88" s="1"/>
  <c r="K88" s="1"/>
  <c r="J88" s="1"/>
  <c r="I88" s="1"/>
  <c r="H88" s="1"/>
  <c r="G88" s="1"/>
  <c r="F88"/>
  <c r="E88" s="1"/>
  <c r="D88"/>
  <c r="G86" s="1"/>
  <c r="F86"/>
  <c r="E86" s="1"/>
  <c r="D86"/>
  <c r="G84" s="1"/>
  <c r="F84" s="1"/>
  <c r="E84" s="1"/>
  <c r="D84"/>
  <c r="G82" s="1"/>
  <c r="F82" s="1"/>
  <c r="E82" s="1"/>
  <c r="D82"/>
  <c r="G80" s="1"/>
  <c r="F80" s="1"/>
  <c r="E80" s="1"/>
  <c r="D80"/>
  <c r="G78" s="1"/>
  <c r="F78" s="1"/>
  <c r="E78" s="1"/>
  <c r="D78"/>
  <c r="B75"/>
  <c r="B73"/>
  <c r="B71"/>
  <c r="M70" s="1"/>
  <c r="L70" s="1"/>
  <c r="K70" s="1"/>
  <c r="J70" s="1"/>
  <c r="I70" s="1"/>
  <c r="H70" s="1"/>
  <c r="G70" s="1"/>
  <c r="F70" s="1"/>
  <c r="E70" s="1"/>
  <c r="D70"/>
  <c r="M68"/>
  <c r="L68"/>
  <c r="K68"/>
  <c r="J68"/>
  <c r="I68"/>
  <c r="H68"/>
  <c r="G68"/>
  <c r="F68"/>
  <c r="E68"/>
  <c r="D68"/>
  <c r="C68"/>
  <c r="I67"/>
  <c r="H67" s="1"/>
  <c r="G67" s="1"/>
  <c r="F67"/>
  <c r="C64"/>
  <c r="I55"/>
  <c r="H55" s="1"/>
  <c r="G55"/>
  <c r="F55" s="1"/>
  <c r="E55"/>
  <c r="P50"/>
  <c r="P49"/>
  <c r="V48"/>
  <c r="T48"/>
  <c r="R48"/>
  <c r="P48"/>
  <c r="AC47"/>
  <c r="AB47"/>
  <c r="AA47"/>
  <c r="Z47"/>
  <c r="W47"/>
  <c r="U47"/>
  <c r="S47"/>
  <c r="Q47"/>
  <c r="J47"/>
  <c r="H47"/>
  <c r="F47"/>
  <c r="AC46"/>
  <c r="AB46"/>
  <c r="AA46"/>
  <c r="Z46"/>
  <c r="W46"/>
  <c r="U46"/>
  <c r="S46"/>
  <c r="Q46"/>
  <c r="J46"/>
  <c r="H46"/>
  <c r="F46"/>
  <c r="AC45"/>
  <c r="D23" i="15" l="1"/>
  <c r="AB45" i="34"/>
  <c r="AA45"/>
  <c r="Z45" s="1"/>
  <c r="W45" s="1"/>
  <c r="U45"/>
  <c r="S45" l="1"/>
  <c r="Q45"/>
  <c r="J45"/>
  <c r="H45" s="1"/>
  <c r="F45"/>
  <c r="AC44"/>
  <c r="AB44" s="1"/>
  <c r="AA44" s="1"/>
  <c r="Z44"/>
  <c r="W44"/>
  <c r="U44"/>
  <c r="S44"/>
  <c r="Q44"/>
  <c r="J44"/>
  <c r="H44"/>
  <c r="F44"/>
  <c r="AC43" s="1"/>
  <c r="AB43" s="1"/>
  <c r="AA43" s="1"/>
  <c r="Z43"/>
  <c r="W43"/>
  <c r="U43"/>
  <c r="S43"/>
  <c r="Q43"/>
  <c r="J43"/>
  <c r="H43"/>
  <c r="F43"/>
  <c r="AC42"/>
  <c r="AB42"/>
  <c r="AA42"/>
  <c r="Z42"/>
  <c r="W42"/>
  <c r="U42"/>
  <c r="S42"/>
  <c r="Q42"/>
  <c r="AC41"/>
  <c r="AB41"/>
  <c r="AA41"/>
  <c r="Z41"/>
  <c r="W41"/>
  <c r="U41"/>
  <c r="S41"/>
  <c r="Q41"/>
  <c r="J41"/>
  <c r="H41"/>
  <c r="F41"/>
  <c r="AC40"/>
  <c r="AB40"/>
  <c r="AA40"/>
  <c r="Z40"/>
  <c r="W40"/>
  <c r="U40"/>
  <c r="S40" s="1"/>
  <c r="Q40"/>
  <c r="J40"/>
  <c r="H40"/>
  <c r="F40"/>
  <c r="AC39"/>
  <c r="AB39" s="1"/>
  <c r="AA39"/>
  <c r="Z39"/>
  <c r="W39" s="1"/>
  <c r="U39"/>
  <c r="S39" s="1"/>
  <c r="Q39"/>
  <c r="J39"/>
  <c r="H39"/>
  <c r="F39"/>
  <c r="AC38"/>
  <c r="AB38" s="1"/>
  <c r="AA38"/>
  <c r="Z38"/>
  <c r="W38" s="1"/>
  <c r="U38"/>
  <c r="S38"/>
  <c r="Q38"/>
  <c r="J38"/>
  <c r="H38"/>
  <c r="F38"/>
  <c r="AC37"/>
  <c r="AB37"/>
  <c r="AA37"/>
  <c r="Z37"/>
  <c r="W37"/>
  <c r="U37"/>
  <c r="S37"/>
  <c r="Q37"/>
  <c r="J37"/>
  <c r="H37"/>
  <c r="F37"/>
  <c r="AC36"/>
  <c r="AB36"/>
  <c r="AA36"/>
  <c r="Z36"/>
  <c r="W36" s="1"/>
  <c r="U36"/>
  <c r="S36"/>
  <c r="Q36"/>
  <c r="J36"/>
  <c r="H36"/>
  <c r="F36"/>
  <c r="AC35"/>
  <c r="AB35"/>
  <c r="AA35" s="1"/>
  <c r="Z35"/>
  <c r="W35"/>
  <c r="U35" s="1"/>
  <c r="S35"/>
  <c r="Q35"/>
  <c r="J35"/>
  <c r="H35"/>
  <c r="F35"/>
  <c r="AC34" s="1"/>
  <c r="AB34" s="1"/>
  <c r="AA34" s="1"/>
  <c r="Z34"/>
  <c r="W34"/>
  <c r="U34"/>
  <c r="S34"/>
  <c r="Q34"/>
  <c r="J34"/>
  <c r="H34"/>
  <c r="F34"/>
  <c r="AC33" s="1"/>
  <c r="AB33"/>
  <c r="AA33"/>
  <c r="Z33"/>
  <c r="W33"/>
  <c r="U33" s="1"/>
  <c r="S33" s="1"/>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s="1"/>
  <c r="AB25" s="1"/>
  <c r="AA25"/>
  <c r="Z25"/>
  <c r="W25"/>
  <c r="U25"/>
  <c r="S25" s="1"/>
  <c r="Q25"/>
  <c r="J25"/>
  <c r="H25"/>
  <c r="F25"/>
  <c r="AC23"/>
  <c r="AB23"/>
  <c r="AA23"/>
  <c r="Z23"/>
  <c r="W23"/>
  <c r="U23" s="1"/>
  <c r="S23"/>
  <c r="Q23"/>
  <c r="J23"/>
  <c r="H23"/>
  <c r="F23"/>
  <c r="C23"/>
  <c r="AC21"/>
  <c r="AB21" s="1"/>
  <c r="AA21" s="1"/>
  <c r="Z21"/>
  <c r="W21" s="1"/>
  <c r="U21"/>
  <c r="S21"/>
  <c r="Q21"/>
  <c r="J21"/>
  <c r="H21"/>
  <c r="F21"/>
  <c r="C21"/>
  <c r="AC19" s="1"/>
  <c r="AB19" s="1"/>
  <c r="AA19"/>
  <c r="Z19"/>
  <c r="W19"/>
  <c r="U19"/>
  <c r="S19" s="1"/>
  <c r="Q19"/>
  <c r="J19"/>
  <c r="H19"/>
  <c r="F19"/>
  <c r="C19"/>
  <c r="AC17"/>
  <c r="AB17"/>
  <c r="AA17" s="1"/>
  <c r="Z17"/>
  <c r="W17" s="1"/>
  <c r="U17" s="1"/>
  <c r="S17"/>
  <c r="Q17"/>
  <c r="J17"/>
  <c r="H17"/>
  <c r="F17"/>
  <c r="C17"/>
  <c r="AC15" s="1"/>
  <c r="AB15" s="1"/>
  <c r="AA15"/>
  <c r="Z15"/>
  <c r="W15"/>
  <c r="U15"/>
  <c r="S15" s="1"/>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s="1"/>
  <c r="AA11"/>
  <c r="Z11"/>
  <c r="W11" s="1"/>
  <c r="U11"/>
  <c r="S11" s="1"/>
  <c r="Q11"/>
  <c r="J11"/>
  <c r="H11"/>
  <c r="F11"/>
  <c r="AC10"/>
  <c r="AB10"/>
  <c r="AA10" s="1"/>
  <c r="Z10"/>
  <c r="W10"/>
  <c r="U10"/>
  <c r="S10"/>
  <c r="Q10"/>
  <c r="J10"/>
  <c r="H10"/>
  <c r="F10"/>
  <c r="AC9"/>
  <c r="AB9"/>
  <c r="AA9"/>
  <c r="Z9"/>
  <c r="W9"/>
  <c r="U9"/>
  <c r="S9"/>
  <c r="Q9"/>
  <c r="J9"/>
  <c r="H9"/>
  <c r="F9"/>
  <c r="AC8"/>
  <c r="AB8"/>
  <c r="AA8"/>
  <c r="W8"/>
  <c r="U8"/>
  <c r="S8"/>
  <c r="D3" l="1"/>
  <c r="F31" i="12"/>
  <c r="D2" i="34"/>
  <c r="C42" l="1"/>
  <c r="F60" i="15"/>
  <c r="G27" i="12"/>
  <c r="G26"/>
  <c r="G25"/>
  <c r="F24"/>
  <c r="F23"/>
  <c r="F22" l="1"/>
  <c r="E20"/>
  <c r="E19"/>
  <c r="E17"/>
  <c r="F15"/>
  <c r="E14"/>
  <c r="F13"/>
  <c r="F12"/>
  <c r="F11"/>
  <c r="K7"/>
  <c r="J7"/>
  <c r="I7"/>
  <c r="H7"/>
  <c r="G7"/>
  <c r="F7"/>
  <c r="E7"/>
  <c r="D7"/>
  <c r="C7"/>
  <c r="G41" i="68"/>
  <c r="F38"/>
  <c r="E37"/>
  <c r="F36"/>
  <c r="F35"/>
  <c r="F34"/>
  <c r="F30" l="1"/>
  <c r="G22" l="1"/>
  <c r="F21"/>
  <c r="F20"/>
  <c r="E19"/>
  <c r="C19"/>
  <c r="E10"/>
  <c r="E9"/>
  <c r="F7"/>
  <c r="B131" i="39"/>
  <c r="B129"/>
  <c r="B127"/>
  <c r="M126"/>
  <c r="L126"/>
  <c r="K126"/>
  <c r="J126"/>
  <c r="I126"/>
  <c r="H126"/>
  <c r="G126"/>
  <c r="F126"/>
  <c r="E126"/>
  <c r="D126"/>
  <c r="M124" s="1"/>
  <c r="L124" s="1"/>
  <c r="K124" s="1"/>
  <c r="J124" s="1"/>
  <c r="I124" s="1"/>
  <c r="H124"/>
  <c r="G124" s="1"/>
  <c r="F124" s="1"/>
  <c r="E124" s="1"/>
  <c r="D124"/>
  <c r="M122"/>
  <c r="L122"/>
  <c r="K122"/>
  <c r="J122"/>
  <c r="I122"/>
  <c r="H122"/>
  <c r="G122"/>
  <c r="F122"/>
  <c r="E122"/>
  <c r="D122"/>
  <c r="M120"/>
  <c r="L120"/>
  <c r="K120"/>
  <c r="J120"/>
  <c r="I120"/>
  <c r="H120"/>
  <c r="G120"/>
  <c r="F120"/>
  <c r="E120"/>
  <c r="D120"/>
  <c r="M116"/>
  <c r="L116"/>
  <c r="K116"/>
  <c r="J116"/>
  <c r="I116"/>
  <c r="H116"/>
  <c r="G116"/>
  <c r="F116"/>
  <c r="E116"/>
  <c r="D116"/>
  <c r="C116"/>
  <c r="B114"/>
  <c r="B112"/>
  <c r="B110"/>
  <c r="M109"/>
  <c r="L109"/>
  <c r="K109"/>
  <c r="J109"/>
  <c r="I109"/>
  <c r="H109"/>
  <c r="G109"/>
  <c r="F109"/>
  <c r="E109"/>
  <c r="D109"/>
  <c r="M107"/>
  <c r="L107"/>
  <c r="K107"/>
  <c r="J107"/>
  <c r="I107"/>
  <c r="H107"/>
  <c r="G107"/>
  <c r="F107"/>
  <c r="E107"/>
  <c r="D107"/>
  <c r="M105"/>
  <c r="L105"/>
  <c r="K105"/>
  <c r="J105"/>
  <c r="I105"/>
  <c r="H105"/>
  <c r="G105"/>
  <c r="F105"/>
  <c r="E105"/>
  <c r="D105"/>
  <c r="B104"/>
  <c r="G103" s="1"/>
  <c r="F103" s="1"/>
  <c r="E103" s="1"/>
  <c r="D103"/>
  <c r="G101"/>
  <c r="F101"/>
  <c r="E101"/>
  <c r="D101"/>
  <c r="G99"/>
  <c r="F99"/>
  <c r="E99" s="1"/>
  <c r="D99"/>
  <c r="G97"/>
  <c r="F97"/>
  <c r="E97"/>
  <c r="D97"/>
  <c r="G95"/>
  <c r="F95" s="1"/>
  <c r="E95" s="1"/>
  <c r="D95"/>
  <c r="G93"/>
  <c r="F93"/>
  <c r="E93"/>
  <c r="D93"/>
  <c r="G91" s="1"/>
  <c r="F91"/>
  <c r="E91" s="1"/>
  <c r="D91"/>
  <c r="G89"/>
  <c r="F89"/>
  <c r="E89"/>
  <c r="D89"/>
  <c r="B86"/>
  <c r="B84"/>
  <c r="B82"/>
  <c r="M81" s="1"/>
  <c r="L81" s="1"/>
  <c r="K81" s="1"/>
  <c r="J81" s="1"/>
  <c r="I81" s="1"/>
  <c r="H81" s="1"/>
  <c r="G81" s="1"/>
  <c r="F81"/>
  <c r="E81" s="1"/>
  <c r="D81"/>
  <c r="M79"/>
  <c r="L79"/>
  <c r="K79"/>
  <c r="J79"/>
  <c r="I79"/>
  <c r="H79"/>
  <c r="G79"/>
  <c r="F79"/>
  <c r="E79"/>
  <c r="D79"/>
  <c r="C79"/>
  <c r="J71" s="1"/>
  <c r="I71" s="1"/>
  <c r="H71" s="1"/>
  <c r="G71" s="1"/>
  <c r="F71" s="1"/>
  <c r="E2" i="68"/>
  <c r="C21" l="1"/>
  <c r="C40"/>
  <c r="E71" i="39"/>
  <c r="D71"/>
  <c r="H65" l="1"/>
  <c r="I64"/>
  <c r="H64"/>
  <c r="H63"/>
  <c r="H62"/>
  <c r="H61"/>
  <c r="H60"/>
  <c r="H59"/>
  <c r="H58"/>
  <c r="H57"/>
  <c r="J55"/>
  <c r="P48"/>
  <c r="P47"/>
  <c r="P46"/>
  <c r="I46" l="1"/>
  <c r="G46"/>
  <c r="E46"/>
  <c r="AC45"/>
  <c r="AB45"/>
  <c r="AA45"/>
  <c r="Z45"/>
  <c r="W45"/>
  <c r="U45"/>
  <c r="S45"/>
  <c r="Q45"/>
  <c r="J45"/>
  <c r="H45"/>
  <c r="F45"/>
  <c r="AC44"/>
  <c r="AB44"/>
  <c r="AA44"/>
  <c r="Z44"/>
  <c r="W44"/>
  <c r="U44"/>
  <c r="S44"/>
  <c r="Q44"/>
  <c r="J44"/>
  <c r="H44"/>
  <c r="F44"/>
  <c r="AC43"/>
  <c r="AB43"/>
  <c r="AA43"/>
  <c r="Z43"/>
  <c r="W43"/>
  <c r="U43"/>
  <c r="S43"/>
  <c r="Q43"/>
  <c r="J43"/>
  <c r="H43"/>
  <c r="F43"/>
  <c r="AC42" s="1"/>
  <c r="AB42" s="1"/>
  <c r="AA42" s="1"/>
  <c r="Z42"/>
  <c r="W42"/>
  <c r="U42"/>
  <c r="S42"/>
  <c r="Q42"/>
  <c r="J42"/>
  <c r="H42"/>
  <c r="F42"/>
  <c r="AC41"/>
  <c r="AB41"/>
  <c r="AA41"/>
  <c r="Z41"/>
  <c r="W41" s="1"/>
  <c r="U41"/>
  <c r="S41"/>
  <c r="Q41"/>
  <c r="J41"/>
  <c r="H41"/>
  <c r="F41"/>
  <c r="AC40"/>
  <c r="AB40"/>
  <c r="AA40"/>
  <c r="Z40"/>
  <c r="W40"/>
  <c r="U40"/>
  <c r="S40"/>
  <c r="Q40"/>
  <c r="J40"/>
  <c r="H40"/>
  <c r="F40"/>
  <c r="AC39"/>
  <c r="AB39"/>
  <c r="AA39"/>
  <c r="Z39"/>
  <c r="W39"/>
  <c r="U39"/>
  <c r="S39"/>
  <c r="Q39"/>
  <c r="J39"/>
  <c r="H39"/>
  <c r="F39"/>
  <c r="AC38"/>
  <c r="Z38"/>
  <c r="Q38"/>
  <c r="J38"/>
  <c r="I38"/>
  <c r="G38"/>
  <c r="H38" s="1"/>
  <c r="U38" s="1"/>
  <c r="F38"/>
  <c r="S38" s="1"/>
  <c r="E38"/>
  <c r="C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2"/>
  <c r="AB32"/>
  <c r="AA32"/>
  <c r="Z32"/>
  <c r="W32"/>
  <c r="U32"/>
  <c r="S32"/>
  <c r="Q32"/>
  <c r="J32"/>
  <c r="H32"/>
  <c r="F32"/>
  <c r="AC31"/>
  <c r="AB31"/>
  <c r="AA31"/>
  <c r="Z31"/>
  <c r="W31"/>
  <c r="U31"/>
  <c r="S31"/>
  <c r="Q31"/>
  <c r="J31"/>
  <c r="H31"/>
  <c r="F31"/>
  <c r="AC29" s="1"/>
  <c r="AB29" s="1"/>
  <c r="AA29" s="1"/>
  <c r="Z29"/>
  <c r="W29"/>
  <c r="U29"/>
  <c r="S29"/>
  <c r="Q29"/>
  <c r="J29"/>
  <c r="H29"/>
  <c r="F29"/>
  <c r="C29"/>
  <c r="AC27" s="1"/>
  <c r="AB27"/>
  <c r="AA27"/>
  <c r="Z27"/>
  <c r="W27"/>
  <c r="U27" s="1"/>
  <c r="S27"/>
  <c r="Q27"/>
  <c r="J27"/>
  <c r="H27"/>
  <c r="F27"/>
  <c r="C27"/>
  <c r="AC25"/>
  <c r="AB25" s="1"/>
  <c r="AA25"/>
  <c r="Z25"/>
  <c r="W25"/>
  <c r="U25"/>
  <c r="S25"/>
  <c r="Q25"/>
  <c r="J25"/>
  <c r="H25"/>
  <c r="F25"/>
  <c r="C25"/>
  <c r="AC23"/>
  <c r="AB23"/>
  <c r="AA23"/>
  <c r="Z23"/>
  <c r="W23"/>
  <c r="U23"/>
  <c r="S23"/>
  <c r="Q23"/>
  <c r="J23"/>
  <c r="H23"/>
  <c r="F23"/>
  <c r="C23"/>
  <c r="AC21"/>
  <c r="AB21" s="1"/>
  <c r="AA21" s="1"/>
  <c r="Z21"/>
  <c r="W21"/>
  <c r="U21"/>
  <c r="S21"/>
  <c r="Q21"/>
  <c r="J21"/>
  <c r="H21"/>
  <c r="F21"/>
  <c r="C21"/>
  <c r="AC19"/>
  <c r="AB19"/>
  <c r="AA19"/>
  <c r="Z19"/>
  <c r="W19"/>
  <c r="U19"/>
  <c r="S19"/>
  <c r="Q19"/>
  <c r="J19"/>
  <c r="H19"/>
  <c r="F19"/>
  <c r="C19"/>
  <c r="AC17"/>
  <c r="AB17"/>
  <c r="AA17"/>
  <c r="Z17"/>
  <c r="W17"/>
  <c r="U17"/>
  <c r="S17"/>
  <c r="Q17"/>
  <c r="J17" s="1"/>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Z11"/>
  <c r="Q11"/>
  <c r="Z10"/>
  <c r="Q10"/>
  <c r="Z9"/>
  <c r="W9"/>
  <c r="U9"/>
  <c r="S9"/>
  <c r="Q9"/>
  <c r="J9"/>
  <c r="H9"/>
  <c r="F9"/>
  <c r="AC8" s="1"/>
  <c r="AB8"/>
  <c r="AA8" s="1"/>
  <c r="W8"/>
  <c r="U8"/>
  <c r="S8"/>
  <c r="J8"/>
  <c r="H8"/>
  <c r="F8"/>
  <c r="I7"/>
  <c r="G7"/>
  <c r="E7"/>
  <c r="I5"/>
  <c r="G5"/>
  <c r="E5"/>
  <c r="I53" l="1"/>
  <c r="V46"/>
  <c r="AB38"/>
  <c r="AA38" s="1"/>
  <c r="T46"/>
  <c r="G53"/>
  <c r="F53" s="1"/>
  <c r="R46"/>
  <c r="E53"/>
  <c r="W38"/>
  <c r="D121" i="9"/>
  <c r="D120"/>
  <c r="A120"/>
  <c r="H53" i="39" l="1"/>
  <c r="J53"/>
  <c r="K120" i="9"/>
  <c r="H111"/>
  <c r="E111"/>
  <c r="A126" s="1"/>
  <c r="E109"/>
  <c r="A124" s="1"/>
  <c r="E107"/>
  <c r="A122" s="1"/>
  <c r="H106"/>
  <c r="H105"/>
  <c r="H104"/>
  <c r="H103"/>
  <c r="H112" l="1"/>
  <c r="D101"/>
  <c r="C101"/>
  <c r="D93" l="1"/>
  <c r="C91"/>
  <c r="E90"/>
  <c r="D89"/>
  <c r="C89" s="1"/>
  <c r="C87" s="1"/>
  <c r="C94" s="1"/>
  <c r="C92" l="1"/>
  <c r="H77"/>
  <c r="D77"/>
  <c r="C76"/>
  <c r="D68"/>
  <c r="F59" l="1"/>
  <c r="E59"/>
  <c r="D59"/>
  <c r="N56" l="1"/>
  <c r="M56" s="1"/>
  <c r="K56"/>
  <c r="J56"/>
  <c r="F56"/>
  <c r="O55"/>
  <c r="N55"/>
  <c r="M55"/>
  <c r="K55"/>
  <c r="J55"/>
  <c r="I55"/>
  <c r="F55" s="1"/>
  <c r="O54"/>
  <c r="N54"/>
  <c r="F54"/>
  <c r="N53"/>
  <c r="N52"/>
  <c r="F52"/>
  <c r="K49"/>
  <c r="F48"/>
  <c r="E48"/>
  <c r="D48"/>
  <c r="M52" l="1"/>
  <c r="F33"/>
  <c r="D27"/>
  <c r="C25"/>
  <c r="C24"/>
  <c r="C18"/>
  <c r="D17"/>
  <c r="C17"/>
  <c r="L4"/>
  <c r="K4"/>
  <c r="H1"/>
  <c r="F23" i="74"/>
  <c r="E23"/>
  <c r="F22"/>
  <c r="E22"/>
  <c r="F21"/>
  <c r="E21"/>
  <c r="F20"/>
  <c r="E20"/>
  <c r="F19"/>
  <c r="E19"/>
  <c r="F18"/>
  <c r="E18"/>
  <c r="F17"/>
  <c r="E17"/>
  <c r="F16"/>
  <c r="E16"/>
  <c r="F15"/>
  <c r="E15"/>
  <c r="B3" l="1"/>
  <c r="C24" i="20"/>
  <c r="C22"/>
  <c r="C21"/>
  <c r="G20"/>
  <c r="C20"/>
  <c r="G19"/>
  <c r="G18"/>
  <c r="C18"/>
  <c r="C17"/>
  <c r="G16"/>
  <c r="C16"/>
  <c r="G15"/>
  <c r="C15"/>
  <c r="B52" i="1"/>
  <c r="B43"/>
  <c r="B41"/>
  <c r="B40"/>
  <c r="B39" l="1"/>
  <c r="F22" i="11"/>
  <c r="F24" i="67"/>
  <c r="F22" i="69"/>
  <c r="F25" i="12"/>
  <c r="F22" i="68"/>
  <c r="B35" i="1"/>
  <c r="B31"/>
  <c r="B24"/>
  <c r="B23"/>
  <c r="B22"/>
  <c r="P14"/>
  <c r="O14"/>
  <c r="AP13"/>
  <c r="AG13"/>
  <c r="AE13"/>
  <c r="G13"/>
  <c r="F13"/>
  <c r="D13"/>
  <c r="A13"/>
  <c r="K13" s="1"/>
  <c r="AP12"/>
  <c r="AG12"/>
  <c r="AE12"/>
  <c r="O12"/>
  <c r="G12"/>
  <c r="F12"/>
  <c r="D12"/>
  <c r="A12"/>
  <c r="S12" s="1"/>
  <c r="AQ12" s="1"/>
  <c r="AP11"/>
  <c r="AG11"/>
  <c r="AE11"/>
  <c r="S11"/>
  <c r="R11"/>
  <c r="P11" s="1"/>
  <c r="O11"/>
  <c r="F11"/>
  <c r="E11" s="1"/>
  <c r="D11"/>
  <c r="B11" s="1"/>
  <c r="A11"/>
  <c r="K11" s="1"/>
  <c r="G11" s="1"/>
  <c r="AP10"/>
  <c r="AG10"/>
  <c r="AE10"/>
  <c r="S10"/>
  <c r="F10"/>
  <c r="E10" s="1"/>
  <c r="D10"/>
  <c r="B10"/>
  <c r="A10"/>
  <c r="K10" s="1"/>
  <c r="G10" s="1"/>
  <c r="AP9"/>
  <c r="AG9"/>
  <c r="AE9"/>
  <c r="R9"/>
  <c r="P9" s="1"/>
  <c r="O9"/>
  <c r="F9"/>
  <c r="D9"/>
  <c r="B9"/>
  <c r="A9"/>
  <c r="K9" s="1"/>
  <c r="G9" s="1"/>
  <c r="AP8"/>
  <c r="AG8"/>
  <c r="AE8"/>
  <c r="S8"/>
  <c r="R8" s="1"/>
  <c r="P8" s="1"/>
  <c r="O8"/>
  <c r="K8"/>
  <c r="M8" s="1"/>
  <c r="D8"/>
  <c r="B8" s="1"/>
  <c r="A8"/>
  <c r="AG7"/>
  <c r="AE7"/>
  <c r="K7"/>
  <c r="D7"/>
  <c r="B7" s="1"/>
  <c r="A7"/>
  <c r="S7" s="1"/>
  <c r="AP6"/>
  <c r="AG6"/>
  <c r="O6"/>
  <c r="F6"/>
  <c r="D6"/>
  <c r="G6" s="1"/>
  <c r="B6"/>
  <c r="A6"/>
  <c r="T4"/>
  <c r="B2"/>
  <c r="E32" i="6"/>
  <c r="P27"/>
  <c r="O27"/>
  <c r="N27"/>
  <c r="P26"/>
  <c r="L26"/>
  <c r="E26"/>
  <c r="P25"/>
  <c r="L25"/>
  <c r="E25"/>
  <c r="P24"/>
  <c r="L24"/>
  <c r="E24"/>
  <c r="P23"/>
  <c r="L23"/>
  <c r="E23"/>
  <c r="P22"/>
  <c r="L22"/>
  <c r="E22"/>
  <c r="P21"/>
  <c r="L21"/>
  <c r="P20"/>
  <c r="L20"/>
  <c r="F20"/>
  <c r="E20" s="1"/>
  <c r="P19"/>
  <c r="L19"/>
  <c r="BT587" i="3"/>
  <c r="BS587"/>
  <c r="BR587"/>
  <c r="BQ587"/>
  <c r="BP587"/>
  <c r="BO587"/>
  <c r="BN587"/>
  <c r="BM587"/>
  <c r="BL587"/>
  <c r="BK587"/>
  <c r="BJ587"/>
  <c r="BI587"/>
  <c r="BH587"/>
  <c r="BG587"/>
  <c r="BF587"/>
  <c r="BE587"/>
  <c r="BD587"/>
  <c r="BC587"/>
  <c r="BB587"/>
  <c r="BA587"/>
  <c r="AZ587"/>
  <c r="AX587"/>
  <c r="AW587"/>
  <c r="AV587"/>
  <c r="AC587"/>
  <c r="H587"/>
  <c r="G587"/>
  <c r="BT586"/>
  <c r="BS586"/>
  <c r="BR586"/>
  <c r="BQ586"/>
  <c r="BP586"/>
  <c r="BO586"/>
  <c r="BN586"/>
  <c r="BM586"/>
  <c r="BL586"/>
  <c r="BK586"/>
  <c r="BJ586"/>
  <c r="BI586"/>
  <c r="BH586"/>
  <c r="BG586"/>
  <c r="BF586"/>
  <c r="BE586"/>
  <c r="BD586"/>
  <c r="BC586"/>
  <c r="BB586"/>
  <c r="BA586"/>
  <c r="AZ586"/>
  <c r="AX586"/>
  <c r="AW586"/>
  <c r="AV586"/>
  <c r="AC586"/>
  <c r="H586"/>
  <c r="G586"/>
  <c r="BT585"/>
  <c r="BS585"/>
  <c r="BR585"/>
  <c r="BQ585"/>
  <c r="BP585"/>
  <c r="BO585"/>
  <c r="BN585"/>
  <c r="BM585"/>
  <c r="BL585"/>
  <c r="BK585"/>
  <c r="BJ585"/>
  <c r="BI585"/>
  <c r="BH585"/>
  <c r="BG585"/>
  <c r="BF585"/>
  <c r="BE585"/>
  <c r="BD585"/>
  <c r="BC585"/>
  <c r="BB585"/>
  <c r="BA585"/>
  <c r="AZ585"/>
  <c r="AX585"/>
  <c r="AW585"/>
  <c r="AV585"/>
  <c r="AC585"/>
  <c r="H585"/>
  <c r="G585"/>
  <c r="BT584"/>
  <c r="BS584"/>
  <c r="BR584"/>
  <c r="BQ584"/>
  <c r="BP584"/>
  <c r="BO584"/>
  <c r="BN584"/>
  <c r="BM584"/>
  <c r="BL584"/>
  <c r="BK584"/>
  <c r="BJ584"/>
  <c r="BI584"/>
  <c r="BH584"/>
  <c r="BG584"/>
  <c r="BF584"/>
  <c r="BE584"/>
  <c r="BD584"/>
  <c r="BC584"/>
  <c r="BB584"/>
  <c r="BA584"/>
  <c r="AZ584"/>
  <c r="AX584"/>
  <c r="AW584"/>
  <c r="AV584"/>
  <c r="AC584"/>
  <c r="H584"/>
  <c r="G584"/>
  <c r="BT583"/>
  <c r="BS583"/>
  <c r="BR583"/>
  <c r="BQ583"/>
  <c r="BP583"/>
  <c r="BO583"/>
  <c r="BN583"/>
  <c r="BM583"/>
  <c r="BL583"/>
  <c r="BK583"/>
  <c r="BJ583"/>
  <c r="BI583"/>
  <c r="BH583"/>
  <c r="BG583"/>
  <c r="BF583"/>
  <c r="BE583"/>
  <c r="BD583"/>
  <c r="BC583"/>
  <c r="BB583"/>
  <c r="BA583"/>
  <c r="AZ583"/>
  <c r="AX583"/>
  <c r="AW583"/>
  <c r="AV583"/>
  <c r="AC583"/>
  <c r="H583"/>
  <c r="G583"/>
  <c r="BT582"/>
  <c r="BS582"/>
  <c r="BR582"/>
  <c r="BQ582"/>
  <c r="BP582"/>
  <c r="BO582"/>
  <c r="BN582"/>
  <c r="BM582"/>
  <c r="BL582"/>
  <c r="BK582"/>
  <c r="BJ582"/>
  <c r="BI582"/>
  <c r="BH582"/>
  <c r="BG582"/>
  <c r="BF582"/>
  <c r="BE582"/>
  <c r="BD582"/>
  <c r="BC582"/>
  <c r="BB582"/>
  <c r="BA582"/>
  <c r="AZ582"/>
  <c r="AX582"/>
  <c r="AW582"/>
  <c r="AV582"/>
  <c r="AC582"/>
  <c r="H582"/>
  <c r="G582"/>
  <c r="BT581"/>
  <c r="BS581"/>
  <c r="BR581"/>
  <c r="BQ581"/>
  <c r="BP581"/>
  <c r="BO581"/>
  <c r="BN581"/>
  <c r="BM581"/>
  <c r="BL581"/>
  <c r="BK581"/>
  <c r="BJ581"/>
  <c r="BI581"/>
  <c r="BH581"/>
  <c r="BG581"/>
  <c r="BF581"/>
  <c r="BE581"/>
  <c r="BD581"/>
  <c r="BC581"/>
  <c r="BB581"/>
  <c r="BA581"/>
  <c r="AZ581"/>
  <c r="AX581"/>
  <c r="AW581"/>
  <c r="AV581"/>
  <c r="AC581"/>
  <c r="H581"/>
  <c r="G581"/>
  <c r="BT580"/>
  <c r="BS580"/>
  <c r="BR580"/>
  <c r="BQ580"/>
  <c r="BP580"/>
  <c r="BO580"/>
  <c r="BN580"/>
  <c r="BM580"/>
  <c r="BL580"/>
  <c r="BK580"/>
  <c r="BJ580"/>
  <c r="BI580"/>
  <c r="BH580"/>
  <c r="BG580"/>
  <c r="BF580"/>
  <c r="BE580"/>
  <c r="BD580"/>
  <c r="BC580"/>
  <c r="BB580"/>
  <c r="BA580"/>
  <c r="AZ580"/>
  <c r="AX580"/>
  <c r="AW580"/>
  <c r="AV580"/>
  <c r="AC580"/>
  <c r="H580"/>
  <c r="G580"/>
  <c r="BT579"/>
  <c r="BS579"/>
  <c r="BR579"/>
  <c r="BQ579"/>
  <c r="BP579"/>
  <c r="BO579"/>
  <c r="BN579"/>
  <c r="BM579"/>
  <c r="BL579"/>
  <c r="BK579"/>
  <c r="BJ579"/>
  <c r="BI579"/>
  <c r="BH579"/>
  <c r="BG579"/>
  <c r="BF579"/>
  <c r="BE579"/>
  <c r="BD579"/>
  <c r="BC579"/>
  <c r="BB579"/>
  <c r="BA579"/>
  <c r="AZ579"/>
  <c r="AX579"/>
  <c r="AW579"/>
  <c r="AV579"/>
  <c r="AC579"/>
  <c r="H579"/>
  <c r="G579"/>
  <c r="BT578"/>
  <c r="BS578"/>
  <c r="BR578"/>
  <c r="BQ578"/>
  <c r="BP578"/>
  <c r="BO578"/>
  <c r="BN578"/>
  <c r="BM578"/>
  <c r="BL578"/>
  <c r="BK578"/>
  <c r="BJ578"/>
  <c r="BI578"/>
  <c r="BH578"/>
  <c r="BG578"/>
  <c r="BF578"/>
  <c r="BE578"/>
  <c r="BD578"/>
  <c r="BC578"/>
  <c r="BB578"/>
  <c r="BA578"/>
  <c r="AZ578"/>
  <c r="AX578"/>
  <c r="AW578"/>
  <c r="AV578"/>
  <c r="AC578"/>
  <c r="H578"/>
  <c r="G578"/>
  <c r="BT577"/>
  <c r="BS577"/>
  <c r="BR577"/>
  <c r="BQ577"/>
  <c r="BP577"/>
  <c r="BO577"/>
  <c r="BN577"/>
  <c r="BM577"/>
  <c r="BL577"/>
  <c r="BK577"/>
  <c r="BJ577"/>
  <c r="BI577"/>
  <c r="BH577"/>
  <c r="BG577"/>
  <c r="BF577"/>
  <c r="BE577"/>
  <c r="BD577"/>
  <c r="BC577"/>
  <c r="BB577"/>
  <c r="BA577"/>
  <c r="AZ577"/>
  <c r="AX577"/>
  <c r="AW577"/>
  <c r="AV577"/>
  <c r="AC577"/>
  <c r="H577"/>
  <c r="G577"/>
  <c r="BT576"/>
  <c r="BS576"/>
  <c r="BR576"/>
  <c r="BQ576"/>
  <c r="BP576"/>
  <c r="BO576"/>
  <c r="BN576"/>
  <c r="BM576"/>
  <c r="BL576"/>
  <c r="BK576"/>
  <c r="BJ576"/>
  <c r="BI576"/>
  <c r="BH576"/>
  <c r="BG576"/>
  <c r="BF576"/>
  <c r="BE576"/>
  <c r="BD576"/>
  <c r="BC576"/>
  <c r="BB576"/>
  <c r="BA576"/>
  <c r="AZ576"/>
  <c r="AX576"/>
  <c r="AW576"/>
  <c r="AV576"/>
  <c r="AC576"/>
  <c r="H576"/>
  <c r="G576"/>
  <c r="BT575"/>
  <c r="BS575"/>
  <c r="BR575"/>
  <c r="BQ575"/>
  <c r="BP575"/>
  <c r="BO575"/>
  <c r="BN575"/>
  <c r="BM575"/>
  <c r="BL575"/>
  <c r="BK575"/>
  <c r="BJ575"/>
  <c r="BI575"/>
  <c r="BH575"/>
  <c r="BG575"/>
  <c r="BF575"/>
  <c r="BE575"/>
  <c r="BD575"/>
  <c r="BC575"/>
  <c r="BB575"/>
  <c r="BA575"/>
  <c r="AZ575"/>
  <c r="AX575"/>
  <c r="AW575"/>
  <c r="AV575"/>
  <c r="AC575"/>
  <c r="H575"/>
  <c r="G575"/>
  <c r="BT574"/>
  <c r="BS574"/>
  <c r="BR574"/>
  <c r="BQ574"/>
  <c r="BP574"/>
  <c r="BO574"/>
  <c r="BN574"/>
  <c r="BM574"/>
  <c r="BL574"/>
  <c r="BK574"/>
  <c r="BJ574"/>
  <c r="BI574"/>
  <c r="BH574"/>
  <c r="BG574"/>
  <c r="BF574"/>
  <c r="BE574"/>
  <c r="BD574"/>
  <c r="BC574"/>
  <c r="BB574"/>
  <c r="BA574"/>
  <c r="AZ574"/>
  <c r="AX574"/>
  <c r="AW574"/>
  <c r="AV574"/>
  <c r="AC574"/>
  <c r="H574"/>
  <c r="G574"/>
  <c r="BT573"/>
  <c r="BS573"/>
  <c r="BR573"/>
  <c r="BQ573"/>
  <c r="BP573"/>
  <c r="BO573"/>
  <c r="BN573"/>
  <c r="BM573"/>
  <c r="BL573"/>
  <c r="BK573"/>
  <c r="BJ573"/>
  <c r="BI573"/>
  <c r="BH573"/>
  <c r="BG573"/>
  <c r="BF573"/>
  <c r="BE573"/>
  <c r="BD573"/>
  <c r="BC573"/>
  <c r="BB573"/>
  <c r="BA573"/>
  <c r="AZ573"/>
  <c r="AX573"/>
  <c r="AW573"/>
  <c r="AV573"/>
  <c r="AC573"/>
  <c r="H573"/>
  <c r="G573"/>
  <c r="BT572"/>
  <c r="BS572"/>
  <c r="BR572"/>
  <c r="BQ572"/>
  <c r="BP572"/>
  <c r="BO572"/>
  <c r="BN572"/>
  <c r="BM572"/>
  <c r="BL572"/>
  <c r="BK572"/>
  <c r="BJ572"/>
  <c r="BI572"/>
  <c r="BH572"/>
  <c r="BG572"/>
  <c r="BF572"/>
  <c r="BE572"/>
  <c r="BD572"/>
  <c r="BC572"/>
  <c r="BB572"/>
  <c r="BA572"/>
  <c r="AZ572"/>
  <c r="AX572"/>
  <c r="AW572"/>
  <c r="AV572"/>
  <c r="AC572"/>
  <c r="H572"/>
  <c r="G572"/>
  <c r="BT571"/>
  <c r="BS571"/>
  <c r="BR571"/>
  <c r="BQ571"/>
  <c r="BP571"/>
  <c r="BO571"/>
  <c r="BN571"/>
  <c r="BM571"/>
  <c r="BL571"/>
  <c r="BK571"/>
  <c r="BJ571"/>
  <c r="BI571"/>
  <c r="BH571"/>
  <c r="BG571"/>
  <c r="BF571"/>
  <c r="BE571"/>
  <c r="BD571"/>
  <c r="BC571"/>
  <c r="BB571"/>
  <c r="BA571"/>
  <c r="AZ571"/>
  <c r="AX571"/>
  <c r="AW571"/>
  <c r="AV571"/>
  <c r="AC571"/>
  <c r="H571"/>
  <c r="G571"/>
  <c r="BT570"/>
  <c r="BS570"/>
  <c r="BR570"/>
  <c r="BQ570"/>
  <c r="BP570"/>
  <c r="BO570"/>
  <c r="BN570"/>
  <c r="BM570"/>
  <c r="BL570"/>
  <c r="BK570"/>
  <c r="BJ570"/>
  <c r="BI570"/>
  <c r="BH570"/>
  <c r="BG570"/>
  <c r="BF570"/>
  <c r="BE570"/>
  <c r="BD570"/>
  <c r="BC570"/>
  <c r="BB570"/>
  <c r="BA570"/>
  <c r="AZ570"/>
  <c r="AX570"/>
  <c r="AW570"/>
  <c r="AV570"/>
  <c r="AC570"/>
  <c r="H570"/>
  <c r="G570"/>
  <c r="BT569"/>
  <c r="BS569"/>
  <c r="BR569"/>
  <c r="BQ569"/>
  <c r="BP569"/>
  <c r="BO569"/>
  <c r="BN569"/>
  <c r="BM569"/>
  <c r="BL569"/>
  <c r="BK569"/>
  <c r="BJ569"/>
  <c r="BI569"/>
  <c r="BH569"/>
  <c r="BG569"/>
  <c r="BF569"/>
  <c r="BE569"/>
  <c r="BD569"/>
  <c r="BC569"/>
  <c r="BB569"/>
  <c r="BA569"/>
  <c r="AZ569"/>
  <c r="AX569"/>
  <c r="AW569"/>
  <c r="AV569"/>
  <c r="AC569"/>
  <c r="H569"/>
  <c r="G569"/>
  <c r="BT568"/>
  <c r="BS568"/>
  <c r="BR568"/>
  <c r="BQ568"/>
  <c r="BP568"/>
  <c r="BO568"/>
  <c r="BN568"/>
  <c r="BM568"/>
  <c r="BL568"/>
  <c r="BK568"/>
  <c r="BJ568"/>
  <c r="BI568"/>
  <c r="BH568"/>
  <c r="BG568"/>
  <c r="BF568"/>
  <c r="BE568"/>
  <c r="BD568"/>
  <c r="BC568"/>
  <c r="BB568"/>
  <c r="BA568"/>
  <c r="AZ568"/>
  <c r="AX568"/>
  <c r="AW568"/>
  <c r="AV568"/>
  <c r="AC568"/>
  <c r="H568"/>
  <c r="G568"/>
  <c r="BT567"/>
  <c r="BS567"/>
  <c r="BR567"/>
  <c r="BQ567"/>
  <c r="BP567"/>
  <c r="BO567"/>
  <c r="BN567"/>
  <c r="BM567"/>
  <c r="BL567"/>
  <c r="BK567"/>
  <c r="BJ567"/>
  <c r="BI567"/>
  <c r="BH567"/>
  <c r="BG567"/>
  <c r="BF567"/>
  <c r="BE567"/>
  <c r="BD567"/>
  <c r="BC567"/>
  <c r="BB567"/>
  <c r="BA567"/>
  <c r="AZ567"/>
  <c r="AX567"/>
  <c r="AW567"/>
  <c r="AV567"/>
  <c r="AC567"/>
  <c r="H567"/>
  <c r="G567"/>
  <c r="BT566"/>
  <c r="BS566"/>
  <c r="BR566"/>
  <c r="BQ566"/>
  <c r="BP566"/>
  <c r="BO566"/>
  <c r="BN566"/>
  <c r="BM566"/>
  <c r="BL566"/>
  <c r="BK566"/>
  <c r="BJ566"/>
  <c r="BI566"/>
  <c r="BH566"/>
  <c r="BG566"/>
  <c r="BF566"/>
  <c r="BE566"/>
  <c r="BD566"/>
  <c r="BC566"/>
  <c r="BB566"/>
  <c r="BA566"/>
  <c r="AZ566"/>
  <c r="AX566"/>
  <c r="AW566"/>
  <c r="AV566"/>
  <c r="AC566"/>
  <c r="H566"/>
  <c r="G566"/>
  <c r="BT565"/>
  <c r="BS565"/>
  <c r="BR565"/>
  <c r="BQ565"/>
  <c r="BP565"/>
  <c r="BO565"/>
  <c r="BN565"/>
  <c r="BM565"/>
  <c r="BL565"/>
  <c r="BK565"/>
  <c r="BJ565"/>
  <c r="BI565"/>
  <c r="BH565"/>
  <c r="BG565"/>
  <c r="BF565"/>
  <c r="BE565"/>
  <c r="BD565"/>
  <c r="BC565"/>
  <c r="BB565"/>
  <c r="BA565"/>
  <c r="AZ565"/>
  <c r="AX565"/>
  <c r="AW565"/>
  <c r="AV565"/>
  <c r="AC565"/>
  <c r="H565"/>
  <c r="G565"/>
  <c r="BT564"/>
  <c r="BS564"/>
  <c r="BR564"/>
  <c r="BQ564"/>
  <c r="BP564"/>
  <c r="BO564"/>
  <c r="BN564"/>
  <c r="BM564"/>
  <c r="BL564"/>
  <c r="BK564"/>
  <c r="BJ564"/>
  <c r="BI564"/>
  <c r="BH564"/>
  <c r="BG564"/>
  <c r="BF564"/>
  <c r="BE564"/>
  <c r="BD564"/>
  <c r="BC564"/>
  <c r="BB564"/>
  <c r="BA564"/>
  <c r="AZ564"/>
  <c r="AX564"/>
  <c r="AW564"/>
  <c r="AV564"/>
  <c r="AC564"/>
  <c r="H564"/>
  <c r="G564"/>
  <c r="BT563"/>
  <c r="BS563"/>
  <c r="BR563"/>
  <c r="BQ563"/>
  <c r="BP563"/>
  <c r="BO563"/>
  <c r="BN563"/>
  <c r="BM563"/>
  <c r="BL563"/>
  <c r="BK563"/>
  <c r="BJ563"/>
  <c r="BI563"/>
  <c r="BH563"/>
  <c r="BG563"/>
  <c r="BF563"/>
  <c r="BE563"/>
  <c r="BD563"/>
  <c r="BC563"/>
  <c r="BB563"/>
  <c r="BA563"/>
  <c r="AZ563"/>
  <c r="AX563"/>
  <c r="AW563"/>
  <c r="AV563"/>
  <c r="AC563"/>
  <c r="H563"/>
  <c r="G563"/>
  <c r="BT562"/>
  <c r="BS562"/>
  <c r="BR562"/>
  <c r="BQ562"/>
  <c r="BP562"/>
  <c r="BO562"/>
  <c r="BN562"/>
  <c r="BM562"/>
  <c r="BL562"/>
  <c r="BK562"/>
  <c r="BJ562"/>
  <c r="BI562"/>
  <c r="BH562"/>
  <c r="BG562"/>
  <c r="BF562"/>
  <c r="BE562"/>
  <c r="BD562"/>
  <c r="BC562"/>
  <c r="BB562"/>
  <c r="BA562"/>
  <c r="AZ562"/>
  <c r="AX562"/>
  <c r="AW562"/>
  <c r="AV562"/>
  <c r="AC562"/>
  <c r="H562"/>
  <c r="G562"/>
  <c r="BT561"/>
  <c r="BS561"/>
  <c r="BR561"/>
  <c r="BQ561"/>
  <c r="BP561"/>
  <c r="BO561"/>
  <c r="BN561"/>
  <c r="BM561"/>
  <c r="BL561"/>
  <c r="BK561"/>
  <c r="BJ561"/>
  <c r="BI561"/>
  <c r="BH561"/>
  <c r="BG561"/>
  <c r="BF561"/>
  <c r="BE561"/>
  <c r="BD561"/>
  <c r="BC561"/>
  <c r="BB561"/>
  <c r="BA561"/>
  <c r="AZ561"/>
  <c r="AX561"/>
  <c r="AW561"/>
  <c r="AV561"/>
  <c r="AC561"/>
  <c r="H561"/>
  <c r="G561"/>
  <c r="BT560"/>
  <c r="BS560"/>
  <c r="BR560"/>
  <c r="BQ560"/>
  <c r="BP560"/>
  <c r="BO560"/>
  <c r="BN560"/>
  <c r="BM560"/>
  <c r="BL560"/>
  <c r="BK560"/>
  <c r="BJ560"/>
  <c r="BI560"/>
  <c r="BH560"/>
  <c r="BG560"/>
  <c r="BF560"/>
  <c r="BE560"/>
  <c r="BD560"/>
  <c r="BC560"/>
  <c r="BB560"/>
  <c r="BA560"/>
  <c r="AZ560"/>
  <c r="AX560"/>
  <c r="AW560"/>
  <c r="AV560"/>
  <c r="AC560"/>
  <c r="H560"/>
  <c r="G560"/>
  <c r="BT559"/>
  <c r="BS559"/>
  <c r="BR559"/>
  <c r="BQ559"/>
  <c r="BP559"/>
  <c r="BO559"/>
  <c r="BN559"/>
  <c r="BM559"/>
  <c r="BL559"/>
  <c r="BK559"/>
  <c r="BJ559"/>
  <c r="BI559"/>
  <c r="BH559"/>
  <c r="BG559"/>
  <c r="BF559"/>
  <c r="BE559"/>
  <c r="BD559"/>
  <c r="BC559"/>
  <c r="BB559"/>
  <c r="BA559"/>
  <c r="AZ559"/>
  <c r="AX559"/>
  <c r="AW559"/>
  <c r="AV559"/>
  <c r="AC559"/>
  <c r="H559"/>
  <c r="G559"/>
  <c r="BT558"/>
  <c r="BS558"/>
  <c r="BR558"/>
  <c r="BQ558"/>
  <c r="BP558"/>
  <c r="BO558"/>
  <c r="BN558"/>
  <c r="BM558"/>
  <c r="BL558"/>
  <c r="BK558"/>
  <c r="BJ558"/>
  <c r="BI558"/>
  <c r="BH558"/>
  <c r="BG558"/>
  <c r="BF558"/>
  <c r="BE558"/>
  <c r="BD558"/>
  <c r="BC558"/>
  <c r="BB558"/>
  <c r="BA558"/>
  <c r="AZ558"/>
  <c r="AX558"/>
  <c r="AW558"/>
  <c r="AV558"/>
  <c r="AC558"/>
  <c r="H558"/>
  <c r="G558"/>
  <c r="BT557"/>
  <c r="BS557"/>
  <c r="BR557"/>
  <c r="BQ557"/>
  <c r="BP557"/>
  <c r="BO557"/>
  <c r="BN557"/>
  <c r="BM557"/>
  <c r="BL557"/>
  <c r="BK557"/>
  <c r="BJ557"/>
  <c r="BI557"/>
  <c r="BH557"/>
  <c r="BG557"/>
  <c r="BF557"/>
  <c r="BE557"/>
  <c r="BD557"/>
  <c r="BC557"/>
  <c r="BB557"/>
  <c r="BA557"/>
  <c r="AZ557"/>
  <c r="AX557"/>
  <c r="AW557"/>
  <c r="AV557"/>
  <c r="AC557"/>
  <c r="H557"/>
  <c r="G557"/>
  <c r="BT556"/>
  <c r="BS556"/>
  <c r="BR556"/>
  <c r="BQ556"/>
  <c r="BP556"/>
  <c r="BO556"/>
  <c r="BN556"/>
  <c r="BM556"/>
  <c r="BL556"/>
  <c r="BK556"/>
  <c r="BJ556"/>
  <c r="BI556"/>
  <c r="BH556"/>
  <c r="BG556"/>
  <c r="BF556"/>
  <c r="BE556"/>
  <c r="BD556"/>
  <c r="BC556"/>
  <c r="BB556"/>
  <c r="BA556"/>
  <c r="AZ556"/>
  <c r="AX556"/>
  <c r="AW556"/>
  <c r="AV556"/>
  <c r="AC556"/>
  <c r="H556"/>
  <c r="G556"/>
  <c r="BT555"/>
  <c r="BS555"/>
  <c r="BR555"/>
  <c r="BQ555"/>
  <c r="BP555"/>
  <c r="BO555"/>
  <c r="BN555"/>
  <c r="BM555"/>
  <c r="BL555"/>
  <c r="BK555"/>
  <c r="BJ555"/>
  <c r="BI555"/>
  <c r="BH555"/>
  <c r="BG555"/>
  <c r="BF555"/>
  <c r="BE555"/>
  <c r="BD555"/>
  <c r="BC555"/>
  <c r="BB555"/>
  <c r="BA555"/>
  <c r="AZ555"/>
  <c r="AX555"/>
  <c r="AW555"/>
  <c r="AV555"/>
  <c r="AC555"/>
  <c r="H555"/>
  <c r="G555"/>
  <c r="BT554"/>
  <c r="BS554"/>
  <c r="BR554"/>
  <c r="BQ554"/>
  <c r="BP554"/>
  <c r="BO554"/>
  <c r="BN554"/>
  <c r="BM554"/>
  <c r="BL554"/>
  <c r="BK554"/>
  <c r="BJ554"/>
  <c r="BI554"/>
  <c r="BH554"/>
  <c r="BG554"/>
  <c r="BF554"/>
  <c r="BE554"/>
  <c r="BD554"/>
  <c r="BC554"/>
  <c r="BB554"/>
  <c r="BA554"/>
  <c r="AZ554"/>
  <c r="AX554"/>
  <c r="AW554"/>
  <c r="AV554"/>
  <c r="AC554"/>
  <c r="H554"/>
  <c r="G554"/>
  <c r="BT553"/>
  <c r="BS553"/>
  <c r="BR553"/>
  <c r="BQ553"/>
  <c r="BP553"/>
  <c r="BO553"/>
  <c r="BN553"/>
  <c r="BM553"/>
  <c r="BL553"/>
  <c r="BK553"/>
  <c r="BJ553"/>
  <c r="BI553"/>
  <c r="BH553"/>
  <c r="BG553"/>
  <c r="BF553"/>
  <c r="BE553"/>
  <c r="BD553"/>
  <c r="BC553"/>
  <c r="BB553"/>
  <c r="BA553"/>
  <c r="AZ553"/>
  <c r="AX553"/>
  <c r="AW553"/>
  <c r="AV553"/>
  <c r="AC553"/>
  <c r="H553"/>
  <c r="G553"/>
  <c r="BT552"/>
  <c r="BS552"/>
  <c r="BR552"/>
  <c r="BQ552"/>
  <c r="BP552"/>
  <c r="BO552"/>
  <c r="BN552"/>
  <c r="BM552"/>
  <c r="BL552"/>
  <c r="BK552"/>
  <c r="BJ552"/>
  <c r="BI552"/>
  <c r="BH552"/>
  <c r="BG552"/>
  <c r="BF552"/>
  <c r="BE552"/>
  <c r="BD552"/>
  <c r="BC552"/>
  <c r="BB552"/>
  <c r="BA552"/>
  <c r="AZ552"/>
  <c r="AX552"/>
  <c r="AW552"/>
  <c r="AV552"/>
  <c r="AC552"/>
  <c r="H552"/>
  <c r="G552"/>
  <c r="BT551"/>
  <c r="BS551"/>
  <c r="BR551"/>
  <c r="BQ551"/>
  <c r="BP551"/>
  <c r="BO551"/>
  <c r="BN551"/>
  <c r="BM551"/>
  <c r="BL551"/>
  <c r="BK551"/>
  <c r="BJ551"/>
  <c r="BI551"/>
  <c r="BH551"/>
  <c r="BG551"/>
  <c r="BF551"/>
  <c r="BE551"/>
  <c r="BD551"/>
  <c r="BC551"/>
  <c r="BB551"/>
  <c r="BA551"/>
  <c r="AZ551"/>
  <c r="AX551"/>
  <c r="AW551"/>
  <c r="AV551"/>
  <c r="AC551"/>
  <c r="H551"/>
  <c r="G551"/>
  <c r="BT550"/>
  <c r="BS550"/>
  <c r="BR550"/>
  <c r="BQ550"/>
  <c r="BP550"/>
  <c r="BO550"/>
  <c r="BN550"/>
  <c r="BM550"/>
  <c r="BL550"/>
  <c r="BK550"/>
  <c r="BJ550"/>
  <c r="BI550"/>
  <c r="BH550"/>
  <c r="BG550"/>
  <c r="BF550"/>
  <c r="BE550"/>
  <c r="BD550"/>
  <c r="BC550"/>
  <c r="BB550"/>
  <c r="BA550"/>
  <c r="AZ550"/>
  <c r="AX550"/>
  <c r="AW550"/>
  <c r="AV550"/>
  <c r="AC550"/>
  <c r="H550"/>
  <c r="G550"/>
  <c r="BT549"/>
  <c r="BS549"/>
  <c r="BR549"/>
  <c r="BQ549"/>
  <c r="BP549"/>
  <c r="BO549"/>
  <c r="BN549"/>
  <c r="BM549"/>
  <c r="BL549"/>
  <c r="BK549"/>
  <c r="BJ549"/>
  <c r="BI549"/>
  <c r="BH549"/>
  <c r="BG549"/>
  <c r="BF549"/>
  <c r="BE549"/>
  <c r="BD549"/>
  <c r="BC549"/>
  <c r="BB549"/>
  <c r="BA549"/>
  <c r="AZ549"/>
  <c r="AX549"/>
  <c r="AW549"/>
  <c r="AV549"/>
  <c r="AC549"/>
  <c r="H549"/>
  <c r="G549"/>
  <c r="BT548"/>
  <c r="BS548"/>
  <c r="BR548"/>
  <c r="BQ548"/>
  <c r="BP548"/>
  <c r="BO548"/>
  <c r="BN548"/>
  <c r="BM548"/>
  <c r="BL548"/>
  <c r="BK548"/>
  <c r="BJ548"/>
  <c r="BI548"/>
  <c r="BH548"/>
  <c r="BG548"/>
  <c r="BF548"/>
  <c r="BE548"/>
  <c r="BD548"/>
  <c r="BC548"/>
  <c r="BB548"/>
  <c r="BA548"/>
  <c r="AZ548"/>
  <c r="AX548"/>
  <c r="AW548"/>
  <c r="AV548"/>
  <c r="AC548"/>
  <c r="H548"/>
  <c r="G548"/>
  <c r="BT547"/>
  <c r="BS547"/>
  <c r="BR547"/>
  <c r="BQ547"/>
  <c r="BP547"/>
  <c r="BO547"/>
  <c r="BN547"/>
  <c r="BM547"/>
  <c r="BL547"/>
  <c r="BK547"/>
  <c r="BJ547"/>
  <c r="BI547"/>
  <c r="BH547"/>
  <c r="BG547"/>
  <c r="BF547"/>
  <c r="BE547"/>
  <c r="BD547"/>
  <c r="BC547"/>
  <c r="BB547"/>
  <c r="BA547"/>
  <c r="AZ547"/>
  <c r="AX547"/>
  <c r="AW547"/>
  <c r="AV547"/>
  <c r="AC547"/>
  <c r="H547"/>
  <c r="G547"/>
  <c r="BT546"/>
  <c r="BS546"/>
  <c r="BR546"/>
  <c r="BQ546"/>
  <c r="BP546"/>
  <c r="BO546"/>
  <c r="BN546"/>
  <c r="BM546"/>
  <c r="BL546"/>
  <c r="BK546"/>
  <c r="BJ546"/>
  <c r="BI546"/>
  <c r="BH546"/>
  <c r="BG546"/>
  <c r="BF546"/>
  <c r="BE546"/>
  <c r="BD546"/>
  <c r="BC546"/>
  <c r="BB546"/>
  <c r="BA546"/>
  <c r="AZ546"/>
  <c r="AX546"/>
  <c r="AW546"/>
  <c r="AV546"/>
  <c r="AC546"/>
  <c r="H546"/>
  <c r="G546"/>
  <c r="BT545"/>
  <c r="BS545"/>
  <c r="BR545"/>
  <c r="BQ545"/>
  <c r="BP545"/>
  <c r="BO545"/>
  <c r="BN545"/>
  <c r="BM545"/>
  <c r="BL545"/>
  <c r="BK545"/>
  <c r="BJ545"/>
  <c r="BI545"/>
  <c r="BH545"/>
  <c r="BG545"/>
  <c r="BF545"/>
  <c r="BE545"/>
  <c r="BD545"/>
  <c r="BC545"/>
  <c r="BB545"/>
  <c r="BA545"/>
  <c r="AZ545"/>
  <c r="AX545"/>
  <c r="AW545"/>
  <c r="AV545"/>
  <c r="AC545"/>
  <c r="H545"/>
  <c r="G545"/>
  <c r="BT544"/>
  <c r="BS544"/>
  <c r="BR544"/>
  <c r="BQ544"/>
  <c r="BP544"/>
  <c r="BO544"/>
  <c r="BN544"/>
  <c r="BM544"/>
  <c r="BL544"/>
  <c r="BK544"/>
  <c r="BJ544"/>
  <c r="BI544"/>
  <c r="BH544"/>
  <c r="BG544"/>
  <c r="BF544"/>
  <c r="BE544"/>
  <c r="BD544"/>
  <c r="BC544"/>
  <c r="BB544"/>
  <c r="BA544"/>
  <c r="AZ544"/>
  <c r="AX544"/>
  <c r="AW544"/>
  <c r="AV544"/>
  <c r="AC544"/>
  <c r="H544"/>
  <c r="G544"/>
  <c r="BT543"/>
  <c r="BS543"/>
  <c r="BR543"/>
  <c r="BQ543"/>
  <c r="BP543"/>
  <c r="BO543"/>
  <c r="BN543"/>
  <c r="BM543"/>
  <c r="BL543"/>
  <c r="BK543"/>
  <c r="BJ543"/>
  <c r="BI543"/>
  <c r="BH543"/>
  <c r="BG543"/>
  <c r="BF543"/>
  <c r="BE543"/>
  <c r="BD543"/>
  <c r="BC543"/>
  <c r="BB543"/>
  <c r="BA543"/>
  <c r="AZ543"/>
  <c r="AX543"/>
  <c r="AW543"/>
  <c r="AV543"/>
  <c r="AC543"/>
  <c r="H543"/>
  <c r="G543"/>
  <c r="BT542"/>
  <c r="BS542"/>
  <c r="BR542"/>
  <c r="BQ542"/>
  <c r="BP542"/>
  <c r="BO542"/>
  <c r="BN542"/>
  <c r="BM542"/>
  <c r="BL542"/>
  <c r="BK542"/>
  <c r="BJ542"/>
  <c r="BI542"/>
  <c r="BH542"/>
  <c r="BG542"/>
  <c r="BF542"/>
  <c r="BE542"/>
  <c r="BD542"/>
  <c r="BC542"/>
  <c r="BB542"/>
  <c r="BA542"/>
  <c r="AZ542"/>
  <c r="AX542"/>
  <c r="AW542"/>
  <c r="AV542"/>
  <c r="AC542"/>
  <c r="H542"/>
  <c r="G542"/>
  <c r="BT541"/>
  <c r="BS541"/>
  <c r="BR541"/>
  <c r="BQ541"/>
  <c r="BP541"/>
  <c r="BO541"/>
  <c r="BN541"/>
  <c r="BM541"/>
  <c r="BL541"/>
  <c r="BK541"/>
  <c r="BJ541"/>
  <c r="BI541"/>
  <c r="BH541"/>
  <c r="BG541"/>
  <c r="BF541"/>
  <c r="BE541"/>
  <c r="BD541"/>
  <c r="BC541"/>
  <c r="BB541"/>
  <c r="BA541"/>
  <c r="AZ541"/>
  <c r="AX541"/>
  <c r="AW541"/>
  <c r="AV541"/>
  <c r="AC541"/>
  <c r="H541"/>
  <c r="G541"/>
  <c r="BT540"/>
  <c r="BS540"/>
  <c r="BR540"/>
  <c r="BQ540"/>
  <c r="BP540"/>
  <c r="BO540"/>
  <c r="BN540"/>
  <c r="BM540"/>
  <c r="BL540"/>
  <c r="BK540"/>
  <c r="BJ540"/>
  <c r="BI540"/>
  <c r="BH540"/>
  <c r="BG540"/>
  <c r="BF540"/>
  <c r="BE540"/>
  <c r="BD540"/>
  <c r="BC540"/>
  <c r="BB540"/>
  <c r="BA540"/>
  <c r="AZ540"/>
  <c r="AX540"/>
  <c r="AW540"/>
  <c r="AV540"/>
  <c r="AC540"/>
  <c r="H540"/>
  <c r="G540"/>
  <c r="BT539"/>
  <c r="BS539"/>
  <c r="BR539"/>
  <c r="BQ539"/>
  <c r="BP539"/>
  <c r="BO539"/>
  <c r="BN539"/>
  <c r="BM539"/>
  <c r="BL539"/>
  <c r="BK539"/>
  <c r="BJ539"/>
  <c r="BI539"/>
  <c r="BH539"/>
  <c r="BG539"/>
  <c r="BF539"/>
  <c r="BE539"/>
  <c r="BD539"/>
  <c r="BC539"/>
  <c r="BB539"/>
  <c r="BA539"/>
  <c r="AZ539"/>
  <c r="AX539"/>
  <c r="AW539"/>
  <c r="AV539"/>
  <c r="AC539"/>
  <c r="H539"/>
  <c r="G539"/>
  <c r="BT538"/>
  <c r="BS538"/>
  <c r="BR538"/>
  <c r="BQ538"/>
  <c r="BP538"/>
  <c r="BO538"/>
  <c r="BN538"/>
  <c r="BM538"/>
  <c r="BL538"/>
  <c r="BK538"/>
  <c r="BJ538"/>
  <c r="BI538"/>
  <c r="BH538"/>
  <c r="BG538"/>
  <c r="BF538"/>
  <c r="BE538"/>
  <c r="BD538"/>
  <c r="BC538"/>
  <c r="BB538"/>
  <c r="BA538"/>
  <c r="AZ538"/>
  <c r="AX538"/>
  <c r="AW538"/>
  <c r="AV538"/>
  <c r="AC538"/>
  <c r="H538"/>
  <c r="G538"/>
  <c r="BT537"/>
  <c r="BS537"/>
  <c r="BR537"/>
  <c r="BQ537"/>
  <c r="BP537"/>
  <c r="BO537"/>
  <c r="BN537"/>
  <c r="BM537"/>
  <c r="BL537"/>
  <c r="BK537"/>
  <c r="BJ537"/>
  <c r="BI537"/>
  <c r="BH537"/>
  <c r="BG537"/>
  <c r="BF537"/>
  <c r="BE537"/>
  <c r="BD537"/>
  <c r="BC537"/>
  <c r="BB537"/>
  <c r="BA537"/>
  <c r="AZ537"/>
  <c r="AX537"/>
  <c r="AW537"/>
  <c r="AV537"/>
  <c r="AC537"/>
  <c r="H537"/>
  <c r="G537"/>
  <c r="BT536"/>
  <c r="BS536"/>
  <c r="BR536"/>
  <c r="BQ536"/>
  <c r="BP536"/>
  <c r="BO536"/>
  <c r="BN536"/>
  <c r="BM536"/>
  <c r="BL536"/>
  <c r="BK536"/>
  <c r="BJ536"/>
  <c r="BI536"/>
  <c r="BH536"/>
  <c r="BG536"/>
  <c r="BF536"/>
  <c r="BE536"/>
  <c r="BD536"/>
  <c r="BC536"/>
  <c r="BB536"/>
  <c r="BA536"/>
  <c r="AZ536"/>
  <c r="AX536"/>
  <c r="AW536"/>
  <c r="AV536"/>
  <c r="AC536"/>
  <c r="H536"/>
  <c r="G536"/>
  <c r="BT535"/>
  <c r="BS535"/>
  <c r="BR535"/>
  <c r="BQ535"/>
  <c r="BP535"/>
  <c r="BO535"/>
  <c r="BN535"/>
  <c r="BM535"/>
  <c r="BL535"/>
  <c r="BK535"/>
  <c r="BJ535"/>
  <c r="BI535"/>
  <c r="BH535"/>
  <c r="BG535"/>
  <c r="BF535"/>
  <c r="BE535"/>
  <c r="BD535"/>
  <c r="BC535"/>
  <c r="BB535"/>
  <c r="BA535"/>
  <c r="AZ535"/>
  <c r="AX535"/>
  <c r="AW535"/>
  <c r="AV535"/>
  <c r="AC535"/>
  <c r="H535"/>
  <c r="G535"/>
  <c r="BT534"/>
  <c r="BS534"/>
  <c r="BR534"/>
  <c r="BQ534"/>
  <c r="BP534"/>
  <c r="BO534"/>
  <c r="BN534"/>
  <c r="BM534"/>
  <c r="BL534"/>
  <c r="BK534"/>
  <c r="BJ534"/>
  <c r="BI534"/>
  <c r="BH534"/>
  <c r="BG534"/>
  <c r="BF534"/>
  <c r="BE534"/>
  <c r="BD534"/>
  <c r="BC534"/>
  <c r="BB534"/>
  <c r="BA534"/>
  <c r="AZ534"/>
  <c r="AX534"/>
  <c r="AW534"/>
  <c r="AV534"/>
  <c r="AC534"/>
  <c r="H534"/>
  <c r="G534"/>
  <c r="BT533"/>
  <c r="BS533"/>
  <c r="BR533"/>
  <c r="BQ533"/>
  <c r="BP533"/>
  <c r="BO533"/>
  <c r="BN533"/>
  <c r="BM533"/>
  <c r="BL533"/>
  <c r="BK533"/>
  <c r="BJ533"/>
  <c r="BI533"/>
  <c r="BH533"/>
  <c r="BG533"/>
  <c r="BF533"/>
  <c r="BE533"/>
  <c r="BD533"/>
  <c r="BC533"/>
  <c r="BB533"/>
  <c r="BA533"/>
  <c r="AZ533"/>
  <c r="AX533"/>
  <c r="AW533"/>
  <c r="AV533"/>
  <c r="AC533"/>
  <c r="H533"/>
  <c r="G533"/>
  <c r="BT532"/>
  <c r="BS532"/>
  <c r="BR532"/>
  <c r="BQ532"/>
  <c r="BP532"/>
  <c r="BO532"/>
  <c r="BN532"/>
  <c r="BM532"/>
  <c r="BL532"/>
  <c r="BK532"/>
  <c r="BJ532"/>
  <c r="BI532"/>
  <c r="BH532"/>
  <c r="BG532"/>
  <c r="BF532"/>
  <c r="BE532"/>
  <c r="BD532"/>
  <c r="BC532"/>
  <c r="BB532"/>
  <c r="BA532"/>
  <c r="AZ532"/>
  <c r="AX532"/>
  <c r="AW532"/>
  <c r="AV532"/>
  <c r="AC532"/>
  <c r="H532"/>
  <c r="G532"/>
  <c r="BT531"/>
  <c r="BS531"/>
  <c r="BR531"/>
  <c r="BQ531"/>
  <c r="BP531"/>
  <c r="BO531"/>
  <c r="BN531"/>
  <c r="BM531"/>
  <c r="BL531"/>
  <c r="BK531"/>
  <c r="BJ531"/>
  <c r="BI531"/>
  <c r="BH531"/>
  <c r="BG531"/>
  <c r="BF531"/>
  <c r="BE531"/>
  <c r="BD531"/>
  <c r="BC531"/>
  <c r="BB531"/>
  <c r="BA531"/>
  <c r="AZ531"/>
  <c r="AX531"/>
  <c r="AW531"/>
  <c r="AV531"/>
  <c r="AC531"/>
  <c r="H531"/>
  <c r="G531"/>
  <c r="BT530"/>
  <c r="BS530"/>
  <c r="BR530"/>
  <c r="BQ530"/>
  <c r="BP530"/>
  <c r="BO530"/>
  <c r="BN530"/>
  <c r="BM530"/>
  <c r="BL530"/>
  <c r="BK530"/>
  <c r="BJ530"/>
  <c r="BI530"/>
  <c r="BH530"/>
  <c r="BG530"/>
  <c r="BF530"/>
  <c r="BE530"/>
  <c r="BD530"/>
  <c r="BC530"/>
  <c r="BB530"/>
  <c r="BA530"/>
  <c r="AZ530"/>
  <c r="AX530"/>
  <c r="AW530"/>
  <c r="AV530"/>
  <c r="AC530"/>
  <c r="H530"/>
  <c r="G530"/>
  <c r="BT529"/>
  <c r="BS529"/>
  <c r="BR529"/>
  <c r="BQ529"/>
  <c r="BP529"/>
  <c r="BO529"/>
  <c r="BN529"/>
  <c r="BM529"/>
  <c r="BL529"/>
  <c r="BK529"/>
  <c r="BJ529"/>
  <c r="BI529"/>
  <c r="BH529"/>
  <c r="BG529"/>
  <c r="BF529"/>
  <c r="BE529"/>
  <c r="BD529"/>
  <c r="BC529"/>
  <c r="BB529"/>
  <c r="BA529"/>
  <c r="AZ529"/>
  <c r="AX529"/>
  <c r="AW529"/>
  <c r="AV529"/>
  <c r="AC529"/>
  <c r="H529"/>
  <c r="G529"/>
  <c r="BT528"/>
  <c r="BS528"/>
  <c r="BR528"/>
  <c r="BQ528"/>
  <c r="BP528"/>
  <c r="BO528"/>
  <c r="BN528"/>
  <c r="BM528"/>
  <c r="BL528"/>
  <c r="BK528"/>
  <c r="BJ528"/>
  <c r="BI528"/>
  <c r="BH528"/>
  <c r="BG528"/>
  <c r="BF528"/>
  <c r="BE528"/>
  <c r="BD528"/>
  <c r="BC528"/>
  <c r="BB528"/>
  <c r="BA528"/>
  <c r="AZ528"/>
  <c r="AX528"/>
  <c r="AW528"/>
  <c r="AV528"/>
  <c r="AC528"/>
  <c r="H528"/>
  <c r="G528"/>
  <c r="BT527"/>
  <c r="BS527"/>
  <c r="BR527"/>
  <c r="BQ527"/>
  <c r="BP527"/>
  <c r="BO527"/>
  <c r="BN527"/>
  <c r="BM527"/>
  <c r="BL527"/>
  <c r="BK527"/>
  <c r="BJ527"/>
  <c r="BI527"/>
  <c r="BH527"/>
  <c r="BG527"/>
  <c r="BF527"/>
  <c r="BE527"/>
  <c r="BD527"/>
  <c r="BC527"/>
  <c r="BB527"/>
  <c r="BA527"/>
  <c r="AZ527"/>
  <c r="AX527"/>
  <c r="AW527"/>
  <c r="AV527"/>
  <c r="AC527"/>
  <c r="H527"/>
  <c r="G527"/>
  <c r="BT526"/>
  <c r="BS526"/>
  <c r="BR526"/>
  <c r="BQ526"/>
  <c r="BP526"/>
  <c r="BO526"/>
  <c r="BN526"/>
  <c r="BM526"/>
  <c r="BL526"/>
  <c r="BK526"/>
  <c r="BJ526"/>
  <c r="BI526"/>
  <c r="BH526"/>
  <c r="BG526"/>
  <c r="BF526"/>
  <c r="BE526"/>
  <c r="BD526"/>
  <c r="BC526"/>
  <c r="BB526"/>
  <c r="BA526"/>
  <c r="AZ526"/>
  <c r="AX526"/>
  <c r="AW526"/>
  <c r="AV526"/>
  <c r="AC526"/>
  <c r="H526"/>
  <c r="G526"/>
  <c r="BT525"/>
  <c r="BS525"/>
  <c r="BR525"/>
  <c r="BQ525"/>
  <c r="BP525"/>
  <c r="BO525"/>
  <c r="BN525"/>
  <c r="BM525"/>
  <c r="BL525"/>
  <c r="BK525"/>
  <c r="BJ525"/>
  <c r="BI525"/>
  <c r="BH525"/>
  <c r="BG525"/>
  <c r="BF525"/>
  <c r="BE525"/>
  <c r="BD525"/>
  <c r="BC525"/>
  <c r="BB525"/>
  <c r="BA525"/>
  <c r="AZ525"/>
  <c r="AX525"/>
  <c r="AW525"/>
  <c r="AV525"/>
  <c r="AC525"/>
  <c r="H525"/>
  <c r="G525"/>
  <c r="BT524"/>
  <c r="BS524"/>
  <c r="BR524"/>
  <c r="BQ524"/>
  <c r="BP524"/>
  <c r="BO524"/>
  <c r="BN524"/>
  <c r="BM524"/>
  <c r="BL524"/>
  <c r="BK524"/>
  <c r="BJ524"/>
  <c r="BI524"/>
  <c r="BH524"/>
  <c r="BG524"/>
  <c r="BF524"/>
  <c r="BE524"/>
  <c r="BD524"/>
  <c r="BC524"/>
  <c r="BB524"/>
  <c r="BA524"/>
  <c r="AZ524"/>
  <c r="AX524"/>
  <c r="AW524"/>
  <c r="AV524"/>
  <c r="AC524"/>
  <c r="H524"/>
  <c r="G524"/>
  <c r="BT523"/>
  <c r="BS523"/>
  <c r="BR523"/>
  <c r="BQ523"/>
  <c r="BP523"/>
  <c r="BO523"/>
  <c r="BN523"/>
  <c r="BM523"/>
  <c r="BL523"/>
  <c r="BK523"/>
  <c r="BJ523"/>
  <c r="BI523"/>
  <c r="BH523"/>
  <c r="BG523"/>
  <c r="BF523"/>
  <c r="BE523"/>
  <c r="BD523"/>
  <c r="BC523"/>
  <c r="BB523"/>
  <c r="BA523"/>
  <c r="AZ523"/>
  <c r="AX523"/>
  <c r="AW523"/>
  <c r="AV523"/>
  <c r="AC523"/>
  <c r="H523"/>
  <c r="G523"/>
  <c r="BT522"/>
  <c r="BS522"/>
  <c r="BR522"/>
  <c r="BQ522"/>
  <c r="BP522"/>
  <c r="BO522"/>
  <c r="BN522"/>
  <c r="BM522"/>
  <c r="BL522"/>
  <c r="BK522"/>
  <c r="BJ522"/>
  <c r="BI522"/>
  <c r="BH522"/>
  <c r="BG522"/>
  <c r="BF522"/>
  <c r="BE522"/>
  <c r="BD522"/>
  <c r="BC522"/>
  <c r="BB522"/>
  <c r="BA522"/>
  <c r="AZ522"/>
  <c r="AX522"/>
  <c r="AW522"/>
  <c r="AV522"/>
  <c r="AC522"/>
  <c r="H522"/>
  <c r="G522"/>
  <c r="BT521"/>
  <c r="BS521"/>
  <c r="BR521"/>
  <c r="BQ521"/>
  <c r="BP521"/>
  <c r="BO521"/>
  <c r="BN521"/>
  <c r="BM521"/>
  <c r="BL521"/>
  <c r="BK521"/>
  <c r="BJ521"/>
  <c r="BI521"/>
  <c r="BH521"/>
  <c r="BG521"/>
  <c r="BF521"/>
  <c r="BE521"/>
  <c r="BD521"/>
  <c r="BC521"/>
  <c r="BB521"/>
  <c r="BA521"/>
  <c r="AZ521"/>
  <c r="AX521"/>
  <c r="AW521"/>
  <c r="AV521"/>
  <c r="AC521"/>
  <c r="H521"/>
  <c r="G521"/>
  <c r="BT520"/>
  <c r="BS520"/>
  <c r="BR520"/>
  <c r="BQ520"/>
  <c r="BP520"/>
  <c r="BO520"/>
  <c r="BN520"/>
  <c r="BM520"/>
  <c r="BL520"/>
  <c r="BK520"/>
  <c r="BJ520"/>
  <c r="BI520"/>
  <c r="BH520"/>
  <c r="BG520"/>
  <c r="BF520"/>
  <c r="BE520"/>
  <c r="BD520"/>
  <c r="BC520"/>
  <c r="BB520"/>
  <c r="BA520"/>
  <c r="AZ520"/>
  <c r="AX520"/>
  <c r="AW520"/>
  <c r="AV520"/>
  <c r="AC520"/>
  <c r="H520"/>
  <c r="G520"/>
  <c r="BT519"/>
  <c r="BS519"/>
  <c r="BR519"/>
  <c r="BQ519"/>
  <c r="BP519"/>
  <c r="BO519"/>
  <c r="BN519"/>
  <c r="BM519"/>
  <c r="BL519"/>
  <c r="BK519"/>
  <c r="BJ519"/>
  <c r="BI519"/>
  <c r="BH519"/>
  <c r="BG519"/>
  <c r="BF519"/>
  <c r="BE519"/>
  <c r="BD519"/>
  <c r="BC519"/>
  <c r="BB519"/>
  <c r="BA519"/>
  <c r="AZ519"/>
  <c r="AX519"/>
  <c r="AW519"/>
  <c r="AV519"/>
  <c r="AC519"/>
  <c r="H519"/>
  <c r="G519"/>
  <c r="BT518"/>
  <c r="BS518"/>
  <c r="BR518"/>
  <c r="BQ518"/>
  <c r="BP518"/>
  <c r="BO518"/>
  <c r="BN518"/>
  <c r="BM518"/>
  <c r="BL518"/>
  <c r="BK518"/>
  <c r="BJ518"/>
  <c r="BI518"/>
  <c r="BH518"/>
  <c r="BG518"/>
  <c r="BF518"/>
  <c r="BE518"/>
  <c r="BD518"/>
  <c r="BC518"/>
  <c r="BB518"/>
  <c r="BA518"/>
  <c r="AZ518"/>
  <c r="AX518"/>
  <c r="AW518"/>
  <c r="AV518"/>
  <c r="AC518"/>
  <c r="H518"/>
  <c r="G518"/>
  <c r="BT517"/>
  <c r="BS517"/>
  <c r="BR517"/>
  <c r="BQ517"/>
  <c r="BP517"/>
  <c r="BO517"/>
  <c r="BN517"/>
  <c r="BM517"/>
  <c r="BL517"/>
  <c r="BK517"/>
  <c r="BJ517"/>
  <c r="BI517"/>
  <c r="BH517"/>
  <c r="BG517"/>
  <c r="BF517"/>
  <c r="BE517"/>
  <c r="BD517"/>
  <c r="BC517"/>
  <c r="BB517"/>
  <c r="BA517"/>
  <c r="AZ517"/>
  <c r="AX517"/>
  <c r="AW517"/>
  <c r="AV517"/>
  <c r="AC517"/>
  <c r="H517"/>
  <c r="G517"/>
  <c r="BT516"/>
  <c r="BS516"/>
  <c r="BR516"/>
  <c r="BQ516"/>
  <c r="BP516"/>
  <c r="BO516"/>
  <c r="BN516"/>
  <c r="BM516"/>
  <c r="BL516"/>
  <c r="BK516"/>
  <c r="BJ516"/>
  <c r="BI516"/>
  <c r="BH516"/>
  <c r="BG516"/>
  <c r="BF516"/>
  <c r="BE516"/>
  <c r="BD516"/>
  <c r="BC516"/>
  <c r="BB516"/>
  <c r="BA516"/>
  <c r="AZ516"/>
  <c r="AX516"/>
  <c r="AW516"/>
  <c r="AV516"/>
  <c r="AC516"/>
  <c r="H516"/>
  <c r="G516"/>
  <c r="BT515"/>
  <c r="BS515"/>
  <c r="BR515"/>
  <c r="BQ515"/>
  <c r="BP515"/>
  <c r="BO515"/>
  <c r="BN515"/>
  <c r="BM515"/>
  <c r="BL515"/>
  <c r="BK515"/>
  <c r="BJ515"/>
  <c r="BI515"/>
  <c r="BH515"/>
  <c r="BG515"/>
  <c r="BF515"/>
  <c r="BE515"/>
  <c r="BD515"/>
  <c r="BC515"/>
  <c r="BB515"/>
  <c r="BA515"/>
  <c r="AZ515"/>
  <c r="AX515"/>
  <c r="AW515"/>
  <c r="AV515"/>
  <c r="AC515"/>
  <c r="H515"/>
  <c r="G515"/>
  <c r="BT514"/>
  <c r="BS514"/>
  <c r="BR514"/>
  <c r="BQ514"/>
  <c r="BP514"/>
  <c r="BO514"/>
  <c r="BN514"/>
  <c r="BM514"/>
  <c r="BL514"/>
  <c r="BK514"/>
  <c r="BJ514"/>
  <c r="BI514"/>
  <c r="BH514"/>
  <c r="BG514"/>
  <c r="BF514"/>
  <c r="BE514"/>
  <c r="BD514"/>
  <c r="BC514"/>
  <c r="BB514"/>
  <c r="BA514"/>
  <c r="AZ514"/>
  <c r="AX514"/>
  <c r="AW514"/>
  <c r="AV514"/>
  <c r="AC514"/>
  <c r="H514"/>
  <c r="G514"/>
  <c r="BT513"/>
  <c r="BS513"/>
  <c r="BR513"/>
  <c r="BQ513"/>
  <c r="BP513"/>
  <c r="BO513"/>
  <c r="BN513"/>
  <c r="BM513"/>
  <c r="BL513"/>
  <c r="BK513"/>
  <c r="BJ513"/>
  <c r="BI513"/>
  <c r="BH513"/>
  <c r="BG513"/>
  <c r="BF513"/>
  <c r="BE513"/>
  <c r="BD513"/>
  <c r="BC513"/>
  <c r="BB513"/>
  <c r="BA513"/>
  <c r="AZ513"/>
  <c r="AX513"/>
  <c r="AW513"/>
  <c r="AV513"/>
  <c r="AC513"/>
  <c r="H513"/>
  <c r="G513"/>
  <c r="BT512"/>
  <c r="BS512"/>
  <c r="BR512"/>
  <c r="BQ512"/>
  <c r="BP512"/>
  <c r="BO512"/>
  <c r="BN512"/>
  <c r="BM512"/>
  <c r="BL512"/>
  <c r="BK512"/>
  <c r="BJ512"/>
  <c r="BI512"/>
  <c r="BH512"/>
  <c r="BG512"/>
  <c r="BF512"/>
  <c r="BE512"/>
  <c r="BD512"/>
  <c r="BC512"/>
  <c r="BB512"/>
  <c r="BA512"/>
  <c r="AZ512"/>
  <c r="AX512"/>
  <c r="AW512"/>
  <c r="AV512"/>
  <c r="AC512"/>
  <c r="H512"/>
  <c r="G512"/>
  <c r="BT511"/>
  <c r="BS511"/>
  <c r="BR511"/>
  <c r="BQ511"/>
  <c r="BP511"/>
  <c r="BO511"/>
  <c r="BN511"/>
  <c r="BM511"/>
  <c r="BL511"/>
  <c r="BK511"/>
  <c r="BJ511"/>
  <c r="BI511"/>
  <c r="BH511"/>
  <c r="BG511"/>
  <c r="BF511"/>
  <c r="BE511"/>
  <c r="BD511"/>
  <c r="BC511"/>
  <c r="BB511"/>
  <c r="BA511"/>
  <c r="AZ511"/>
  <c r="AX511"/>
  <c r="AW511"/>
  <c r="AV511"/>
  <c r="AC511"/>
  <c r="H511"/>
  <c r="G511"/>
  <c r="BT510"/>
  <c r="BS510"/>
  <c r="BR510"/>
  <c r="BQ510"/>
  <c r="BP510"/>
  <c r="BO510"/>
  <c r="BN510"/>
  <c r="BM510"/>
  <c r="BL510"/>
  <c r="BK510"/>
  <c r="BJ510"/>
  <c r="BI510"/>
  <c r="BH510"/>
  <c r="BG510"/>
  <c r="BF510"/>
  <c r="BE510"/>
  <c r="BD510"/>
  <c r="BC510"/>
  <c r="BB510"/>
  <c r="BA510"/>
  <c r="AZ510"/>
  <c r="AX510"/>
  <c r="AW510"/>
  <c r="AV510"/>
  <c r="AC510"/>
  <c r="H510"/>
  <c r="G510"/>
  <c r="BT509"/>
  <c r="BS509"/>
  <c r="BR509"/>
  <c r="BQ509"/>
  <c r="BP509"/>
  <c r="BO509"/>
  <c r="BN509"/>
  <c r="BM509"/>
  <c r="BL509"/>
  <c r="BK509"/>
  <c r="BJ509"/>
  <c r="BI509"/>
  <c r="BH509"/>
  <c r="BG509"/>
  <c r="BF509"/>
  <c r="BE509"/>
  <c r="BD509"/>
  <c r="BC509"/>
  <c r="BB509"/>
  <c r="BA509"/>
  <c r="AZ509"/>
  <c r="AX509"/>
  <c r="AW509"/>
  <c r="AV509"/>
  <c r="AC509"/>
  <c r="H509"/>
  <c r="G509"/>
  <c r="BT508"/>
  <c r="BS508"/>
  <c r="BR508"/>
  <c r="BQ508"/>
  <c r="BP508"/>
  <c r="BO508"/>
  <c r="BN508"/>
  <c r="BM508"/>
  <c r="BL508"/>
  <c r="BK508"/>
  <c r="BJ508"/>
  <c r="BI508"/>
  <c r="BH508"/>
  <c r="BG508"/>
  <c r="BF508"/>
  <c r="BE508"/>
  <c r="BD508"/>
  <c r="BC508"/>
  <c r="BB508"/>
  <c r="BA508"/>
  <c r="AZ508"/>
  <c r="AX508"/>
  <c r="AW508"/>
  <c r="AV508"/>
  <c r="AC508"/>
  <c r="H508"/>
  <c r="G508"/>
  <c r="BT507"/>
  <c r="BS507"/>
  <c r="BR507"/>
  <c r="BQ507"/>
  <c r="BP507"/>
  <c r="BO507"/>
  <c r="BN507"/>
  <c r="BM507"/>
  <c r="BL507"/>
  <c r="BK507"/>
  <c r="BJ507"/>
  <c r="BI507"/>
  <c r="BH507"/>
  <c r="BG507"/>
  <c r="BF507"/>
  <c r="BE507"/>
  <c r="BD507"/>
  <c r="BC507"/>
  <c r="BB507"/>
  <c r="BA507"/>
  <c r="AZ507"/>
  <c r="AX507"/>
  <c r="AW507"/>
  <c r="AV507"/>
  <c r="AC507"/>
  <c r="H507"/>
  <c r="G507"/>
  <c r="BT506"/>
  <c r="BS506"/>
  <c r="BR506"/>
  <c r="BQ506"/>
  <c r="BP506"/>
  <c r="BO506"/>
  <c r="BN506"/>
  <c r="BM506"/>
  <c r="BL506"/>
  <c r="BK506"/>
  <c r="BJ506"/>
  <c r="BI506"/>
  <c r="BH506"/>
  <c r="BG506"/>
  <c r="BF506"/>
  <c r="BE506"/>
  <c r="BD506"/>
  <c r="BC506"/>
  <c r="BB506"/>
  <c r="BA506"/>
  <c r="AZ506"/>
  <c r="AX506"/>
  <c r="AW506"/>
  <c r="AV506"/>
  <c r="AC506"/>
  <c r="H506"/>
  <c r="G506"/>
  <c r="BT505"/>
  <c r="BS505"/>
  <c r="BR505"/>
  <c r="BQ505"/>
  <c r="BP505"/>
  <c r="BO505"/>
  <c r="BN505"/>
  <c r="BM505"/>
  <c r="BL505"/>
  <c r="BK505"/>
  <c r="BJ505"/>
  <c r="BI505"/>
  <c r="BH505"/>
  <c r="BG505"/>
  <c r="BF505"/>
  <c r="BE505"/>
  <c r="BD505"/>
  <c r="BC505"/>
  <c r="BB505"/>
  <c r="BA505"/>
  <c r="AZ505"/>
  <c r="AX505"/>
  <c r="AW505"/>
  <c r="AV505"/>
  <c r="AC505"/>
  <c r="H505"/>
  <c r="G505"/>
  <c r="BT504"/>
  <c r="BS504"/>
  <c r="BR504"/>
  <c r="BQ504"/>
  <c r="BP504"/>
  <c r="BO504"/>
  <c r="BN504"/>
  <c r="BM504"/>
  <c r="BL504"/>
  <c r="BK504"/>
  <c r="BJ504"/>
  <c r="BI504"/>
  <c r="BH504"/>
  <c r="BG504"/>
  <c r="BF504"/>
  <c r="BE504"/>
  <c r="BD504"/>
  <c r="BC504"/>
  <c r="BB504"/>
  <c r="BA504"/>
  <c r="AZ504"/>
  <c r="AX504"/>
  <c r="AW504"/>
  <c r="AV504"/>
  <c r="AC504"/>
  <c r="H504"/>
  <c r="G504"/>
  <c r="BT503"/>
  <c r="BS503"/>
  <c r="BR503"/>
  <c r="BQ503"/>
  <c r="BP503"/>
  <c r="BO503"/>
  <c r="BN503"/>
  <c r="BM503"/>
  <c r="BL503"/>
  <c r="BK503"/>
  <c r="BJ503"/>
  <c r="BI503"/>
  <c r="BH503"/>
  <c r="BG503"/>
  <c r="BF503"/>
  <c r="BE503"/>
  <c r="BD503"/>
  <c r="BC503"/>
  <c r="BB503"/>
  <c r="BA503"/>
  <c r="AZ503"/>
  <c r="AX503"/>
  <c r="AW503"/>
  <c r="AV503"/>
  <c r="AC503"/>
  <c r="H503"/>
  <c r="G503"/>
  <c r="BT502"/>
  <c r="BS502"/>
  <c r="BR502"/>
  <c r="BQ502"/>
  <c r="BP502"/>
  <c r="BO502"/>
  <c r="BN502"/>
  <c r="BM502"/>
  <c r="BL502"/>
  <c r="BK502"/>
  <c r="BJ502"/>
  <c r="BI502"/>
  <c r="BH502"/>
  <c r="BG502"/>
  <c r="BF502"/>
  <c r="BE502"/>
  <c r="BD502"/>
  <c r="BC502"/>
  <c r="BB502"/>
  <c r="BA502"/>
  <c r="AZ502"/>
  <c r="AX502"/>
  <c r="AW502"/>
  <c r="AV502"/>
  <c r="AC502"/>
  <c r="H502"/>
  <c r="G502"/>
  <c r="BT501"/>
  <c r="BS501"/>
  <c r="BR501"/>
  <c r="BQ501"/>
  <c r="BP501"/>
  <c r="BO501"/>
  <c r="BN501"/>
  <c r="BM501"/>
  <c r="BL501"/>
  <c r="BK501"/>
  <c r="BJ501"/>
  <c r="BI501"/>
  <c r="BH501"/>
  <c r="BG501"/>
  <c r="BF501"/>
  <c r="BE501"/>
  <c r="BD501"/>
  <c r="BC501"/>
  <c r="BB501"/>
  <c r="BA501"/>
  <c r="AZ501"/>
  <c r="AX501"/>
  <c r="AW501"/>
  <c r="AV501"/>
  <c r="AC501"/>
  <c r="H501"/>
  <c r="G501"/>
  <c r="BT500"/>
  <c r="BS500"/>
  <c r="BR500"/>
  <c r="BQ500"/>
  <c r="BP500"/>
  <c r="BO500"/>
  <c r="BN500"/>
  <c r="BM500"/>
  <c r="BL500"/>
  <c r="BK500"/>
  <c r="BJ500"/>
  <c r="BI500"/>
  <c r="BH500"/>
  <c r="BG500"/>
  <c r="BF500"/>
  <c r="BE500"/>
  <c r="BD500"/>
  <c r="BC500"/>
  <c r="BB500"/>
  <c r="BA500"/>
  <c r="AZ500"/>
  <c r="AX500"/>
  <c r="AW500"/>
  <c r="AV500"/>
  <c r="AC500"/>
  <c r="H500"/>
  <c r="G500"/>
  <c r="BT499"/>
  <c r="BS499"/>
  <c r="BR499"/>
  <c r="BQ499"/>
  <c r="BP499"/>
  <c r="BO499"/>
  <c r="BN499"/>
  <c r="BM499"/>
  <c r="BL499"/>
  <c r="BK499"/>
  <c r="BJ499"/>
  <c r="BI499"/>
  <c r="BH499"/>
  <c r="BG499"/>
  <c r="BF499"/>
  <c r="BE499"/>
  <c r="BD499"/>
  <c r="BC499"/>
  <c r="BB499"/>
  <c r="BA499"/>
  <c r="AZ499"/>
  <c r="AX499"/>
  <c r="AW499"/>
  <c r="AV499"/>
  <c r="AC499"/>
  <c r="H499"/>
  <c r="G499"/>
  <c r="BT498"/>
  <c r="BS498"/>
  <c r="BR498"/>
  <c r="BQ498"/>
  <c r="BP498"/>
  <c r="BO498"/>
  <c r="BN498"/>
  <c r="BM498"/>
  <c r="BL498"/>
  <c r="BK498"/>
  <c r="BJ498"/>
  <c r="BI498"/>
  <c r="BH498"/>
  <c r="BG498"/>
  <c r="BF498"/>
  <c r="BE498"/>
  <c r="BD498"/>
  <c r="BC498"/>
  <c r="BB498"/>
  <c r="BA498"/>
  <c r="AZ498"/>
  <c r="AX498"/>
  <c r="AW498"/>
  <c r="AV498"/>
  <c r="AC498"/>
  <c r="H498"/>
  <c r="G498"/>
  <c r="BT497"/>
  <c r="BS497"/>
  <c r="BR497"/>
  <c r="BQ497"/>
  <c r="BP497"/>
  <c r="BO497"/>
  <c r="BN497"/>
  <c r="BM497"/>
  <c r="BL497"/>
  <c r="BK497"/>
  <c r="BJ497"/>
  <c r="BI497"/>
  <c r="BH497"/>
  <c r="BG497"/>
  <c r="BF497"/>
  <c r="BE497"/>
  <c r="BD497"/>
  <c r="BC497"/>
  <c r="BB497"/>
  <c r="BA497"/>
  <c r="AZ497"/>
  <c r="AX497"/>
  <c r="AW497"/>
  <c r="AV497"/>
  <c r="AC497"/>
  <c r="H497"/>
  <c r="G497"/>
  <c r="BT496"/>
  <c r="BS496"/>
  <c r="BR496"/>
  <c r="BQ496"/>
  <c r="BP496"/>
  <c r="BO496"/>
  <c r="BN496"/>
  <c r="BM496"/>
  <c r="BL496"/>
  <c r="BK496"/>
  <c r="BJ496"/>
  <c r="BI496"/>
  <c r="BH496"/>
  <c r="BG496"/>
  <c r="BF496"/>
  <c r="BE496"/>
  <c r="BD496"/>
  <c r="BC496"/>
  <c r="BB496"/>
  <c r="BA496"/>
  <c r="AZ496"/>
  <c r="AX496"/>
  <c r="AW496"/>
  <c r="AV496"/>
  <c r="AC496"/>
  <c r="H496"/>
  <c r="G496"/>
  <c r="BT495"/>
  <c r="BS495"/>
  <c r="BR495"/>
  <c r="BQ495"/>
  <c r="BP495"/>
  <c r="BO495"/>
  <c r="BN495"/>
  <c r="BM495"/>
  <c r="BL495"/>
  <c r="BK495"/>
  <c r="BJ495"/>
  <c r="BI495"/>
  <c r="BH495"/>
  <c r="BG495"/>
  <c r="BF495"/>
  <c r="BE495"/>
  <c r="BD495"/>
  <c r="BC495"/>
  <c r="BB495"/>
  <c r="BA495"/>
  <c r="AZ495"/>
  <c r="AX495"/>
  <c r="AW495"/>
  <c r="AV495"/>
  <c r="AC495"/>
  <c r="H495"/>
  <c r="G495"/>
  <c r="BT494"/>
  <c r="BS494"/>
  <c r="BR494"/>
  <c r="BQ494"/>
  <c r="BP494"/>
  <c r="BO494"/>
  <c r="BN494"/>
  <c r="BM494"/>
  <c r="BL494"/>
  <c r="BK494"/>
  <c r="BJ494"/>
  <c r="BI494"/>
  <c r="BH494"/>
  <c r="BG494"/>
  <c r="BF494"/>
  <c r="BE494"/>
  <c r="BD494"/>
  <c r="BC494"/>
  <c r="BB494"/>
  <c r="BA494"/>
  <c r="AZ494"/>
  <c r="AX494"/>
  <c r="AW494"/>
  <c r="AV494"/>
  <c r="AC494"/>
  <c r="H494"/>
  <c r="G494"/>
  <c r="BT493"/>
  <c r="BS493"/>
  <c r="BR493"/>
  <c r="BQ493"/>
  <c r="BP493"/>
  <c r="BO493"/>
  <c r="BN493"/>
  <c r="BM493"/>
  <c r="BL493"/>
  <c r="BK493"/>
  <c r="BJ493"/>
  <c r="BI493"/>
  <c r="BH493"/>
  <c r="BG493"/>
  <c r="BF493"/>
  <c r="BE493"/>
  <c r="BD493"/>
  <c r="BC493"/>
  <c r="BB493"/>
  <c r="BA493"/>
  <c r="AZ493"/>
  <c r="AX493"/>
  <c r="AW493"/>
  <c r="AV493"/>
  <c r="AC493"/>
  <c r="H493"/>
  <c r="G49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Z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Z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Z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Z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Z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Z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Z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Z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Z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Z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Z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Z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Z459"/>
  <c r="AX459"/>
  <c r="AW459"/>
  <c r="AV459"/>
  <c r="AC459"/>
  <c r="H459"/>
  <c r="G459"/>
  <c r="BT458"/>
  <c r="BS458"/>
  <c r="BR458"/>
  <c r="BQ458"/>
  <c r="BP458"/>
  <c r="BO458"/>
  <c r="BN458"/>
  <c r="BM458"/>
  <c r="BL458"/>
  <c r="BK458"/>
  <c r="BJ458"/>
  <c r="BI458"/>
  <c r="BH458"/>
  <c r="BG458"/>
  <c r="BF458"/>
  <c r="BE458"/>
  <c r="BD458"/>
  <c r="BC458"/>
  <c r="BB458"/>
  <c r="BA458"/>
  <c r="AZ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Z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Z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Z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Z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Z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Z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Z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Z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Z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Z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Z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Z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Z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Z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Z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Z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Z391"/>
  <c r="AX391"/>
  <c r="AW391"/>
  <c r="AV391"/>
  <c r="AC391"/>
  <c r="H391"/>
  <c r="G391"/>
  <c r="BT390"/>
  <c r="BS390"/>
  <c r="BR390"/>
  <c r="BQ390"/>
  <c r="BP390"/>
  <c r="BO390"/>
  <c r="BN390"/>
  <c r="BM390"/>
  <c r="BL390"/>
  <c r="BK390"/>
  <c r="BJ390"/>
  <c r="BI390"/>
  <c r="BH390"/>
  <c r="BG390"/>
  <c r="BF390"/>
  <c r="BE390"/>
  <c r="BD390"/>
  <c r="BC390"/>
  <c r="BB390"/>
  <c r="BA390"/>
  <c r="AZ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BT388"/>
  <c r="BS388"/>
  <c r="BR388"/>
  <c r="BQ388"/>
  <c r="BP388"/>
  <c r="BO388"/>
  <c r="BN388"/>
  <c r="BM388"/>
  <c r="BL388"/>
  <c r="BK388"/>
  <c r="BJ388"/>
  <c r="BI388"/>
  <c r="BH388"/>
  <c r="BG388"/>
  <c r="BF388"/>
  <c r="BE388"/>
  <c r="BD388"/>
  <c r="BC388"/>
  <c r="BB388"/>
  <c r="BA388"/>
  <c r="AZ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Z385"/>
  <c r="AX385"/>
  <c r="AW385"/>
  <c r="AV385"/>
  <c r="AC385"/>
  <c r="H385"/>
  <c r="G385"/>
  <c r="BT384"/>
  <c r="BS384"/>
  <c r="BR384"/>
  <c r="BQ384"/>
  <c r="BP384"/>
  <c r="BO384"/>
  <c r="BN384"/>
  <c r="BM384"/>
  <c r="BL384"/>
  <c r="BK384"/>
  <c r="BJ384"/>
  <c r="BI384"/>
  <c r="BH384"/>
  <c r="BG384"/>
  <c r="BF384"/>
  <c r="BE384"/>
  <c r="BD384"/>
  <c r="BC384"/>
  <c r="BB384"/>
  <c r="BA384"/>
  <c r="AZ384"/>
  <c r="AX384"/>
  <c r="AW384"/>
  <c r="AV384"/>
  <c r="AC384"/>
  <c r="H384"/>
  <c r="G384"/>
  <c r="BT383"/>
  <c r="BS383"/>
  <c r="BR383"/>
  <c r="BQ383"/>
  <c r="BP383"/>
  <c r="BO383"/>
  <c r="BN383"/>
  <c r="BM383"/>
  <c r="BL383"/>
  <c r="BK383"/>
  <c r="BJ383"/>
  <c r="BI383"/>
  <c r="BH383"/>
  <c r="BG383"/>
  <c r="BF383"/>
  <c r="BE383"/>
  <c r="BD383"/>
  <c r="BC383"/>
  <c r="BB383"/>
  <c r="BA383"/>
  <c r="AZ383"/>
  <c r="AX383"/>
  <c r="AW383"/>
  <c r="AV383"/>
  <c r="AC383"/>
  <c r="H383"/>
  <c r="G383"/>
  <c r="BT382"/>
  <c r="BS382"/>
  <c r="BR382"/>
  <c r="BQ382"/>
  <c r="BP382"/>
  <c r="BO382"/>
  <c r="BN382"/>
  <c r="BM382"/>
  <c r="BL382"/>
  <c r="BK382"/>
  <c r="BJ382"/>
  <c r="BI382"/>
  <c r="BH382"/>
  <c r="BG382"/>
  <c r="BF382"/>
  <c r="BE382"/>
  <c r="BD382"/>
  <c r="BC382"/>
  <c r="BB382"/>
  <c r="BA382"/>
  <c r="AZ382"/>
  <c r="AX382"/>
  <c r="AW382"/>
  <c r="AV382"/>
  <c r="AC382"/>
  <c r="H382"/>
  <c r="G382"/>
  <c r="BT381"/>
  <c r="BS381"/>
  <c r="BR381"/>
  <c r="BQ381"/>
  <c r="BP381"/>
  <c r="BO381"/>
  <c r="BN381"/>
  <c r="BM381"/>
  <c r="BL381"/>
  <c r="BK381"/>
  <c r="BJ381"/>
  <c r="BI381"/>
  <c r="BH381"/>
  <c r="BG381"/>
  <c r="BF381"/>
  <c r="BE381"/>
  <c r="BD381"/>
  <c r="BC381"/>
  <c r="BB381"/>
  <c r="BA381"/>
  <c r="AZ381"/>
  <c r="AX381"/>
  <c r="AW381"/>
  <c r="AV381"/>
  <c r="AC381"/>
  <c r="H381"/>
  <c r="G381"/>
  <c r="BT380"/>
  <c r="BS380"/>
  <c r="BR380"/>
  <c r="BQ380"/>
  <c r="BP380"/>
  <c r="BO380"/>
  <c r="BN380"/>
  <c r="BM380"/>
  <c r="BL380"/>
  <c r="BK380"/>
  <c r="BJ380"/>
  <c r="BI380"/>
  <c r="BH380"/>
  <c r="BG380"/>
  <c r="BF380"/>
  <c r="BE380"/>
  <c r="BD380"/>
  <c r="BC380"/>
  <c r="BB380"/>
  <c r="BA380"/>
  <c r="AZ380"/>
  <c r="AX380"/>
  <c r="AW380"/>
  <c r="AV380"/>
  <c r="AC380"/>
  <c r="H380"/>
  <c r="G380"/>
  <c r="BT379"/>
  <c r="BS379"/>
  <c r="BR379"/>
  <c r="BQ379"/>
  <c r="BP379"/>
  <c r="BO379"/>
  <c r="BN379"/>
  <c r="BM379"/>
  <c r="BL379"/>
  <c r="BK379"/>
  <c r="BJ379"/>
  <c r="BI379"/>
  <c r="BH379"/>
  <c r="BG379"/>
  <c r="BF379"/>
  <c r="BE379"/>
  <c r="BD379"/>
  <c r="BC379"/>
  <c r="BB379"/>
  <c r="BA379"/>
  <c r="AZ379"/>
  <c r="AX379"/>
  <c r="AW379"/>
  <c r="AV379"/>
  <c r="AC379"/>
  <c r="H379"/>
  <c r="G379"/>
  <c r="BT378"/>
  <c r="BS378"/>
  <c r="BR378"/>
  <c r="BQ378"/>
  <c r="BP378"/>
  <c r="BO378"/>
  <c r="BN378"/>
  <c r="BM378"/>
  <c r="BL378"/>
  <c r="BK378"/>
  <c r="BJ378"/>
  <c r="BI378"/>
  <c r="BH378"/>
  <c r="BG378"/>
  <c r="BF378"/>
  <c r="BE378"/>
  <c r="BD378"/>
  <c r="BC378"/>
  <c r="BB378"/>
  <c r="BA378"/>
  <c r="AZ378"/>
  <c r="AX378"/>
  <c r="AW378"/>
  <c r="AV378"/>
  <c r="AC378"/>
  <c r="H378"/>
  <c r="G378"/>
  <c r="BT377"/>
  <c r="BS377"/>
  <c r="BR377"/>
  <c r="BQ377"/>
  <c r="BP377"/>
  <c r="BO377"/>
  <c r="BN377"/>
  <c r="BM377"/>
  <c r="BL377"/>
  <c r="BK377"/>
  <c r="BJ377"/>
  <c r="BI377"/>
  <c r="BH377"/>
  <c r="BG377"/>
  <c r="BF377"/>
  <c r="BE377"/>
  <c r="BD377"/>
  <c r="BC377"/>
  <c r="BB377"/>
  <c r="BA377"/>
  <c r="AZ377"/>
  <c r="AX377"/>
  <c r="AW377"/>
  <c r="AV377"/>
  <c r="AC377"/>
  <c r="H377"/>
  <c r="G377"/>
  <c r="BT376"/>
  <c r="BS376"/>
  <c r="BR376"/>
  <c r="BQ376"/>
  <c r="BP376"/>
  <c r="BO376"/>
  <c r="BN376"/>
  <c r="BM376"/>
  <c r="BL376"/>
  <c r="BK376"/>
  <c r="BJ376"/>
  <c r="BI376"/>
  <c r="BH376"/>
  <c r="BG376"/>
  <c r="BF376"/>
  <c r="BE376"/>
  <c r="BD376"/>
  <c r="BC376"/>
  <c r="BB376"/>
  <c r="BA376"/>
  <c r="AZ376"/>
  <c r="AX376"/>
  <c r="AW376"/>
  <c r="AV376"/>
  <c r="AC376"/>
  <c r="H376"/>
  <c r="G376"/>
  <c r="BT375"/>
  <c r="BS375"/>
  <c r="BR375"/>
  <c r="BQ375"/>
  <c r="BP375"/>
  <c r="BO375"/>
  <c r="BN375"/>
  <c r="BM375"/>
  <c r="BL375"/>
  <c r="BK375"/>
  <c r="BJ375"/>
  <c r="BI375"/>
  <c r="BH375"/>
  <c r="BG375"/>
  <c r="BF375"/>
  <c r="BE375"/>
  <c r="BD375"/>
  <c r="BC375"/>
  <c r="BB375"/>
  <c r="BA375"/>
  <c r="AZ375"/>
  <c r="AX375"/>
  <c r="AW375"/>
  <c r="AV375"/>
  <c r="AC375"/>
  <c r="H375"/>
  <c r="G375"/>
  <c r="BT374"/>
  <c r="BS374"/>
  <c r="BR374"/>
  <c r="BQ374"/>
  <c r="BP374"/>
  <c r="BO374"/>
  <c r="BN374"/>
  <c r="BM374"/>
  <c r="BL374"/>
  <c r="BK374"/>
  <c r="BJ374"/>
  <c r="BI374"/>
  <c r="BH374"/>
  <c r="BG374"/>
  <c r="BF374"/>
  <c r="BE374"/>
  <c r="BD374"/>
  <c r="BC374"/>
  <c r="BB374"/>
  <c r="BA374"/>
  <c r="AZ374"/>
  <c r="AX374"/>
  <c r="AW374"/>
  <c r="AV374"/>
  <c r="AC374"/>
  <c r="H374"/>
  <c r="G374"/>
  <c r="BT373"/>
  <c r="BS373"/>
  <c r="BR373"/>
  <c r="BQ373"/>
  <c r="BP373"/>
  <c r="BO373"/>
  <c r="BN373"/>
  <c r="BM373"/>
  <c r="BL373"/>
  <c r="BK373"/>
  <c r="BJ373"/>
  <c r="BI373"/>
  <c r="BH373"/>
  <c r="BG373"/>
  <c r="BF373"/>
  <c r="BE373"/>
  <c r="BD373"/>
  <c r="BC373"/>
  <c r="BB373"/>
  <c r="BA373"/>
  <c r="AZ373"/>
  <c r="AX373"/>
  <c r="AW373"/>
  <c r="AV373"/>
  <c r="AC373"/>
  <c r="H373"/>
  <c r="G373"/>
  <c r="BT372"/>
  <c r="BS372"/>
  <c r="BR372"/>
  <c r="BQ372"/>
  <c r="BP372"/>
  <c r="BO372"/>
  <c r="BN372"/>
  <c r="BM372"/>
  <c r="BL372"/>
  <c r="BK372"/>
  <c r="BJ372"/>
  <c r="BI372"/>
  <c r="BH372"/>
  <c r="BG372"/>
  <c r="BF372"/>
  <c r="BE372"/>
  <c r="BD372"/>
  <c r="BC372"/>
  <c r="BB372"/>
  <c r="BA372"/>
  <c r="AZ372"/>
  <c r="AX372"/>
  <c r="AW372"/>
  <c r="AV372"/>
  <c r="AC372"/>
  <c r="H372"/>
  <c r="G372"/>
  <c r="BT371"/>
  <c r="BS371"/>
  <c r="BR371"/>
  <c r="BQ371"/>
  <c r="BP371"/>
  <c r="BO371"/>
  <c r="BN371"/>
  <c r="BM371"/>
  <c r="BL371"/>
  <c r="BK371"/>
  <c r="BJ371"/>
  <c r="BI371"/>
  <c r="BH371"/>
  <c r="BG371"/>
  <c r="BF371"/>
  <c r="BE371"/>
  <c r="BD371"/>
  <c r="BC371"/>
  <c r="BB371"/>
  <c r="BA371"/>
  <c r="AZ371"/>
  <c r="AX371"/>
  <c r="AW371"/>
  <c r="AV371"/>
  <c r="AC371"/>
  <c r="H371"/>
  <c r="G371"/>
  <c r="BT370"/>
  <c r="BS370"/>
  <c r="BR370"/>
  <c r="BQ370"/>
  <c r="BP370"/>
  <c r="BO370"/>
  <c r="BN370"/>
  <c r="BM370"/>
  <c r="BL370"/>
  <c r="BK370"/>
  <c r="BJ370"/>
  <c r="BI370"/>
  <c r="BH370"/>
  <c r="BG370"/>
  <c r="BF370"/>
  <c r="BE370"/>
  <c r="BD370"/>
  <c r="BC370"/>
  <c r="BB370"/>
  <c r="BA370"/>
  <c r="AZ370"/>
  <c r="AX370"/>
  <c r="AW370"/>
  <c r="AV370"/>
  <c r="AC370"/>
  <c r="H370"/>
  <c r="G370"/>
  <c r="BT369"/>
  <c r="BS369"/>
  <c r="BR369"/>
  <c r="BQ369"/>
  <c r="BP369"/>
  <c r="BO369"/>
  <c r="BN369"/>
  <c r="BM369"/>
  <c r="BL369"/>
  <c r="BK369"/>
  <c r="BJ369"/>
  <c r="BI369"/>
  <c r="BH369"/>
  <c r="BG369"/>
  <c r="BF369"/>
  <c r="BE369"/>
  <c r="BD369"/>
  <c r="BC369"/>
  <c r="BB369"/>
  <c r="BA369"/>
  <c r="AZ369"/>
  <c r="AX369"/>
  <c r="AW369"/>
  <c r="AV369"/>
  <c r="AC369"/>
  <c r="H369"/>
  <c r="G369"/>
  <c r="BT368"/>
  <c r="BS368"/>
  <c r="BR368"/>
  <c r="BQ368"/>
  <c r="BP368"/>
  <c r="BO368"/>
  <c r="BN368"/>
  <c r="BM368"/>
  <c r="BL368"/>
  <c r="BK368"/>
  <c r="BJ368"/>
  <c r="BI368"/>
  <c r="BH368"/>
  <c r="BG368"/>
  <c r="BF368"/>
  <c r="BE368"/>
  <c r="BD368"/>
  <c r="BC368"/>
  <c r="BB368"/>
  <c r="BA368"/>
  <c r="AZ368"/>
  <c r="AX368"/>
  <c r="AW368"/>
  <c r="AV368"/>
  <c r="AC368"/>
  <c r="H368"/>
  <c r="G368"/>
  <c r="BT367"/>
  <c r="BS367"/>
  <c r="BR367"/>
  <c r="BQ367"/>
  <c r="BP367"/>
  <c r="BO367"/>
  <c r="BN367"/>
  <c r="BM367"/>
  <c r="BL367"/>
  <c r="BK367"/>
  <c r="BJ367"/>
  <c r="BI367"/>
  <c r="BH367"/>
  <c r="BG367"/>
  <c r="BF367"/>
  <c r="BE367"/>
  <c r="BD367"/>
  <c r="BC367"/>
  <c r="BB367"/>
  <c r="BA367"/>
  <c r="AZ367"/>
  <c r="AX367"/>
  <c r="AW367"/>
  <c r="AV367"/>
  <c r="AC367"/>
  <c r="H367"/>
  <c r="G367"/>
  <c r="BT366"/>
  <c r="BS366"/>
  <c r="BR366"/>
  <c r="BQ366"/>
  <c r="BP366"/>
  <c r="BO366"/>
  <c r="BN366"/>
  <c r="BM366"/>
  <c r="BL366"/>
  <c r="BK366"/>
  <c r="BJ366"/>
  <c r="BI366"/>
  <c r="BH366"/>
  <c r="BG366"/>
  <c r="BF366"/>
  <c r="BE366"/>
  <c r="BD366"/>
  <c r="BC366"/>
  <c r="BB366"/>
  <c r="BA366"/>
  <c r="AZ366"/>
  <c r="AX366"/>
  <c r="AW366"/>
  <c r="AV366"/>
  <c r="AC366"/>
  <c r="H366"/>
  <c r="G366"/>
  <c r="BT365"/>
  <c r="BS365"/>
  <c r="BR365"/>
  <c r="BQ365"/>
  <c r="BP365"/>
  <c r="BO365"/>
  <c r="BN365"/>
  <c r="BM365"/>
  <c r="BL365"/>
  <c r="BK365"/>
  <c r="BJ365"/>
  <c r="BI365"/>
  <c r="BH365"/>
  <c r="BG365"/>
  <c r="BF365"/>
  <c r="BE365"/>
  <c r="BD365"/>
  <c r="BC365"/>
  <c r="BB365"/>
  <c r="BA365"/>
  <c r="AZ365"/>
  <c r="AX365"/>
  <c r="AW365"/>
  <c r="AV365"/>
  <c r="AC365"/>
  <c r="H365"/>
  <c r="G365"/>
  <c r="BT364"/>
  <c r="BS364"/>
  <c r="BR364"/>
  <c r="BQ364"/>
  <c r="BP364"/>
  <c r="BO364"/>
  <c r="BN364"/>
  <c r="BM364"/>
  <c r="BL364"/>
  <c r="BK364"/>
  <c r="BJ364"/>
  <c r="BI364"/>
  <c r="BH364"/>
  <c r="BG364"/>
  <c r="BF364"/>
  <c r="BE364"/>
  <c r="BD364"/>
  <c r="BC364"/>
  <c r="BB364"/>
  <c r="BA364"/>
  <c r="AZ364"/>
  <c r="AX364"/>
  <c r="AW364"/>
  <c r="AV364"/>
  <c r="AC364"/>
  <c r="H364"/>
  <c r="G364"/>
  <c r="BT363"/>
  <c r="BS363"/>
  <c r="BR363"/>
  <c r="BQ363"/>
  <c r="BP363"/>
  <c r="BO363"/>
  <c r="BN363"/>
  <c r="BM363"/>
  <c r="BL363"/>
  <c r="BK363"/>
  <c r="BJ363"/>
  <c r="BI363"/>
  <c r="BH363"/>
  <c r="BG363"/>
  <c r="BF363"/>
  <c r="BE363"/>
  <c r="BD363"/>
  <c r="BC363"/>
  <c r="BB363"/>
  <c r="BA363"/>
  <c r="AZ363"/>
  <c r="AX363"/>
  <c r="AW363"/>
  <c r="AV363"/>
  <c r="AC363"/>
  <c r="H363"/>
  <c r="G363"/>
  <c r="BT362"/>
  <c r="BS362"/>
  <c r="BR362"/>
  <c r="BQ362"/>
  <c r="BP362"/>
  <c r="BO362"/>
  <c r="BN362"/>
  <c r="BM362"/>
  <c r="BL362"/>
  <c r="BK362"/>
  <c r="BJ362"/>
  <c r="BI362"/>
  <c r="BH362"/>
  <c r="BG362"/>
  <c r="BF362"/>
  <c r="BE362"/>
  <c r="BD362"/>
  <c r="BC362"/>
  <c r="BB362"/>
  <c r="BA362"/>
  <c r="AZ362"/>
  <c r="AX362"/>
  <c r="AW362"/>
  <c r="AV362"/>
  <c r="AC362"/>
  <c r="H362"/>
  <c r="G362"/>
  <c r="BT361"/>
  <c r="BS361"/>
  <c r="BR361"/>
  <c r="BQ361"/>
  <c r="BP361"/>
  <c r="BO361"/>
  <c r="BN361"/>
  <c r="BM361"/>
  <c r="BL361"/>
  <c r="BK361"/>
  <c r="BJ361"/>
  <c r="BI361"/>
  <c r="BH361"/>
  <c r="BG361"/>
  <c r="BF361"/>
  <c r="BE361"/>
  <c r="BD361"/>
  <c r="BC361"/>
  <c r="BB361"/>
  <c r="BA361"/>
  <c r="AZ361"/>
  <c r="AX361"/>
  <c r="AW361"/>
  <c r="AV361"/>
  <c r="AC361"/>
  <c r="H361"/>
  <c r="G361"/>
  <c r="BT360"/>
  <c r="BS360"/>
  <c r="BR360"/>
  <c r="BQ360"/>
  <c r="BP360"/>
  <c r="BO360"/>
  <c r="BN360"/>
  <c r="BM360"/>
  <c r="BL360"/>
  <c r="BK360"/>
  <c r="BJ360"/>
  <c r="BI360"/>
  <c r="BH360"/>
  <c r="BG360"/>
  <c r="BF360"/>
  <c r="BE360"/>
  <c r="BD360"/>
  <c r="BC360"/>
  <c r="BB360"/>
  <c r="BA360"/>
  <c r="AZ360"/>
  <c r="AX360"/>
  <c r="AW360"/>
  <c r="AV360"/>
  <c r="AC360"/>
  <c r="H360"/>
  <c r="G360"/>
  <c r="BT359"/>
  <c r="BS359"/>
  <c r="BR359"/>
  <c r="BQ359"/>
  <c r="BP359"/>
  <c r="BO359"/>
  <c r="BN359"/>
  <c r="BM359"/>
  <c r="BL359"/>
  <c r="BK359"/>
  <c r="BJ359"/>
  <c r="BI359"/>
  <c r="BH359"/>
  <c r="BG359"/>
  <c r="BF359"/>
  <c r="BE359"/>
  <c r="BD359"/>
  <c r="BC359"/>
  <c r="BB359"/>
  <c r="BA359"/>
  <c r="AZ359"/>
  <c r="AX359"/>
  <c r="AW359"/>
  <c r="AV359"/>
  <c r="AC359"/>
  <c r="H359"/>
  <c r="G359"/>
  <c r="BT358"/>
  <c r="BS358"/>
  <c r="BR358"/>
  <c r="BQ358"/>
  <c r="BP358"/>
  <c r="BO358"/>
  <c r="BN358"/>
  <c r="BM358"/>
  <c r="BL358"/>
  <c r="BK358"/>
  <c r="BJ358"/>
  <c r="BI358"/>
  <c r="BH358"/>
  <c r="BG358"/>
  <c r="BF358"/>
  <c r="BE358"/>
  <c r="BD358"/>
  <c r="BC358"/>
  <c r="BB358"/>
  <c r="BA358"/>
  <c r="AZ358"/>
  <c r="AX358"/>
  <c r="AW358"/>
  <c r="AV358"/>
  <c r="AC358"/>
  <c r="H358"/>
  <c r="G358"/>
  <c r="BT357"/>
  <c r="BS357"/>
  <c r="BR357"/>
  <c r="BQ357"/>
  <c r="BP357"/>
  <c r="BO357"/>
  <c r="BN357"/>
  <c r="BM357"/>
  <c r="BL357"/>
  <c r="BK357"/>
  <c r="BJ357"/>
  <c r="BI357"/>
  <c r="BH357"/>
  <c r="BG357"/>
  <c r="BF357"/>
  <c r="BE357"/>
  <c r="BD357"/>
  <c r="BC357"/>
  <c r="BB357"/>
  <c r="BA357"/>
  <c r="AZ357"/>
  <c r="AX357"/>
  <c r="AW357"/>
  <c r="AV357"/>
  <c r="AC357"/>
  <c r="H357"/>
  <c r="G357"/>
  <c r="BT356"/>
  <c r="BS356"/>
  <c r="BR356"/>
  <c r="BQ356"/>
  <c r="BP356"/>
  <c r="BO356"/>
  <c r="BN356"/>
  <c r="BM356"/>
  <c r="BL356"/>
  <c r="BK356"/>
  <c r="BJ356"/>
  <c r="BI356"/>
  <c r="BH356"/>
  <c r="BG356"/>
  <c r="BF356"/>
  <c r="BE356"/>
  <c r="BD356"/>
  <c r="BC356"/>
  <c r="BB356"/>
  <c r="BA356"/>
  <c r="AZ356"/>
  <c r="AX356"/>
  <c r="AW356"/>
  <c r="AV356"/>
  <c r="AC356"/>
  <c r="H356"/>
  <c r="G356"/>
  <c r="BT355"/>
  <c r="BS355"/>
  <c r="BR355"/>
  <c r="BQ355"/>
  <c r="BP355"/>
  <c r="BO355"/>
  <c r="BN355"/>
  <c r="BM355"/>
  <c r="BL355"/>
  <c r="BK355"/>
  <c r="BJ355"/>
  <c r="BI355"/>
  <c r="BH355"/>
  <c r="BG355"/>
  <c r="BF355"/>
  <c r="BE355"/>
  <c r="BD355"/>
  <c r="BC355"/>
  <c r="BB355"/>
  <c r="BA355"/>
  <c r="AZ355"/>
  <c r="AX355"/>
  <c r="AW355"/>
  <c r="AV355"/>
  <c r="AC355"/>
  <c r="H355"/>
  <c r="G355"/>
  <c r="BT354"/>
  <c r="BS354"/>
  <c r="BR354"/>
  <c r="BQ354"/>
  <c r="BP354"/>
  <c r="BO354"/>
  <c r="BN354"/>
  <c r="BM354"/>
  <c r="BL354"/>
  <c r="BK354"/>
  <c r="BJ354"/>
  <c r="BI354"/>
  <c r="BH354"/>
  <c r="BG354"/>
  <c r="BF354"/>
  <c r="BE354"/>
  <c r="BD354"/>
  <c r="BC354"/>
  <c r="BB354"/>
  <c r="BA354"/>
  <c r="AZ354"/>
  <c r="AX354"/>
  <c r="AW354"/>
  <c r="AV354"/>
  <c r="AC354"/>
  <c r="H354"/>
  <c r="G354"/>
  <c r="BT353"/>
  <c r="BS353"/>
  <c r="BR353"/>
  <c r="BQ353"/>
  <c r="BP353"/>
  <c r="BO353"/>
  <c r="BN353"/>
  <c r="BM353"/>
  <c r="BL353"/>
  <c r="BK353"/>
  <c r="BJ353"/>
  <c r="BI353"/>
  <c r="BH353"/>
  <c r="BG353"/>
  <c r="BF353"/>
  <c r="BE353"/>
  <c r="BD353"/>
  <c r="BC353"/>
  <c r="BB353"/>
  <c r="BA353"/>
  <c r="AZ353"/>
  <c r="AX353"/>
  <c r="AW353"/>
  <c r="AV353"/>
  <c r="AC353"/>
  <c r="H353"/>
  <c r="G353"/>
  <c r="BT352"/>
  <c r="BS352"/>
  <c r="BR352"/>
  <c r="BQ352"/>
  <c r="BP352"/>
  <c r="BO352"/>
  <c r="BN352"/>
  <c r="BM352"/>
  <c r="BL352"/>
  <c r="BK352"/>
  <c r="BJ352"/>
  <c r="BI352"/>
  <c r="BH352"/>
  <c r="BG352"/>
  <c r="BF352"/>
  <c r="BE352"/>
  <c r="BD352"/>
  <c r="BC352"/>
  <c r="BB352"/>
  <c r="BA352"/>
  <c r="AZ352"/>
  <c r="AX352"/>
  <c r="AW352"/>
  <c r="AV352"/>
  <c r="AC352"/>
  <c r="H352"/>
  <c r="G352"/>
  <c r="BT351"/>
  <c r="BS351"/>
  <c r="BR351"/>
  <c r="BQ351"/>
  <c r="BP351"/>
  <c r="BO351"/>
  <c r="BN351"/>
  <c r="BM351"/>
  <c r="BL351"/>
  <c r="BK351"/>
  <c r="BJ351"/>
  <c r="BI351"/>
  <c r="BH351"/>
  <c r="BG351"/>
  <c r="BF351"/>
  <c r="BE351"/>
  <c r="BD351"/>
  <c r="BC351"/>
  <c r="BB351"/>
  <c r="BA351"/>
  <c r="AZ351"/>
  <c r="AX351"/>
  <c r="AW351"/>
  <c r="AV351"/>
  <c r="AC351"/>
  <c r="H351"/>
  <c r="G351"/>
  <c r="BT350"/>
  <c r="BS350"/>
  <c r="BR350"/>
  <c r="BQ350"/>
  <c r="BP350"/>
  <c r="BO350"/>
  <c r="BN350"/>
  <c r="BM350"/>
  <c r="BL350"/>
  <c r="BK350"/>
  <c r="BJ350"/>
  <c r="BI350"/>
  <c r="BH350"/>
  <c r="BG350"/>
  <c r="BF350"/>
  <c r="BE350"/>
  <c r="BD350"/>
  <c r="BC350"/>
  <c r="BB350"/>
  <c r="BA350"/>
  <c r="AZ350"/>
  <c r="AX350"/>
  <c r="AW350"/>
  <c r="AV350"/>
  <c r="AC350"/>
  <c r="H350"/>
  <c r="G350"/>
  <c r="BT349"/>
  <c r="BS349"/>
  <c r="BR349"/>
  <c r="BQ349"/>
  <c r="BP349"/>
  <c r="BO349"/>
  <c r="BN349"/>
  <c r="BM349"/>
  <c r="BL349"/>
  <c r="BK349"/>
  <c r="BJ349"/>
  <c r="BI349"/>
  <c r="BH349"/>
  <c r="BG349"/>
  <c r="BF349"/>
  <c r="BE349"/>
  <c r="BD349"/>
  <c r="BC349"/>
  <c r="BB349"/>
  <c r="BA349"/>
  <c r="AZ349"/>
  <c r="AX349"/>
  <c r="AW349"/>
  <c r="AV349"/>
  <c r="AC349"/>
  <c r="H349"/>
  <c r="G349"/>
  <c r="BT348"/>
  <c r="BS348"/>
  <c r="BR348"/>
  <c r="BQ348"/>
  <c r="BP348"/>
  <c r="BO348"/>
  <c r="BN348"/>
  <c r="BM348"/>
  <c r="BL348"/>
  <c r="BK348"/>
  <c r="BJ348"/>
  <c r="BI348"/>
  <c r="BH348"/>
  <c r="BG348"/>
  <c r="BF348"/>
  <c r="BE348"/>
  <c r="BD348"/>
  <c r="BC348"/>
  <c r="BB348"/>
  <c r="BA348"/>
  <c r="AZ348"/>
  <c r="AX348"/>
  <c r="AW348"/>
  <c r="AV348"/>
  <c r="AC348"/>
  <c r="H348"/>
  <c r="G348"/>
  <c r="BT347"/>
  <c r="BS347"/>
  <c r="BR347"/>
  <c r="BQ347"/>
  <c r="BP347"/>
  <c r="BO347"/>
  <c r="BN347"/>
  <c r="BM347"/>
  <c r="BL347"/>
  <c r="BK347"/>
  <c r="BJ347"/>
  <c r="BI347"/>
  <c r="BH347"/>
  <c r="BG347"/>
  <c r="BF347"/>
  <c r="BE347"/>
  <c r="BD347"/>
  <c r="BC347"/>
  <c r="BB347"/>
  <c r="BA347"/>
  <c r="AZ347"/>
  <c r="AX347"/>
  <c r="AW347"/>
  <c r="AV347"/>
  <c r="AC347"/>
  <c r="H347"/>
  <c r="G347"/>
  <c r="BT346"/>
  <c r="BS346"/>
  <c r="BR346"/>
  <c r="BQ346"/>
  <c r="BP346"/>
  <c r="BO346"/>
  <c r="BN346"/>
  <c r="BM346"/>
  <c r="BL346"/>
  <c r="BK346"/>
  <c r="BJ346"/>
  <c r="BI346"/>
  <c r="BH346"/>
  <c r="BG346"/>
  <c r="BF346"/>
  <c r="BE346"/>
  <c r="BD346"/>
  <c r="BC346"/>
  <c r="BB346"/>
  <c r="BA346"/>
  <c r="AZ346"/>
  <c r="AX346"/>
  <c r="AW346"/>
  <c r="AV346"/>
  <c r="AC346"/>
  <c r="H346"/>
  <c r="G346"/>
  <c r="BT345"/>
  <c r="BS345"/>
  <c r="BR345"/>
  <c r="BQ345"/>
  <c r="BP345"/>
  <c r="BO345"/>
  <c r="BN345"/>
  <c r="BM345"/>
  <c r="BL345"/>
  <c r="BK345"/>
  <c r="BJ345"/>
  <c r="BI345"/>
  <c r="BH345"/>
  <c r="BG345"/>
  <c r="BF345"/>
  <c r="BE345"/>
  <c r="BD345"/>
  <c r="BC345"/>
  <c r="BB345"/>
  <c r="BA345"/>
  <c r="AZ345"/>
  <c r="AX345"/>
  <c r="AW345"/>
  <c r="AV345"/>
  <c r="AC345"/>
  <c r="H345"/>
  <c r="G345"/>
  <c r="BT344"/>
  <c r="BS344"/>
  <c r="BR344"/>
  <c r="BQ344"/>
  <c r="BP344"/>
  <c r="BO344"/>
  <c r="BN344"/>
  <c r="BM344"/>
  <c r="BL344"/>
  <c r="BK344"/>
  <c r="BJ344"/>
  <c r="BI344"/>
  <c r="BH344"/>
  <c r="BG344"/>
  <c r="BF344"/>
  <c r="BE344"/>
  <c r="BD344"/>
  <c r="BC344"/>
  <c r="BB344"/>
  <c r="BA344"/>
  <c r="AZ344"/>
  <c r="AX344"/>
  <c r="AW344"/>
  <c r="AV344"/>
  <c r="AC344"/>
  <c r="H344"/>
  <c r="G344"/>
  <c r="BT343"/>
  <c r="BS343"/>
  <c r="BR343"/>
  <c r="BQ343"/>
  <c r="BP343"/>
  <c r="BO343"/>
  <c r="BN343"/>
  <c r="BM343"/>
  <c r="BL343"/>
  <c r="BK343"/>
  <c r="BJ343"/>
  <c r="BI343"/>
  <c r="BH343"/>
  <c r="BG343"/>
  <c r="BF343"/>
  <c r="BE343"/>
  <c r="BD343"/>
  <c r="BC343"/>
  <c r="BB343"/>
  <c r="BA343"/>
  <c r="AZ343"/>
  <c r="AX343"/>
  <c r="AW343"/>
  <c r="AV343"/>
  <c r="AC343"/>
  <c r="H343"/>
  <c r="G343"/>
  <c r="BT342"/>
  <c r="BS342"/>
  <c r="BR342"/>
  <c r="BQ342"/>
  <c r="BP342"/>
  <c r="BO342"/>
  <c r="BN342"/>
  <c r="BM342"/>
  <c r="BL342"/>
  <c r="BK342"/>
  <c r="BJ342"/>
  <c r="BI342"/>
  <c r="BH342"/>
  <c r="BG342"/>
  <c r="BF342"/>
  <c r="BE342"/>
  <c r="BD342"/>
  <c r="BC342"/>
  <c r="BB342"/>
  <c r="BA342"/>
  <c r="AZ342"/>
  <c r="AX342"/>
  <c r="AW342"/>
  <c r="AV342"/>
  <c r="AC342"/>
  <c r="H342"/>
  <c r="G342"/>
  <c r="BT341"/>
  <c r="BS341"/>
  <c r="BR341"/>
  <c r="BQ341"/>
  <c r="BP341"/>
  <c r="BO341"/>
  <c r="BN341"/>
  <c r="BM341"/>
  <c r="BL341"/>
  <c r="BK341"/>
  <c r="BJ341"/>
  <c r="BI341"/>
  <c r="BH341"/>
  <c r="BG341"/>
  <c r="BF341"/>
  <c r="BE341"/>
  <c r="BD341"/>
  <c r="BC341"/>
  <c r="BB341"/>
  <c r="BA341"/>
  <c r="AZ341"/>
  <c r="AX341"/>
  <c r="AW341"/>
  <c r="AV341"/>
  <c r="AC341"/>
  <c r="H341"/>
  <c r="G341"/>
  <c r="BT340"/>
  <c r="BS340"/>
  <c r="BR340"/>
  <c r="BQ340"/>
  <c r="BP340"/>
  <c r="BO340"/>
  <c r="BN340"/>
  <c r="BM340"/>
  <c r="BL340"/>
  <c r="BK340"/>
  <c r="BJ340"/>
  <c r="BI340"/>
  <c r="BH340"/>
  <c r="BG340"/>
  <c r="BF340"/>
  <c r="BE340"/>
  <c r="BD340"/>
  <c r="BC340"/>
  <c r="BB340"/>
  <c r="BA340"/>
  <c r="AZ340"/>
  <c r="AX340"/>
  <c r="AW340"/>
  <c r="AV340"/>
  <c r="AC340"/>
  <c r="H340"/>
  <c r="G340"/>
  <c r="BT339"/>
  <c r="BS339"/>
  <c r="BR339"/>
  <c r="BQ339"/>
  <c r="BP339"/>
  <c r="BO339"/>
  <c r="BN339"/>
  <c r="BM339"/>
  <c r="BL339"/>
  <c r="BK339"/>
  <c r="BJ339"/>
  <c r="BI339"/>
  <c r="BH339"/>
  <c r="BG339"/>
  <c r="BF339"/>
  <c r="BE339"/>
  <c r="BD339"/>
  <c r="BC339"/>
  <c r="BB339"/>
  <c r="BA339"/>
  <c r="AZ339"/>
  <c r="AX339"/>
  <c r="AW339"/>
  <c r="AV339"/>
  <c r="AC339"/>
  <c r="H339"/>
  <c r="G339"/>
  <c r="BT338"/>
  <c r="BS338"/>
  <c r="BR338"/>
  <c r="BQ338"/>
  <c r="BP338"/>
  <c r="BO338"/>
  <c r="BN338"/>
  <c r="BM338"/>
  <c r="BL338"/>
  <c r="BK338"/>
  <c r="BJ338"/>
  <c r="BI338"/>
  <c r="BH338"/>
  <c r="BG338"/>
  <c r="BF338"/>
  <c r="BE338"/>
  <c r="BD338"/>
  <c r="BC338"/>
  <c r="BB338"/>
  <c r="BA338"/>
  <c r="AZ338"/>
  <c r="AX338"/>
  <c r="AW338"/>
  <c r="AV338"/>
  <c r="AC338"/>
  <c r="H338"/>
  <c r="G338"/>
  <c r="BT337"/>
  <c r="BS337"/>
  <c r="BR337"/>
  <c r="BQ337"/>
  <c r="BP337"/>
  <c r="BO337"/>
  <c r="BN337"/>
  <c r="BM337"/>
  <c r="BL337"/>
  <c r="BK337"/>
  <c r="BJ337"/>
  <c r="BI337"/>
  <c r="BH337"/>
  <c r="BG337"/>
  <c r="BF337"/>
  <c r="BE337"/>
  <c r="BD337"/>
  <c r="BC337"/>
  <c r="BB337"/>
  <c r="BA337"/>
  <c r="AZ337"/>
  <c r="AX337"/>
  <c r="AW337"/>
  <c r="AV337"/>
  <c r="AC337"/>
  <c r="H337"/>
  <c r="G337"/>
  <c r="BT336"/>
  <c r="BS336"/>
  <c r="BR336"/>
  <c r="BQ336"/>
  <c r="BP336"/>
  <c r="BO336"/>
  <c r="BN336"/>
  <c r="BM336"/>
  <c r="BL336"/>
  <c r="BK336"/>
  <c r="BJ336"/>
  <c r="BI336"/>
  <c r="BH336"/>
  <c r="BG336"/>
  <c r="BF336"/>
  <c r="BE336"/>
  <c r="BD336"/>
  <c r="BC336"/>
  <c r="BB336"/>
  <c r="BA336"/>
  <c r="AZ336"/>
  <c r="AX336"/>
  <c r="AW336"/>
  <c r="AV336"/>
  <c r="AC336"/>
  <c r="H336"/>
  <c r="G336"/>
  <c r="BT335"/>
  <c r="BS335"/>
  <c r="BR335"/>
  <c r="BQ335"/>
  <c r="BP335"/>
  <c r="BO335"/>
  <c r="BN335"/>
  <c r="BM335"/>
  <c r="BL335"/>
  <c r="BK335"/>
  <c r="BJ335"/>
  <c r="BI335"/>
  <c r="BH335"/>
  <c r="BG335"/>
  <c r="BF335"/>
  <c r="BE335"/>
  <c r="BD335"/>
  <c r="BC335"/>
  <c r="BB335"/>
  <c r="BA335"/>
  <c r="AZ335"/>
  <c r="AX335"/>
  <c r="AW335"/>
  <c r="AV335"/>
  <c r="AC335"/>
  <c r="H335"/>
  <c r="G335"/>
  <c r="BT334"/>
  <c r="BS334"/>
  <c r="BR334"/>
  <c r="BQ334"/>
  <c r="BP334"/>
  <c r="BO334"/>
  <c r="BN334"/>
  <c r="BM334"/>
  <c r="BL334"/>
  <c r="BK334"/>
  <c r="BJ334"/>
  <c r="BI334"/>
  <c r="BH334"/>
  <c r="BG334"/>
  <c r="BF334"/>
  <c r="BE334"/>
  <c r="BD334"/>
  <c r="BC334"/>
  <c r="BB334"/>
  <c r="BA334"/>
  <c r="AZ334"/>
  <c r="AX334"/>
  <c r="AW334"/>
  <c r="AV334"/>
  <c r="AC334"/>
  <c r="H334"/>
  <c r="G334"/>
  <c r="BT333"/>
  <c r="BS333"/>
  <c r="BR333"/>
  <c r="BQ333"/>
  <c r="BP333"/>
  <c r="BO333"/>
  <c r="BN333"/>
  <c r="BM333"/>
  <c r="BL333"/>
  <c r="BK333"/>
  <c r="BJ333"/>
  <c r="BI333"/>
  <c r="BH333"/>
  <c r="BG333"/>
  <c r="BF333"/>
  <c r="BE333"/>
  <c r="BD333"/>
  <c r="BC333"/>
  <c r="BB333"/>
  <c r="BA333"/>
  <c r="AZ333"/>
  <c r="AX333"/>
  <c r="AW333"/>
  <c r="AV333"/>
  <c r="AC333"/>
  <c r="H333"/>
  <c r="G333"/>
  <c r="BT332"/>
  <c r="BS332"/>
  <c r="BR332"/>
  <c r="BQ332"/>
  <c r="BP332"/>
  <c r="BO332"/>
  <c r="BN332"/>
  <c r="BM332"/>
  <c r="BL332"/>
  <c r="BK332"/>
  <c r="BJ332"/>
  <c r="BI332"/>
  <c r="BH332"/>
  <c r="BG332"/>
  <c r="BF332"/>
  <c r="BE332"/>
  <c r="BD332"/>
  <c r="BC332"/>
  <c r="BB332"/>
  <c r="BA332"/>
  <c r="AZ332"/>
  <c r="AX332"/>
  <c r="AW332"/>
  <c r="AV332"/>
  <c r="AC332"/>
  <c r="H332"/>
  <c r="G332"/>
  <c r="BT331"/>
  <c r="BS331"/>
  <c r="BR331"/>
  <c r="BQ331"/>
  <c r="BP331"/>
  <c r="BO331"/>
  <c r="BN331"/>
  <c r="BM331"/>
  <c r="BL331"/>
  <c r="BK331"/>
  <c r="BJ331"/>
  <c r="BI331"/>
  <c r="BH331"/>
  <c r="BG331"/>
  <c r="BF331"/>
  <c r="BE331"/>
  <c r="BD331"/>
  <c r="BC331"/>
  <c r="BB331"/>
  <c r="BA331"/>
  <c r="AZ331"/>
  <c r="AX331"/>
  <c r="AW331"/>
  <c r="AV331"/>
  <c r="AC331"/>
  <c r="H331"/>
  <c r="G331"/>
  <c r="BT330"/>
  <c r="BS330"/>
  <c r="BR330"/>
  <c r="BQ330"/>
  <c r="BP330"/>
  <c r="BO330"/>
  <c r="BN330"/>
  <c r="BM330"/>
  <c r="BL330"/>
  <c r="BK330"/>
  <c r="BJ330"/>
  <c r="BI330"/>
  <c r="BH330"/>
  <c r="BG330"/>
  <c r="BF330"/>
  <c r="BE330"/>
  <c r="BD330"/>
  <c r="BC330"/>
  <c r="BB330"/>
  <c r="BA330"/>
  <c r="AZ330"/>
  <c r="AX330"/>
  <c r="AW330"/>
  <c r="AV330"/>
  <c r="AC330"/>
  <c r="H330"/>
  <c r="G330"/>
  <c r="BT329"/>
  <c r="BS329"/>
  <c r="BR329"/>
  <c r="BQ329"/>
  <c r="BP329"/>
  <c r="BO329"/>
  <c r="BN329"/>
  <c r="BM329"/>
  <c r="BL329"/>
  <c r="BK329"/>
  <c r="BJ329"/>
  <c r="BI329"/>
  <c r="BH329"/>
  <c r="BG329"/>
  <c r="BF329"/>
  <c r="BE329"/>
  <c r="BD329"/>
  <c r="BC329"/>
  <c r="BB329"/>
  <c r="BA329"/>
  <c r="AZ329"/>
  <c r="AX329"/>
  <c r="AW329"/>
  <c r="AV329"/>
  <c r="AC329"/>
  <c r="H329"/>
  <c r="G329"/>
  <c r="BT328"/>
  <c r="BS328"/>
  <c r="BR328"/>
  <c r="BQ328"/>
  <c r="BP328"/>
  <c r="BO328"/>
  <c r="BN328"/>
  <c r="BM328"/>
  <c r="BL328"/>
  <c r="BK328"/>
  <c r="BJ328"/>
  <c r="BI328"/>
  <c r="BH328"/>
  <c r="BG328"/>
  <c r="BF328"/>
  <c r="BE328"/>
  <c r="BD328"/>
  <c r="BC328"/>
  <c r="BB328"/>
  <c r="BA328"/>
  <c r="AZ328"/>
  <c r="AX328"/>
  <c r="AW328"/>
  <c r="AV328"/>
  <c r="AC328"/>
  <c r="H328"/>
  <c r="G328"/>
  <c r="BT327"/>
  <c r="BS327"/>
  <c r="BR327"/>
  <c r="BQ327"/>
  <c r="BP327"/>
  <c r="BO327"/>
  <c r="BN327"/>
  <c r="BM327"/>
  <c r="BL327"/>
  <c r="BK327"/>
  <c r="BJ327"/>
  <c r="BI327"/>
  <c r="BH327"/>
  <c r="BG327"/>
  <c r="BF327"/>
  <c r="BE327"/>
  <c r="BD327"/>
  <c r="BC327"/>
  <c r="BB327"/>
  <c r="BA327"/>
  <c r="AZ327"/>
  <c r="AX327"/>
  <c r="AW327"/>
  <c r="AV327"/>
  <c r="AC327"/>
  <c r="H327"/>
  <c r="G327"/>
  <c r="BT326"/>
  <c r="BS326"/>
  <c r="BR326"/>
  <c r="BQ326"/>
  <c r="BP326"/>
  <c r="BO326"/>
  <c r="BN326"/>
  <c r="BM326"/>
  <c r="BL326"/>
  <c r="BK326"/>
  <c r="BJ326"/>
  <c r="BI326"/>
  <c r="BH326"/>
  <c r="BG326"/>
  <c r="BF326"/>
  <c r="BE326"/>
  <c r="BD326"/>
  <c r="BC326"/>
  <c r="BB326"/>
  <c r="BA326"/>
  <c r="AZ326"/>
  <c r="AX326"/>
  <c r="AW326"/>
  <c r="AV326"/>
  <c r="AC326"/>
  <c r="H326"/>
  <c r="G326"/>
  <c r="BT325"/>
  <c r="BS325"/>
  <c r="BR325"/>
  <c r="BQ325"/>
  <c r="BP325"/>
  <c r="BO325"/>
  <c r="BN325"/>
  <c r="BM325"/>
  <c r="BL325"/>
  <c r="BK325"/>
  <c r="BJ325"/>
  <c r="BI325"/>
  <c r="BH325"/>
  <c r="BG325"/>
  <c r="BF325"/>
  <c r="BE325"/>
  <c r="BD325"/>
  <c r="BC325"/>
  <c r="BB325"/>
  <c r="BA325"/>
  <c r="AZ325"/>
  <c r="AX325"/>
  <c r="AW325"/>
  <c r="AV325"/>
  <c r="AC325"/>
  <c r="H325"/>
  <c r="G325"/>
  <c r="BT324"/>
  <c r="BS324"/>
  <c r="BR324"/>
  <c r="BQ324"/>
  <c r="BP324"/>
  <c r="BO324"/>
  <c r="BN324"/>
  <c r="BM324"/>
  <c r="BL324"/>
  <c r="BK324"/>
  <c r="BJ324"/>
  <c r="BI324"/>
  <c r="BH324"/>
  <c r="BG324"/>
  <c r="BF324"/>
  <c r="BE324"/>
  <c r="BD324"/>
  <c r="BC324"/>
  <c r="BB324"/>
  <c r="BA324"/>
  <c r="AZ324"/>
  <c r="AX324"/>
  <c r="AW324"/>
  <c r="AV324"/>
  <c r="AC324"/>
  <c r="H324"/>
  <c r="G324"/>
  <c r="BT323"/>
  <c r="BS323"/>
  <c r="BR323"/>
  <c r="BQ323"/>
  <c r="BP323"/>
  <c r="BO323"/>
  <c r="BN323"/>
  <c r="BM323"/>
  <c r="BL323"/>
  <c r="BK323"/>
  <c r="BJ323"/>
  <c r="BI323"/>
  <c r="BH323"/>
  <c r="BG323"/>
  <c r="BF323"/>
  <c r="BE323"/>
  <c r="BD323"/>
  <c r="BC323"/>
  <c r="BB323"/>
  <c r="BA323"/>
  <c r="AZ323"/>
  <c r="AX323"/>
  <c r="AW323"/>
  <c r="AV323"/>
  <c r="AC323"/>
  <c r="H323"/>
  <c r="G323"/>
  <c r="BT322"/>
  <c r="BS322"/>
  <c r="BR322"/>
  <c r="BQ322"/>
  <c r="BP322"/>
  <c r="BO322"/>
  <c r="BN322"/>
  <c r="BM322"/>
  <c r="BL322"/>
  <c r="BK322"/>
  <c r="BJ322"/>
  <c r="BI322"/>
  <c r="BH322"/>
  <c r="BG322"/>
  <c r="BF322"/>
  <c r="BE322"/>
  <c r="BD322"/>
  <c r="BC322"/>
  <c r="BB322"/>
  <c r="BA322"/>
  <c r="AZ322"/>
  <c r="AX322"/>
  <c r="AW322"/>
  <c r="AV322"/>
  <c r="AC322"/>
  <c r="H322"/>
  <c r="G322"/>
  <c r="BT321"/>
  <c r="BS321"/>
  <c r="BR321"/>
  <c r="BQ321"/>
  <c r="BP321"/>
  <c r="BO321"/>
  <c r="BN321"/>
  <c r="BM321"/>
  <c r="BL321"/>
  <c r="BK321"/>
  <c r="BJ321"/>
  <c r="BI321"/>
  <c r="BH321"/>
  <c r="BG321"/>
  <c r="BF321"/>
  <c r="BE321"/>
  <c r="BD321"/>
  <c r="BC321"/>
  <c r="BB321"/>
  <c r="BA321"/>
  <c r="AZ321"/>
  <c r="AX321"/>
  <c r="AW321"/>
  <c r="AV321"/>
  <c r="AC321"/>
  <c r="H321"/>
  <c r="G321"/>
  <c r="BT320"/>
  <c r="BS320"/>
  <c r="BR320"/>
  <c r="BQ320"/>
  <c r="BP320"/>
  <c r="BO320"/>
  <c r="BN320"/>
  <c r="BM320"/>
  <c r="BL320"/>
  <c r="BK320"/>
  <c r="BJ320"/>
  <c r="BI320"/>
  <c r="BH320"/>
  <c r="BG320"/>
  <c r="BF320"/>
  <c r="BE320"/>
  <c r="BD320"/>
  <c r="BC320"/>
  <c r="BB320"/>
  <c r="BA320"/>
  <c r="AZ320"/>
  <c r="AX320"/>
  <c r="AW320"/>
  <c r="AV320"/>
  <c r="AC320"/>
  <c r="H320"/>
  <c r="G320"/>
  <c r="BT319"/>
  <c r="BS319"/>
  <c r="BR319"/>
  <c r="BQ319"/>
  <c r="BP319"/>
  <c r="BO319"/>
  <c r="BN319"/>
  <c r="BM319"/>
  <c r="BL319"/>
  <c r="BK319"/>
  <c r="BJ319"/>
  <c r="BI319"/>
  <c r="BH319"/>
  <c r="BG319"/>
  <c r="BF319"/>
  <c r="BE319"/>
  <c r="BD319"/>
  <c r="BC319"/>
  <c r="BB319"/>
  <c r="BA319"/>
  <c r="AZ319"/>
  <c r="AX319"/>
  <c r="AW319"/>
  <c r="AV319"/>
  <c r="AC319"/>
  <c r="H319"/>
  <c r="G319"/>
  <c r="BT318"/>
  <c r="BS318"/>
  <c r="BR318"/>
  <c r="BQ318"/>
  <c r="BP318"/>
  <c r="BO318"/>
  <c r="BN318"/>
  <c r="BM318"/>
  <c r="BL318"/>
  <c r="BK318"/>
  <c r="BJ318"/>
  <c r="BI318"/>
  <c r="BH318"/>
  <c r="BG318"/>
  <c r="BF318"/>
  <c r="BE318"/>
  <c r="BD318"/>
  <c r="BC318"/>
  <c r="BB318"/>
  <c r="BA318"/>
  <c r="AZ318"/>
  <c r="AX318"/>
  <c r="AW318"/>
  <c r="AV318"/>
  <c r="AC318"/>
  <c r="H318"/>
  <c r="G318"/>
  <c r="BT317"/>
  <c r="BS317"/>
  <c r="BR317"/>
  <c r="BQ317"/>
  <c r="BP317"/>
  <c r="BO317"/>
  <c r="BN317"/>
  <c r="BM317"/>
  <c r="BL317"/>
  <c r="BK317"/>
  <c r="BJ317"/>
  <c r="BI317"/>
  <c r="BH317"/>
  <c r="BG317"/>
  <c r="BF317"/>
  <c r="BE317"/>
  <c r="BD317"/>
  <c r="BC317"/>
  <c r="BB317"/>
  <c r="BA317"/>
  <c r="AZ317"/>
  <c r="AX317"/>
  <c r="AW317"/>
  <c r="AV317"/>
  <c r="AC317"/>
  <c r="H317"/>
  <c r="G317"/>
  <c r="BT316"/>
  <c r="BS316"/>
  <c r="BR316"/>
  <c r="BQ316"/>
  <c r="BP316"/>
  <c r="BO316"/>
  <c r="BN316"/>
  <c r="BM316"/>
  <c r="BL316"/>
  <c r="BK316"/>
  <c r="BJ316"/>
  <c r="BI316"/>
  <c r="BH316"/>
  <c r="BG316"/>
  <c r="BF316"/>
  <c r="BE316"/>
  <c r="BD316"/>
  <c r="BC316"/>
  <c r="BB316"/>
  <c r="BA316"/>
  <c r="AZ316"/>
  <c r="AX316"/>
  <c r="AW316"/>
  <c r="AV316"/>
  <c r="AC316"/>
  <c r="H316"/>
  <c r="G316"/>
  <c r="BT315"/>
  <c r="BS315"/>
  <c r="BR315"/>
  <c r="BQ315"/>
  <c r="BP315"/>
  <c r="BO315"/>
  <c r="BN315"/>
  <c r="BM315"/>
  <c r="BL315"/>
  <c r="BK315"/>
  <c r="BJ315"/>
  <c r="BI315"/>
  <c r="BH315"/>
  <c r="BG315"/>
  <c r="BF315"/>
  <c r="BE315"/>
  <c r="BD315"/>
  <c r="BC315"/>
  <c r="BB315"/>
  <c r="BA315"/>
  <c r="AZ315"/>
  <c r="AX315"/>
  <c r="AW315"/>
  <c r="AV315"/>
  <c r="AC315"/>
  <c r="H315"/>
  <c r="G315"/>
  <c r="BT314"/>
  <c r="BS314"/>
  <c r="BR314"/>
  <c r="BQ314"/>
  <c r="BP314"/>
  <c r="BO314"/>
  <c r="BN314"/>
  <c r="BM314"/>
  <c r="BL314"/>
  <c r="BK314"/>
  <c r="BJ314"/>
  <c r="BI314"/>
  <c r="BH314"/>
  <c r="BG314"/>
  <c r="BF314"/>
  <c r="BE314"/>
  <c r="BD314"/>
  <c r="BC314"/>
  <c r="BB314"/>
  <c r="BA314"/>
  <c r="AZ314"/>
  <c r="AX314"/>
  <c r="AW314"/>
  <c r="AV314"/>
  <c r="AC314"/>
  <c r="H314"/>
  <c r="G314"/>
  <c r="BT313"/>
  <c r="BS313"/>
  <c r="BR313"/>
  <c r="BQ313"/>
  <c r="BP313"/>
  <c r="BO313"/>
  <c r="BN313"/>
  <c r="BM313"/>
  <c r="BL313"/>
  <c r="BK313"/>
  <c r="BJ313"/>
  <c r="BI313"/>
  <c r="BH313"/>
  <c r="BG313"/>
  <c r="BF313"/>
  <c r="BE313"/>
  <c r="BD313"/>
  <c r="BC313"/>
  <c r="BB313"/>
  <c r="BA313"/>
  <c r="AZ313"/>
  <c r="AX313"/>
  <c r="AW313"/>
  <c r="AV313"/>
  <c r="AC313"/>
  <c r="H313"/>
  <c r="G313"/>
  <c r="BT312"/>
  <c r="BS312"/>
  <c r="BR312"/>
  <c r="BQ312"/>
  <c r="BP312"/>
  <c r="BO312"/>
  <c r="BN312"/>
  <c r="BM312"/>
  <c r="BL312"/>
  <c r="BK312"/>
  <c r="BJ312"/>
  <c r="BI312"/>
  <c r="BH312"/>
  <c r="BG312"/>
  <c r="BF312"/>
  <c r="BE312"/>
  <c r="BD312"/>
  <c r="BC312"/>
  <c r="BB312"/>
  <c r="BA312"/>
  <c r="AZ312"/>
  <c r="AX312"/>
  <c r="AW312"/>
  <c r="AV312"/>
  <c r="AC312"/>
  <c r="H312"/>
  <c r="G312"/>
  <c r="BT311"/>
  <c r="BS311"/>
  <c r="BR311"/>
  <c r="BQ311"/>
  <c r="BP311"/>
  <c r="BO311"/>
  <c r="BN311"/>
  <c r="BM311"/>
  <c r="BL311"/>
  <c r="BK311"/>
  <c r="BJ311"/>
  <c r="BI311"/>
  <c r="BH311"/>
  <c r="BG311"/>
  <c r="BF311"/>
  <c r="BE311"/>
  <c r="BD311"/>
  <c r="BC311"/>
  <c r="BB311"/>
  <c r="BA311"/>
  <c r="AZ311"/>
  <c r="AX311"/>
  <c r="AW311"/>
  <c r="AV311"/>
  <c r="AC311"/>
  <c r="H311"/>
  <c r="G311"/>
  <c r="BT310"/>
  <c r="BS310"/>
  <c r="BR310"/>
  <c r="BQ310"/>
  <c r="BP310"/>
  <c r="BO310"/>
  <c r="BN310"/>
  <c r="BM310"/>
  <c r="BL310"/>
  <c r="BK310"/>
  <c r="BJ310"/>
  <c r="BI310"/>
  <c r="BH310"/>
  <c r="BG310"/>
  <c r="BF310"/>
  <c r="BE310"/>
  <c r="BD310"/>
  <c r="BC310"/>
  <c r="BB310"/>
  <c r="BA310"/>
  <c r="AZ310"/>
  <c r="AX310"/>
  <c r="AW310"/>
  <c r="AV310"/>
  <c r="AC310"/>
  <c r="H310"/>
  <c r="G310"/>
  <c r="BT309"/>
  <c r="BS309"/>
  <c r="BR309"/>
  <c r="BQ309"/>
  <c r="BP309"/>
  <c r="BO309"/>
  <c r="BN309"/>
  <c r="BM309"/>
  <c r="BL309"/>
  <c r="BK309"/>
  <c r="BJ309"/>
  <c r="BI309"/>
  <c r="BH309"/>
  <c r="BG309"/>
  <c r="BF309"/>
  <c r="BE309"/>
  <c r="BD309"/>
  <c r="BC309"/>
  <c r="BB309"/>
  <c r="BA309"/>
  <c r="AZ309"/>
  <c r="AX309"/>
  <c r="AW309"/>
  <c r="AV309"/>
  <c r="AC309"/>
  <c r="H309"/>
  <c r="G309"/>
  <c r="BT308"/>
  <c r="BS308"/>
  <c r="BR308"/>
  <c r="BQ308"/>
  <c r="BP308"/>
  <c r="BO308"/>
  <c r="BN308"/>
  <c r="BM308"/>
  <c r="BL308"/>
  <c r="BK308"/>
  <c r="BJ308"/>
  <c r="BI308"/>
  <c r="BH308"/>
  <c r="BG308"/>
  <c r="BF308"/>
  <c r="BE308"/>
  <c r="BD308"/>
  <c r="BC308"/>
  <c r="BB308"/>
  <c r="BA308"/>
  <c r="AZ308"/>
  <c r="AX308"/>
  <c r="AW308"/>
  <c r="AV308"/>
  <c r="AC308"/>
  <c r="H308"/>
  <c r="G308"/>
  <c r="BT307"/>
  <c r="BS307"/>
  <c r="BR307"/>
  <c r="BQ307"/>
  <c r="BP307"/>
  <c r="BO307"/>
  <c r="BN307"/>
  <c r="BM307"/>
  <c r="BL307"/>
  <c r="BK307"/>
  <c r="BJ307"/>
  <c r="BI307"/>
  <c r="BH307"/>
  <c r="BG307"/>
  <c r="BF307"/>
  <c r="BE307"/>
  <c r="BD307"/>
  <c r="BC307"/>
  <c r="BB307"/>
  <c r="BA307"/>
  <c r="AZ307"/>
  <c r="AX307"/>
  <c r="AW307"/>
  <c r="AV307"/>
  <c r="AC307"/>
  <c r="H307"/>
  <c r="G307"/>
  <c r="BT306"/>
  <c r="BS306"/>
  <c r="BR306"/>
  <c r="BQ306"/>
  <c r="BP306"/>
  <c r="BO306"/>
  <c r="BN306"/>
  <c r="BM306"/>
  <c r="BL306"/>
  <c r="BK306"/>
  <c r="BJ306"/>
  <c r="BI306"/>
  <c r="BH306"/>
  <c r="BG306"/>
  <c r="BF306"/>
  <c r="BE306"/>
  <c r="BD306"/>
  <c r="BC306"/>
  <c r="BB306"/>
  <c r="BA306"/>
  <c r="AZ306"/>
  <c r="AX306"/>
  <c r="AW306"/>
  <c r="AV306"/>
  <c r="AC306"/>
  <c r="H306"/>
  <c r="G306"/>
  <c r="BT305"/>
  <c r="BS305"/>
  <c r="BR305"/>
  <c r="BQ305"/>
  <c r="BP305"/>
  <c r="BO305"/>
  <c r="BN305"/>
  <c r="BM305"/>
  <c r="BL305"/>
  <c r="BK305"/>
  <c r="BJ305"/>
  <c r="BI305"/>
  <c r="BH305"/>
  <c r="BG305"/>
  <c r="BF305"/>
  <c r="BE305"/>
  <c r="BD305"/>
  <c r="BC305"/>
  <c r="BB305"/>
  <c r="BA305"/>
  <c r="AZ305"/>
  <c r="AX305"/>
  <c r="AW305"/>
  <c r="AV305"/>
  <c r="AC305"/>
  <c r="H305"/>
  <c r="G305"/>
  <c r="BT304"/>
  <c r="BS304"/>
  <c r="BR304"/>
  <c r="BQ304"/>
  <c r="BP304"/>
  <c r="BO304"/>
  <c r="BN304"/>
  <c r="BM304"/>
  <c r="BL304"/>
  <c r="BK304"/>
  <c r="BJ304"/>
  <c r="BI304"/>
  <c r="BH304"/>
  <c r="BG304"/>
  <c r="BF304"/>
  <c r="BE304"/>
  <c r="BD304"/>
  <c r="BC304"/>
  <c r="BB304"/>
  <c r="BA304"/>
  <c r="AZ304"/>
  <c r="AX304"/>
  <c r="AW304"/>
  <c r="AV304"/>
  <c r="AC304"/>
  <c r="H304"/>
  <c r="G304"/>
  <c r="BT303"/>
  <c r="BS303"/>
  <c r="BR303"/>
  <c r="BQ303"/>
  <c r="BP303"/>
  <c r="BO303"/>
  <c r="BN303"/>
  <c r="BM303"/>
  <c r="BL303"/>
  <c r="BK303"/>
  <c r="BJ303"/>
  <c r="BI303"/>
  <c r="BH303"/>
  <c r="BG303"/>
  <c r="BF303"/>
  <c r="BE303"/>
  <c r="BD303"/>
  <c r="BC303"/>
  <c r="BB303"/>
  <c r="BA303"/>
  <c r="AZ303"/>
  <c r="AX303"/>
  <c r="AW303"/>
  <c r="AV303"/>
  <c r="AC303"/>
  <c r="H303"/>
  <c r="G30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Z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Z297"/>
  <c r="AX297"/>
  <c r="AW297"/>
  <c r="AV297"/>
  <c r="AC297"/>
  <c r="H297"/>
  <c r="G297"/>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Z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Z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Z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Z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Z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Z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Z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Z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Z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Z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Z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Z245"/>
  <c r="AO13" i="1"/>
  <c r="AO10"/>
  <c r="AO11"/>
  <c r="AO8"/>
  <c r="AO12"/>
  <c r="AO9"/>
  <c r="AO7"/>
  <c r="R7" l="1"/>
  <c r="T7"/>
  <c r="G19" i="43"/>
  <c r="C7" i="37"/>
  <c r="C7" i="33"/>
  <c r="C7" i="21"/>
  <c r="C58" s="1"/>
  <c r="C7" i="40"/>
  <c r="C7" i="36"/>
  <c r="C7" i="35"/>
  <c r="C7" i="34"/>
  <c r="C59" s="1"/>
  <c r="C7" i="39"/>
  <c r="M47" i="9"/>
  <c r="C42" i="1"/>
  <c r="M9"/>
  <c r="R12"/>
  <c r="P12" s="1"/>
  <c r="S13"/>
  <c r="E6"/>
  <c r="E9"/>
  <c r="S9"/>
  <c r="AQ9" s="1"/>
  <c r="B12"/>
  <c r="E12" s="1"/>
  <c r="K12"/>
  <c r="M12" s="1"/>
  <c r="B13"/>
  <c r="F3" i="35"/>
  <c r="G1" i="67"/>
  <c r="G1" i="69"/>
  <c r="G1" i="15"/>
  <c r="K1" i="12"/>
  <c r="AR12" i="1"/>
  <c r="E13"/>
  <c r="R13"/>
  <c r="P13" s="1"/>
  <c r="O13" s="1"/>
  <c r="L27" i="6"/>
  <c r="AR7" i="1"/>
  <c r="T8"/>
  <c r="AQ8"/>
  <c r="AR9"/>
  <c r="T12"/>
  <c r="R10"/>
  <c r="P10" s="1"/>
  <c r="O10" s="1"/>
  <c r="M10" s="1"/>
  <c r="AR10"/>
  <c r="AQ10" s="1"/>
  <c r="T10"/>
  <c r="AR11"/>
  <c r="AQ11" s="1"/>
  <c r="T11"/>
  <c r="AR8"/>
  <c r="AQ7"/>
  <c r="AP7" s="1"/>
  <c r="C36" i="69" s="1"/>
  <c r="M7" i="1"/>
  <c r="M11"/>
  <c r="M13"/>
  <c r="B7" i="70"/>
  <c r="B9"/>
  <c r="B12"/>
  <c r="B8"/>
  <c r="B11"/>
  <c r="B10"/>
  <c r="B13"/>
  <c r="P7" i="1"/>
  <c r="O7" s="1"/>
  <c r="C26" i="11"/>
  <c r="D22" s="1"/>
  <c r="C23"/>
  <c r="C44"/>
  <c r="D41" s="1"/>
  <c r="F11" i="67"/>
  <c r="M11"/>
  <c r="F11" i="15"/>
  <c r="M11"/>
  <c r="C26" i="68"/>
  <c r="D22" s="1"/>
  <c r="C24"/>
  <c r="C44"/>
  <c r="D24" i="67"/>
  <c r="C24" s="1"/>
  <c r="P6" i="1"/>
  <c r="C26" i="69"/>
  <c r="D22" s="1"/>
  <c r="C44"/>
  <c r="AX245" i="3"/>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Z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Z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Z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Z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Z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Z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Z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Z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Z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G201"/>
  <c r="BT200"/>
  <c r="BS200"/>
  <c r="BR200"/>
  <c r="BQ200"/>
  <c r="BP200"/>
  <c r="BO200"/>
  <c r="BN200"/>
  <c r="BM200"/>
  <c r="BL200"/>
  <c r="BK200"/>
  <c r="BJ200"/>
  <c r="BI200"/>
  <c r="BH200"/>
  <c r="BG200"/>
  <c r="BF200"/>
  <c r="BE200"/>
  <c r="BD200"/>
  <c r="BC200"/>
  <c r="BB200"/>
  <c r="BA200"/>
  <c r="AZ200"/>
  <c r="AX200"/>
  <c r="AW200"/>
  <c r="AV200"/>
  <c r="AC200"/>
  <c r="H200"/>
  <c r="G200"/>
  <c r="BT199"/>
  <c r="BS199"/>
  <c r="BR199"/>
  <c r="BQ199"/>
  <c r="BP199"/>
  <c r="BO199"/>
  <c r="BN199"/>
  <c r="BM199"/>
  <c r="BL199"/>
  <c r="BK199"/>
  <c r="BJ199"/>
  <c r="BI199"/>
  <c r="BH199"/>
  <c r="BG199"/>
  <c r="BF199"/>
  <c r="BE199"/>
  <c r="BD199"/>
  <c r="BC199"/>
  <c r="BB199"/>
  <c r="BA199"/>
  <c r="AZ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G198"/>
  <c r="BT197"/>
  <c r="BS197"/>
  <c r="BR197"/>
  <c r="BQ197"/>
  <c r="BP197"/>
  <c r="BO197"/>
  <c r="BN197"/>
  <c r="BM197"/>
  <c r="BL197"/>
  <c r="BK197"/>
  <c r="BJ197"/>
  <c r="BI197"/>
  <c r="BH197"/>
  <c r="BG197"/>
  <c r="BF197"/>
  <c r="BE197"/>
  <c r="BD197"/>
  <c r="BC197"/>
  <c r="BB197"/>
  <c r="BA197"/>
  <c r="AZ197"/>
  <c r="AX197"/>
  <c r="AW197"/>
  <c r="AV197"/>
  <c r="AC197"/>
  <c r="H197"/>
  <c r="G197"/>
  <c r="BT196"/>
  <c r="BS196"/>
  <c r="BR196"/>
  <c r="BQ196"/>
  <c r="BP196"/>
  <c r="BO196"/>
  <c r="BN196"/>
  <c r="BM196"/>
  <c r="BL196"/>
  <c r="BK196"/>
  <c r="BJ196"/>
  <c r="BI196"/>
  <c r="BH196"/>
  <c r="BG196"/>
  <c r="BF196"/>
  <c r="BE196"/>
  <c r="BD196"/>
  <c r="BC196"/>
  <c r="BB196"/>
  <c r="BA196"/>
  <c r="AZ196"/>
  <c r="AX196"/>
  <c r="AW196"/>
  <c r="AV196"/>
  <c r="AC196"/>
  <c r="H196"/>
  <c r="G196"/>
  <c r="BT195"/>
  <c r="BS195"/>
  <c r="BR195"/>
  <c r="BQ195"/>
  <c r="BP195"/>
  <c r="BO195"/>
  <c r="BN195"/>
  <c r="BM195"/>
  <c r="BL195"/>
  <c r="BK195"/>
  <c r="BJ195"/>
  <c r="BI195"/>
  <c r="BH195"/>
  <c r="BG195"/>
  <c r="BF195"/>
  <c r="BE195"/>
  <c r="BD195"/>
  <c r="BC195"/>
  <c r="BB195"/>
  <c r="BA195"/>
  <c r="AZ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G193"/>
  <c r="BT192"/>
  <c r="BS192"/>
  <c r="BR192"/>
  <c r="BQ192"/>
  <c r="BP192"/>
  <c r="BO192"/>
  <c r="BN192"/>
  <c r="BM192"/>
  <c r="BL192"/>
  <c r="BK192"/>
  <c r="BJ192"/>
  <c r="BI192"/>
  <c r="BH192"/>
  <c r="BG192"/>
  <c r="BF192"/>
  <c r="BE192"/>
  <c r="BD192"/>
  <c r="BC192"/>
  <c r="BB192"/>
  <c r="BA192"/>
  <c r="AZ192"/>
  <c r="AX192"/>
  <c r="AW192"/>
  <c r="AV192"/>
  <c r="AC192"/>
  <c r="H192"/>
  <c r="G192"/>
  <c r="BT191"/>
  <c r="BS191"/>
  <c r="BR191"/>
  <c r="BQ191"/>
  <c r="BP191"/>
  <c r="BO191"/>
  <c r="BN191"/>
  <c r="BM191"/>
  <c r="BL191"/>
  <c r="BK191"/>
  <c r="BJ191"/>
  <c r="BI191"/>
  <c r="BH191"/>
  <c r="BG191"/>
  <c r="BF191"/>
  <c r="BE191"/>
  <c r="BD191"/>
  <c r="BC191"/>
  <c r="BB191"/>
  <c r="BA191"/>
  <c r="AZ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G190"/>
  <c r="BT189"/>
  <c r="BS189"/>
  <c r="BR189"/>
  <c r="BQ189"/>
  <c r="BP189"/>
  <c r="BO189"/>
  <c r="BN189"/>
  <c r="BM189"/>
  <c r="BL189"/>
  <c r="BK189"/>
  <c r="BJ189"/>
  <c r="BI189"/>
  <c r="BH189"/>
  <c r="BG189"/>
  <c r="BF189"/>
  <c r="BE189"/>
  <c r="BD189"/>
  <c r="BC189"/>
  <c r="BB189"/>
  <c r="BA189"/>
  <c r="AZ189"/>
  <c r="AX189"/>
  <c r="AW189"/>
  <c r="AV189"/>
  <c r="AC189"/>
  <c r="H189"/>
  <c r="G189"/>
  <c r="BT188"/>
  <c r="BS188"/>
  <c r="BR188"/>
  <c r="BQ188"/>
  <c r="BP188"/>
  <c r="BO188"/>
  <c r="BN188"/>
  <c r="BM188"/>
  <c r="BL188"/>
  <c r="BK188"/>
  <c r="BJ188"/>
  <c r="BI188"/>
  <c r="BH188"/>
  <c r="BG188"/>
  <c r="BF188"/>
  <c r="BE188"/>
  <c r="BD188"/>
  <c r="BC188"/>
  <c r="BB188"/>
  <c r="BA188"/>
  <c r="AZ188"/>
  <c r="AX188"/>
  <c r="AW188"/>
  <c r="AV188"/>
  <c r="AC188"/>
  <c r="H188"/>
  <c r="G188"/>
  <c r="BT187"/>
  <c r="BS187"/>
  <c r="BR187"/>
  <c r="BQ187"/>
  <c r="BP187"/>
  <c r="BO187"/>
  <c r="BN187"/>
  <c r="BM187"/>
  <c r="BL187"/>
  <c r="BK187"/>
  <c r="BJ187"/>
  <c r="BI187"/>
  <c r="BH187"/>
  <c r="BG187"/>
  <c r="BF187"/>
  <c r="BE187"/>
  <c r="BD187"/>
  <c r="BC187"/>
  <c r="BB187"/>
  <c r="BA187"/>
  <c r="AZ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G185"/>
  <c r="BT184"/>
  <c r="BS184"/>
  <c r="BR184"/>
  <c r="BQ184"/>
  <c r="BP184"/>
  <c r="BO184"/>
  <c r="BN184"/>
  <c r="BM184"/>
  <c r="BL184"/>
  <c r="BK184"/>
  <c r="BJ184"/>
  <c r="BI184"/>
  <c r="BH184"/>
  <c r="BG184"/>
  <c r="BF184"/>
  <c r="BE184"/>
  <c r="BD184"/>
  <c r="BC184"/>
  <c r="BB184"/>
  <c r="BA184"/>
  <c r="AZ184"/>
  <c r="AX184"/>
  <c r="AW184"/>
  <c r="AV184"/>
  <c r="AC184"/>
  <c r="H184"/>
  <c r="G184"/>
  <c r="BT183"/>
  <c r="BS183"/>
  <c r="BR183"/>
  <c r="BQ183"/>
  <c r="BP183"/>
  <c r="BO183"/>
  <c r="BN183"/>
  <c r="BM183"/>
  <c r="BL183"/>
  <c r="BK183"/>
  <c r="BJ183"/>
  <c r="BI183"/>
  <c r="BH183"/>
  <c r="BG183"/>
  <c r="BF183"/>
  <c r="BE183"/>
  <c r="BD183"/>
  <c r="BC183"/>
  <c r="BB183"/>
  <c r="BA183"/>
  <c r="AZ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G182"/>
  <c r="BT181"/>
  <c r="BS181"/>
  <c r="BR181"/>
  <c r="BQ181"/>
  <c r="BP181"/>
  <c r="BO181"/>
  <c r="BN181"/>
  <c r="BM181"/>
  <c r="BL181"/>
  <c r="BK181"/>
  <c r="BJ181"/>
  <c r="BI181"/>
  <c r="BH181"/>
  <c r="BG181"/>
  <c r="BF181"/>
  <c r="BE181"/>
  <c r="BD181"/>
  <c r="BC181"/>
  <c r="BB181"/>
  <c r="BA181"/>
  <c r="AZ181"/>
  <c r="AX181"/>
  <c r="AW181"/>
  <c r="AV181"/>
  <c r="AC181"/>
  <c r="H181"/>
  <c r="G181"/>
  <c r="BT180"/>
  <c r="BS180"/>
  <c r="BR180"/>
  <c r="BQ180"/>
  <c r="BP180"/>
  <c r="BO180"/>
  <c r="BN180"/>
  <c r="BM180"/>
  <c r="BL180"/>
  <c r="BK180"/>
  <c r="BJ180"/>
  <c r="BI180"/>
  <c r="BH180"/>
  <c r="BG180"/>
  <c r="BF180"/>
  <c r="BE180"/>
  <c r="BD180"/>
  <c r="BC180"/>
  <c r="BB180"/>
  <c r="BA180"/>
  <c r="AZ180"/>
  <c r="AX180"/>
  <c r="AW180"/>
  <c r="AV180"/>
  <c r="AC180"/>
  <c r="H180"/>
  <c r="G180"/>
  <c r="BT179"/>
  <c r="BS179"/>
  <c r="BR179"/>
  <c r="BQ179"/>
  <c r="BP179"/>
  <c r="BO179"/>
  <c r="BN179"/>
  <c r="BM179"/>
  <c r="BL179"/>
  <c r="BK179"/>
  <c r="BJ179"/>
  <c r="BI179"/>
  <c r="BH179"/>
  <c r="BG179"/>
  <c r="BF179"/>
  <c r="BE179"/>
  <c r="BD179"/>
  <c r="BC179"/>
  <c r="BB179"/>
  <c r="BA179"/>
  <c r="AZ179"/>
  <c r="AX179"/>
  <c r="AW179"/>
  <c r="AV179"/>
  <c r="AC179"/>
  <c r="H179"/>
  <c r="G179"/>
  <c r="BT178"/>
  <c r="BS178"/>
  <c r="BR178"/>
  <c r="BQ178"/>
  <c r="BP178"/>
  <c r="BO178"/>
  <c r="BN178"/>
  <c r="BM178"/>
  <c r="BL178"/>
  <c r="BK178"/>
  <c r="BJ178"/>
  <c r="BI178"/>
  <c r="BH178"/>
  <c r="BG178"/>
  <c r="BF178"/>
  <c r="BE178"/>
  <c r="BD178"/>
  <c r="BC178"/>
  <c r="BB178"/>
  <c r="BA178"/>
  <c r="AZ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G175"/>
  <c r="BT174"/>
  <c r="BS174"/>
  <c r="BR174"/>
  <c r="BQ174"/>
  <c r="BP174"/>
  <c r="BO174"/>
  <c r="BN174"/>
  <c r="BM174"/>
  <c r="BL174"/>
  <c r="BK174"/>
  <c r="BJ174"/>
  <c r="BI174"/>
  <c r="BH174"/>
  <c r="BG174"/>
  <c r="BF174"/>
  <c r="BE174"/>
  <c r="BD174"/>
  <c r="BC174"/>
  <c r="BB174"/>
  <c r="BA174"/>
  <c r="AZ174"/>
  <c r="AX174"/>
  <c r="AW174"/>
  <c r="AV174"/>
  <c r="AC174"/>
  <c r="H174"/>
  <c r="G174"/>
  <c r="BT173"/>
  <c r="BS173"/>
  <c r="BR173"/>
  <c r="BQ173"/>
  <c r="BP173"/>
  <c r="BO173"/>
  <c r="BN173"/>
  <c r="BM173"/>
  <c r="BL173"/>
  <c r="BK173"/>
  <c r="BJ173"/>
  <c r="BI173"/>
  <c r="BH173"/>
  <c r="BG173"/>
  <c r="BF173"/>
  <c r="BE173"/>
  <c r="BD173"/>
  <c r="BC173"/>
  <c r="BB173"/>
  <c r="BA173"/>
  <c r="AZ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G171"/>
  <c r="BT170"/>
  <c r="BS170"/>
  <c r="BR170"/>
  <c r="BQ170"/>
  <c r="BP170"/>
  <c r="BO170"/>
  <c r="BN170"/>
  <c r="BM170"/>
  <c r="BL170"/>
  <c r="BK170"/>
  <c r="BJ170"/>
  <c r="BI170"/>
  <c r="BH170"/>
  <c r="BG170"/>
  <c r="BF170"/>
  <c r="BE170"/>
  <c r="BD170"/>
  <c r="BC170"/>
  <c r="BB170"/>
  <c r="BA170"/>
  <c r="AZ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Z167"/>
  <c r="AX167"/>
  <c r="AW167"/>
  <c r="AV167"/>
  <c r="AC167"/>
  <c r="H167"/>
  <c r="G167"/>
  <c r="BT166"/>
  <c r="BS166"/>
  <c r="BR166"/>
  <c r="BQ166"/>
  <c r="BP166"/>
  <c r="BO166"/>
  <c r="BN166"/>
  <c r="BM166"/>
  <c r="BL166"/>
  <c r="BK166"/>
  <c r="BJ166"/>
  <c r="BI166"/>
  <c r="BH166"/>
  <c r="BG166"/>
  <c r="BF166"/>
  <c r="BE166"/>
  <c r="BD166"/>
  <c r="BC166"/>
  <c r="BB166"/>
  <c r="BA166"/>
  <c r="AZ166"/>
  <c r="AX166"/>
  <c r="AW166"/>
  <c r="AV166"/>
  <c r="AC166"/>
  <c r="H166"/>
  <c r="G166"/>
  <c r="BT165"/>
  <c r="BS165"/>
  <c r="BR165"/>
  <c r="BQ165"/>
  <c r="BP165"/>
  <c r="BO165"/>
  <c r="BN165"/>
  <c r="BM165"/>
  <c r="BL165"/>
  <c r="BK165"/>
  <c r="BJ165"/>
  <c r="BI165"/>
  <c r="BH165"/>
  <c r="BG165"/>
  <c r="BF165"/>
  <c r="BE165"/>
  <c r="BD165"/>
  <c r="BC165"/>
  <c r="BB165"/>
  <c r="BA165"/>
  <c r="AZ165"/>
  <c r="AX165"/>
  <c r="AW165"/>
  <c r="AV165"/>
  <c r="AC165"/>
  <c r="H165"/>
  <c r="G165"/>
  <c r="BT164"/>
  <c r="BS164"/>
  <c r="BR164"/>
  <c r="BQ164"/>
  <c r="BP164"/>
  <c r="BO164"/>
  <c r="BN164"/>
  <c r="BM164"/>
  <c r="BL164"/>
  <c r="BK164"/>
  <c r="BJ164"/>
  <c r="BI164"/>
  <c r="BH164"/>
  <c r="BG164"/>
  <c r="BF164"/>
  <c r="BE164"/>
  <c r="BD164"/>
  <c r="BC164"/>
  <c r="BB164"/>
  <c r="BA164"/>
  <c r="AZ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G163"/>
  <c r="BT162"/>
  <c r="BS162"/>
  <c r="BR162"/>
  <c r="BQ162"/>
  <c r="BP162"/>
  <c r="BO162"/>
  <c r="BN162"/>
  <c r="BM162"/>
  <c r="BL162"/>
  <c r="BK162"/>
  <c r="BJ162"/>
  <c r="BI162"/>
  <c r="BH162"/>
  <c r="BG162"/>
  <c r="BF162"/>
  <c r="BE162"/>
  <c r="BD162"/>
  <c r="BC162"/>
  <c r="BB162"/>
  <c r="BA162"/>
  <c r="AZ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G159"/>
  <c r="BT158"/>
  <c r="BS158"/>
  <c r="BR158"/>
  <c r="BQ158"/>
  <c r="BP158"/>
  <c r="BO158"/>
  <c r="BN158"/>
  <c r="BM158"/>
  <c r="BL158"/>
  <c r="BK158"/>
  <c r="BJ158"/>
  <c r="BI158"/>
  <c r="BH158"/>
  <c r="BG158"/>
  <c r="BF158"/>
  <c r="BE158"/>
  <c r="BD158"/>
  <c r="BC158"/>
  <c r="BB158"/>
  <c r="BA158"/>
  <c r="AZ158"/>
  <c r="AX158"/>
  <c r="AW158"/>
  <c r="AV158"/>
  <c r="AC158"/>
  <c r="H158"/>
  <c r="G158"/>
  <c r="BT157"/>
  <c r="BS157"/>
  <c r="BR157"/>
  <c r="BQ157"/>
  <c r="BP157"/>
  <c r="BO157"/>
  <c r="BN157"/>
  <c r="BM157"/>
  <c r="BL157"/>
  <c r="BK157"/>
  <c r="BJ157"/>
  <c r="BI157"/>
  <c r="BH157"/>
  <c r="BG157"/>
  <c r="BF157"/>
  <c r="BE157"/>
  <c r="BD157"/>
  <c r="BC157"/>
  <c r="BB157"/>
  <c r="BA157"/>
  <c r="AZ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G155"/>
  <c r="BT154"/>
  <c r="BS154"/>
  <c r="BR154"/>
  <c r="BQ154"/>
  <c r="BP154"/>
  <c r="BO154"/>
  <c r="BN154"/>
  <c r="BM154"/>
  <c r="BL154"/>
  <c r="BK154"/>
  <c r="BJ154"/>
  <c r="BI154"/>
  <c r="BH154"/>
  <c r="BG154"/>
  <c r="BF154"/>
  <c r="BE154"/>
  <c r="BD154"/>
  <c r="BC154"/>
  <c r="BB154"/>
  <c r="BA154"/>
  <c r="AZ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G153"/>
  <c r="BT152"/>
  <c r="BS152"/>
  <c r="BR152"/>
  <c r="BQ152"/>
  <c r="BP152"/>
  <c r="BO152"/>
  <c r="BN152"/>
  <c r="BM152"/>
  <c r="BL152"/>
  <c r="BK152"/>
  <c r="BJ152"/>
  <c r="BI152"/>
  <c r="BH152"/>
  <c r="BG152"/>
  <c r="BF152"/>
  <c r="BE152"/>
  <c r="BD152"/>
  <c r="BC152"/>
  <c r="BB152"/>
  <c r="BA152"/>
  <c r="AZ152"/>
  <c r="AX152"/>
  <c r="AW152"/>
  <c r="AV152"/>
  <c r="AC152"/>
  <c r="H152"/>
  <c r="G152"/>
  <c r="BT151"/>
  <c r="BS151"/>
  <c r="BR151"/>
  <c r="BQ151"/>
  <c r="BP151"/>
  <c r="BO151"/>
  <c r="BN151"/>
  <c r="BM151"/>
  <c r="BL151"/>
  <c r="BK151"/>
  <c r="BJ151"/>
  <c r="BI151"/>
  <c r="BH151"/>
  <c r="BG151"/>
  <c r="BF151"/>
  <c r="BE151"/>
  <c r="BD151"/>
  <c r="BC151"/>
  <c r="BB151"/>
  <c r="BA151"/>
  <c r="AZ151"/>
  <c r="AX151"/>
  <c r="AW151"/>
  <c r="AV151"/>
  <c r="AC151"/>
  <c r="H151"/>
  <c r="G151"/>
  <c r="BT150"/>
  <c r="BS150"/>
  <c r="BR150"/>
  <c r="BQ150"/>
  <c r="BP150"/>
  <c r="BO150"/>
  <c r="BN150"/>
  <c r="BM150"/>
  <c r="BL150"/>
  <c r="BK150"/>
  <c r="BJ150"/>
  <c r="BI150"/>
  <c r="BH150"/>
  <c r="BG150"/>
  <c r="BF150"/>
  <c r="BE150"/>
  <c r="BD150"/>
  <c r="BC150"/>
  <c r="BB150"/>
  <c r="BA150"/>
  <c r="AZ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G148"/>
  <c r="BT147"/>
  <c r="BS147"/>
  <c r="BR147"/>
  <c r="BQ147"/>
  <c r="BP147"/>
  <c r="BO147"/>
  <c r="BN147"/>
  <c r="BM147"/>
  <c r="BL147"/>
  <c r="BK147"/>
  <c r="BJ147"/>
  <c r="BI147"/>
  <c r="BH147"/>
  <c r="BG147"/>
  <c r="BF147"/>
  <c r="BE147"/>
  <c r="BD147"/>
  <c r="BC147"/>
  <c r="BB147"/>
  <c r="BA147"/>
  <c r="AZ147"/>
  <c r="AX147"/>
  <c r="AW147"/>
  <c r="AV147"/>
  <c r="AC147"/>
  <c r="H147"/>
  <c r="G147"/>
  <c r="BT146"/>
  <c r="BS146"/>
  <c r="BR146"/>
  <c r="BQ146"/>
  <c r="BP146"/>
  <c r="BO146"/>
  <c r="BN146"/>
  <c r="BM146"/>
  <c r="BL146"/>
  <c r="BK146"/>
  <c r="BJ146"/>
  <c r="BI146"/>
  <c r="BH146"/>
  <c r="BG146"/>
  <c r="BF146"/>
  <c r="BE146"/>
  <c r="BD146"/>
  <c r="BC146"/>
  <c r="BB146"/>
  <c r="BA146"/>
  <c r="AZ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G144"/>
  <c r="BT143"/>
  <c r="BS143"/>
  <c r="BR143"/>
  <c r="BQ143"/>
  <c r="BP143"/>
  <c r="BO143"/>
  <c r="BN143"/>
  <c r="BM143"/>
  <c r="BL143"/>
  <c r="BK143"/>
  <c r="BJ143"/>
  <c r="BI143"/>
  <c r="BH143"/>
  <c r="BG143"/>
  <c r="BF143"/>
  <c r="BE143"/>
  <c r="BD143"/>
  <c r="BC143"/>
  <c r="BB143"/>
  <c r="BA143"/>
  <c r="AZ143"/>
  <c r="AX143"/>
  <c r="AW143"/>
  <c r="AV143"/>
  <c r="AC143"/>
  <c r="H143"/>
  <c r="G143"/>
  <c r="BT142"/>
  <c r="BS142"/>
  <c r="BR142"/>
  <c r="BQ142"/>
  <c r="BP142"/>
  <c r="BO142"/>
  <c r="BN142"/>
  <c r="BM142"/>
  <c r="BL142"/>
  <c r="BK142"/>
  <c r="BJ142"/>
  <c r="BI142"/>
  <c r="BH142"/>
  <c r="BG142"/>
  <c r="BF142"/>
  <c r="BE142"/>
  <c r="BD142"/>
  <c r="BC142"/>
  <c r="BB142"/>
  <c r="BA142"/>
  <c r="AZ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Z140"/>
  <c r="AX140"/>
  <c r="AW140"/>
  <c r="AV140"/>
  <c r="AC140"/>
  <c r="H140"/>
  <c r="G140"/>
  <c r="BT139"/>
  <c r="BS139"/>
  <c r="BR139"/>
  <c r="BQ139"/>
  <c r="BP139"/>
  <c r="BO139"/>
  <c r="BN139"/>
  <c r="BM139"/>
  <c r="BL139"/>
  <c r="BK139"/>
  <c r="BJ139"/>
  <c r="BI139"/>
  <c r="BH139"/>
  <c r="BG139"/>
  <c r="BF139"/>
  <c r="BE139"/>
  <c r="BD139"/>
  <c r="BC139"/>
  <c r="BB139"/>
  <c r="BA139"/>
  <c r="AZ139"/>
  <c r="AX139"/>
  <c r="AW139"/>
  <c r="AV139"/>
  <c r="AC139"/>
  <c r="H139"/>
  <c r="G139"/>
  <c r="BT138"/>
  <c r="BS138"/>
  <c r="BR138"/>
  <c r="BQ138"/>
  <c r="BP138"/>
  <c r="BO138"/>
  <c r="BN138"/>
  <c r="BM138"/>
  <c r="BL138"/>
  <c r="BK138"/>
  <c r="BJ138"/>
  <c r="BI138"/>
  <c r="BH138"/>
  <c r="BG138"/>
  <c r="BF138"/>
  <c r="BE138"/>
  <c r="BD138"/>
  <c r="BC138"/>
  <c r="BB138"/>
  <c r="BA138"/>
  <c r="AZ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G136"/>
  <c r="BT135"/>
  <c r="BS135"/>
  <c r="BR135"/>
  <c r="BQ135"/>
  <c r="BP135"/>
  <c r="BO135"/>
  <c r="BN135"/>
  <c r="BM135"/>
  <c r="BL135"/>
  <c r="BK135"/>
  <c r="BJ135"/>
  <c r="BI135"/>
  <c r="BH135"/>
  <c r="BG135"/>
  <c r="BF135"/>
  <c r="BE135"/>
  <c r="BD135"/>
  <c r="BC135"/>
  <c r="BB135"/>
  <c r="BA135"/>
  <c r="AZ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G132"/>
  <c r="BT131"/>
  <c r="BS131"/>
  <c r="BR131"/>
  <c r="BQ131"/>
  <c r="BP131"/>
  <c r="BO131"/>
  <c r="BN131"/>
  <c r="BM131"/>
  <c r="BL131"/>
  <c r="BK131"/>
  <c r="BJ131"/>
  <c r="BI131"/>
  <c r="BH131"/>
  <c r="BG131"/>
  <c r="BF131"/>
  <c r="BE131"/>
  <c r="BD131"/>
  <c r="BC131"/>
  <c r="BB131"/>
  <c r="BA131"/>
  <c r="AZ131"/>
  <c r="AX131"/>
  <c r="AW131"/>
  <c r="AV131"/>
  <c r="AC131"/>
  <c r="H131"/>
  <c r="G131"/>
  <c r="BT130"/>
  <c r="BS130"/>
  <c r="BR130"/>
  <c r="BQ130"/>
  <c r="BP130"/>
  <c r="BO130"/>
  <c r="BN130"/>
  <c r="BM130"/>
  <c r="BL130"/>
  <c r="BK130"/>
  <c r="BJ130"/>
  <c r="BI130"/>
  <c r="BH130"/>
  <c r="BG130"/>
  <c r="BF130"/>
  <c r="BE130"/>
  <c r="BD130"/>
  <c r="BC130"/>
  <c r="BB130"/>
  <c r="BA130"/>
  <c r="AZ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G128"/>
  <c r="BT127"/>
  <c r="BS127"/>
  <c r="BR127"/>
  <c r="BQ127"/>
  <c r="BP127"/>
  <c r="BO127"/>
  <c r="BN127"/>
  <c r="BM127"/>
  <c r="BL127"/>
  <c r="BK127"/>
  <c r="BJ127"/>
  <c r="BI127"/>
  <c r="BH127"/>
  <c r="BG127"/>
  <c r="BF127"/>
  <c r="BE127"/>
  <c r="BD127"/>
  <c r="BC127"/>
  <c r="BB127"/>
  <c r="BA127"/>
  <c r="AZ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Z124"/>
  <c r="AX124"/>
  <c r="AW124"/>
  <c r="AV124"/>
  <c r="AC124"/>
  <c r="H124"/>
  <c r="G124"/>
  <c r="BT123"/>
  <c r="BS123"/>
  <c r="BR123"/>
  <c r="BQ123"/>
  <c r="BP123"/>
  <c r="BO123"/>
  <c r="BN123"/>
  <c r="BM123"/>
  <c r="BL123"/>
  <c r="BK123"/>
  <c r="BJ123"/>
  <c r="BI123"/>
  <c r="BH123"/>
  <c r="BG123"/>
  <c r="BF123"/>
  <c r="BE123"/>
  <c r="BD123"/>
  <c r="BC123"/>
  <c r="BB123"/>
  <c r="BA123"/>
  <c r="AZ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G120"/>
  <c r="BT119"/>
  <c r="BS119"/>
  <c r="BR119"/>
  <c r="BQ119"/>
  <c r="BP119"/>
  <c r="BO119"/>
  <c r="BN119"/>
  <c r="BM119"/>
  <c r="BL119"/>
  <c r="BK119"/>
  <c r="BJ119"/>
  <c r="BI119"/>
  <c r="BH119"/>
  <c r="BG119"/>
  <c r="BF119"/>
  <c r="BE119"/>
  <c r="BD119"/>
  <c r="BC119"/>
  <c r="BB119"/>
  <c r="BA119"/>
  <c r="AZ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G116"/>
  <c r="BT115"/>
  <c r="BS115"/>
  <c r="BR115"/>
  <c r="BQ115"/>
  <c r="BP115"/>
  <c r="BO115"/>
  <c r="BN115"/>
  <c r="BM115"/>
  <c r="BL115"/>
  <c r="BK115"/>
  <c r="BJ115"/>
  <c r="BI115"/>
  <c r="BH115"/>
  <c r="BG115"/>
  <c r="BF115"/>
  <c r="BE115"/>
  <c r="BD115"/>
  <c r="BC115"/>
  <c r="BB115"/>
  <c r="BA115"/>
  <c r="AZ115"/>
  <c r="AX115"/>
  <c r="AW115"/>
  <c r="AV115"/>
  <c r="AC115"/>
  <c r="H115"/>
  <c r="G115"/>
  <c r="BT114"/>
  <c r="BS114"/>
  <c r="BR114"/>
  <c r="BQ114"/>
  <c r="BP114"/>
  <c r="BO114"/>
  <c r="BN114"/>
  <c r="BM114"/>
  <c r="BL114"/>
  <c r="BK114"/>
  <c r="BJ114"/>
  <c r="BI114"/>
  <c r="BH114"/>
  <c r="BG114"/>
  <c r="BF114"/>
  <c r="BE114"/>
  <c r="BD114"/>
  <c r="BC114"/>
  <c r="BB114"/>
  <c r="BA114"/>
  <c r="AZ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112"/>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Z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Z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Z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Z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Z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Z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Z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Z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Z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Z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Z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Z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Z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Z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Z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Z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Z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Z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Z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Z32"/>
  <c r="AX32"/>
  <c r="AW32"/>
  <c r="AV32"/>
  <c r="AC32"/>
  <c r="H32"/>
  <c r="G32"/>
  <c r="BT31"/>
  <c r="BS31"/>
  <c r="BR31"/>
  <c r="BQ31"/>
  <c r="BP31"/>
  <c r="BO31"/>
  <c r="BN31"/>
  <c r="BM31"/>
  <c r="BL31"/>
  <c r="BK31"/>
  <c r="BJ31"/>
  <c r="BI31"/>
  <c r="BH31"/>
  <c r="BG31"/>
  <c r="BF31"/>
  <c r="BE31"/>
  <c r="BD31"/>
  <c r="BC31"/>
  <c r="BB31"/>
  <c r="BA31"/>
  <c r="AZ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s="1"/>
  <c r="BK28"/>
  <c r="BJ28"/>
  <c r="BI28"/>
  <c r="BH28"/>
  <c r="BG28"/>
  <c r="BF28"/>
  <c r="BE28"/>
  <c r="BD28"/>
  <c r="BC28"/>
  <c r="BB28"/>
  <c r="BA28"/>
  <c r="AZ28" s="1"/>
  <c r="AX28"/>
  <c r="AW28"/>
  <c r="AV28"/>
  <c r="AC28"/>
  <c r="H28"/>
  <c r="G28" s="1"/>
  <c r="BT27"/>
  <c r="BS27"/>
  <c r="BR27"/>
  <c r="BQ27"/>
  <c r="BP27"/>
  <c r="BO27"/>
  <c r="BN27"/>
  <c r="BM27"/>
  <c r="BL27"/>
  <c r="BK27"/>
  <c r="BJ27"/>
  <c r="BI27"/>
  <c r="BH27"/>
  <c r="BG27"/>
  <c r="BF27"/>
  <c r="BE27"/>
  <c r="BD27"/>
  <c r="BC27"/>
  <c r="BB27"/>
  <c r="BA27"/>
  <c r="AZ27" s="1"/>
  <c r="AX27"/>
  <c r="AW27"/>
  <c r="AV27"/>
  <c r="AC27"/>
  <c r="H27"/>
  <c r="G27" s="1"/>
  <c r="BT26"/>
  <c r="BS26"/>
  <c r="BR26"/>
  <c r="BQ26"/>
  <c r="BP26"/>
  <c r="BO26"/>
  <c r="BN26"/>
  <c r="BM26"/>
  <c r="BL26"/>
  <c r="BK26"/>
  <c r="BJ26"/>
  <c r="BI26"/>
  <c r="BH26"/>
  <c r="BG26"/>
  <c r="BF26"/>
  <c r="BE26"/>
  <c r="BD26"/>
  <c r="BC26"/>
  <c r="BB26"/>
  <c r="BA26"/>
  <c r="AZ26" s="1"/>
  <c r="AX26"/>
  <c r="AW26"/>
  <c r="AV26"/>
  <c r="AC26"/>
  <c r="H26"/>
  <c r="G26"/>
  <c r="BT25"/>
  <c r="BS25"/>
  <c r="BR25"/>
  <c r="BQ25"/>
  <c r="BP25"/>
  <c r="BO25"/>
  <c r="BN25"/>
  <c r="BM25"/>
  <c r="BL25"/>
  <c r="BK25"/>
  <c r="BJ25"/>
  <c r="BI25"/>
  <c r="BH25"/>
  <c r="BG25"/>
  <c r="BF25"/>
  <c r="BE25"/>
  <c r="BD25"/>
  <c r="BC25"/>
  <c r="BB25"/>
  <c r="BA25"/>
  <c r="AZ25" s="1"/>
  <c r="AX25"/>
  <c r="AW25"/>
  <c r="AV25"/>
  <c r="AC25"/>
  <c r="H25"/>
  <c r="G25" s="1"/>
  <c r="BT24"/>
  <c r="BS24"/>
  <c r="BR24"/>
  <c r="BQ24"/>
  <c r="BP24"/>
  <c r="BO24"/>
  <c r="BN24"/>
  <c r="BM24"/>
  <c r="BL24" s="1"/>
  <c r="BK24"/>
  <c r="BJ24"/>
  <c r="BI24"/>
  <c r="BH24"/>
  <c r="BG24"/>
  <c r="BF24"/>
  <c r="BE24"/>
  <c r="BD24"/>
  <c r="BC24"/>
  <c r="BB24"/>
  <c r="BA24"/>
  <c r="AZ24" s="1"/>
  <c r="AX24"/>
  <c r="AW24"/>
  <c r="AV24"/>
  <c r="AC24"/>
  <c r="H24"/>
  <c r="G24" s="1"/>
  <c r="BT23"/>
  <c r="BS23"/>
  <c r="BR23"/>
  <c r="BQ23"/>
  <c r="BP23"/>
  <c r="BO23"/>
  <c r="BN23"/>
  <c r="BM23"/>
  <c r="BL23" s="1"/>
  <c r="BK23"/>
  <c r="BJ23"/>
  <c r="BI23"/>
  <c r="BH23"/>
  <c r="BG23"/>
  <c r="BF23"/>
  <c r="BE23"/>
  <c r="BD23"/>
  <c r="BC23"/>
  <c r="BB23"/>
  <c r="BA23"/>
  <c r="AZ23" s="1"/>
  <c r="AX23"/>
  <c r="AW23"/>
  <c r="AV23"/>
  <c r="AC23"/>
  <c r="H23"/>
  <c r="G23"/>
  <c r="BT22"/>
  <c r="BS22"/>
  <c r="BR22"/>
  <c r="BQ22"/>
  <c r="BP22"/>
  <c r="BO22"/>
  <c r="BN22"/>
  <c r="BM22"/>
  <c r="BL22"/>
  <c r="BK22"/>
  <c r="BJ22"/>
  <c r="BI22"/>
  <c r="BH22"/>
  <c r="BG22"/>
  <c r="BF22"/>
  <c r="BE22"/>
  <c r="BD22"/>
  <c r="BC22"/>
  <c r="BB22"/>
  <c r="BA22"/>
  <c r="AZ22" s="1"/>
  <c r="AX22"/>
  <c r="AW22"/>
  <c r="AV22"/>
  <c r="AC22"/>
  <c r="H22"/>
  <c r="G22"/>
  <c r="BT21"/>
  <c r="BS21"/>
  <c r="BR21"/>
  <c r="BQ21"/>
  <c r="BP21"/>
  <c r="BO21"/>
  <c r="BN21"/>
  <c r="BM21"/>
  <c r="BL21"/>
  <c r="BK21"/>
  <c r="BJ21"/>
  <c r="BI21"/>
  <c r="BH21"/>
  <c r="BG21"/>
  <c r="BF21"/>
  <c r="BE21"/>
  <c r="BD21"/>
  <c r="BC21"/>
  <c r="BB21"/>
  <c r="BA21"/>
  <c r="AZ21" s="1"/>
  <c r="AX21"/>
  <c r="AW21"/>
  <c r="AV21"/>
  <c r="AC21"/>
  <c r="H21"/>
  <c r="G21"/>
  <c r="BT20"/>
  <c r="BS20"/>
  <c r="BR20"/>
  <c r="BQ20"/>
  <c r="BP20"/>
  <c r="BO20"/>
  <c r="BN20"/>
  <c r="BM20"/>
  <c r="BL20"/>
  <c r="BK20"/>
  <c r="BJ20"/>
  <c r="BI20"/>
  <c r="BH20"/>
  <c r="BG20"/>
  <c r="BF20"/>
  <c r="BE20"/>
  <c r="BD20"/>
  <c r="BC20"/>
  <c r="BB20"/>
  <c r="BA20"/>
  <c r="AZ20" s="1"/>
  <c r="AX20"/>
  <c r="AW20"/>
  <c r="AV20"/>
  <c r="AC20"/>
  <c r="H20"/>
  <c r="G20"/>
  <c r="BT19"/>
  <c r="BS19"/>
  <c r="BR19"/>
  <c r="BQ19"/>
  <c r="BP19"/>
  <c r="BO19"/>
  <c r="BN19"/>
  <c r="BM19"/>
  <c r="BL19"/>
  <c r="BK19"/>
  <c r="BJ19"/>
  <c r="BI19"/>
  <c r="BH19"/>
  <c r="BG19"/>
  <c r="BF19"/>
  <c r="BE19"/>
  <c r="BD19"/>
  <c r="BC19"/>
  <c r="BB19"/>
  <c r="BA19"/>
  <c r="AZ19" s="1"/>
  <c r="AX19"/>
  <c r="AW19"/>
  <c r="AV19"/>
  <c r="AC19"/>
  <c r="H19"/>
  <c r="G19"/>
  <c r="BT18"/>
  <c r="BS18"/>
  <c r="BR18"/>
  <c r="BQ18"/>
  <c r="BP18"/>
  <c r="BO18"/>
  <c r="BN18"/>
  <c r="BM18"/>
  <c r="BL18"/>
  <c r="BK18"/>
  <c r="BJ18"/>
  <c r="BI18"/>
  <c r="BH18"/>
  <c r="BG18"/>
  <c r="BF18"/>
  <c r="BE18"/>
  <c r="BD18"/>
  <c r="BC18"/>
  <c r="BB18"/>
  <c r="BA18"/>
  <c r="AZ18" s="1"/>
  <c r="AX18"/>
  <c r="AW18"/>
  <c r="AV18"/>
  <c r="AC18"/>
  <c r="H18"/>
  <c r="G18"/>
  <c r="BT17"/>
  <c r="BS17"/>
  <c r="BR17"/>
  <c r="BQ17"/>
  <c r="BP17"/>
  <c r="BO17"/>
  <c r="BN17"/>
  <c r="BM17"/>
  <c r="BL17"/>
  <c r="BK17"/>
  <c r="BJ17"/>
  <c r="BI17"/>
  <c r="BH17"/>
  <c r="BG17"/>
  <c r="BF17"/>
  <c r="BE17"/>
  <c r="BD17"/>
  <c r="BC17"/>
  <c r="BB17"/>
  <c r="BA17"/>
  <c r="AZ17"/>
  <c r="AX17"/>
  <c r="AW17"/>
  <c r="AV17"/>
  <c r="AC17"/>
  <c r="H17"/>
  <c r="G17"/>
  <c r="F9" i="15"/>
  <c r="F13"/>
  <c r="F40"/>
  <c r="L47"/>
  <c r="M6"/>
  <c r="M8"/>
  <c r="F16"/>
  <c r="M26"/>
  <c r="M28"/>
  <c r="F6"/>
  <c r="F8"/>
  <c r="M22"/>
  <c r="M23"/>
  <c r="F36"/>
  <c r="F38"/>
  <c r="F42"/>
  <c r="M9"/>
  <c r="J15"/>
  <c r="F26"/>
  <c r="M27"/>
  <c r="M24"/>
  <c r="F37"/>
  <c r="L48"/>
  <c r="C76"/>
  <c r="M21" i="67"/>
  <c r="F35"/>
  <c r="F41"/>
  <c r="F43"/>
  <c r="F7"/>
  <c r="M29"/>
  <c r="F8"/>
  <c r="F13"/>
  <c r="F26"/>
  <c r="M9"/>
  <c r="F16"/>
  <c r="F37"/>
  <c r="M23"/>
  <c r="M27"/>
  <c r="F42"/>
  <c r="F9"/>
  <c r="M24"/>
  <c r="M26"/>
  <c r="M28"/>
  <c r="F40"/>
  <c r="F6"/>
  <c r="F38"/>
  <c r="M6"/>
  <c r="M8"/>
  <c r="J15"/>
  <c r="M22"/>
  <c r="F36"/>
  <c r="L47"/>
  <c r="C76"/>
  <c r="C16"/>
  <c r="C14"/>
  <c r="C17"/>
  <c r="C15" l="1"/>
  <c r="C19" s="1"/>
  <c r="C20" s="1"/>
  <c r="C26" s="1"/>
  <c r="C18"/>
  <c r="Q71"/>
  <c r="L59"/>
  <c r="Q61" s="1"/>
  <c r="M59"/>
  <c r="N59"/>
  <c r="F64"/>
  <c r="F66"/>
  <c r="C6"/>
  <c r="F68"/>
  <c r="F70"/>
  <c r="F65"/>
  <c r="C27"/>
  <c r="F51"/>
  <c r="F50"/>
  <c r="M7"/>
  <c r="J6" s="1"/>
  <c r="F71"/>
  <c r="F69"/>
  <c r="F63"/>
  <c r="C34"/>
  <c r="J20"/>
  <c r="Q71" i="15"/>
  <c r="F65"/>
  <c r="C27"/>
  <c r="F66"/>
  <c r="F64"/>
  <c r="F51"/>
  <c r="L58"/>
  <c r="F68"/>
  <c r="J55" i="34"/>
  <c r="P23" i="43"/>
  <c r="B71" i="39" s="1"/>
  <c r="P25" i="43"/>
  <c r="P22"/>
  <c r="O19"/>
  <c r="P24"/>
  <c r="B66" i="40" s="1"/>
  <c r="P21" i="43"/>
  <c r="T9" i="1"/>
  <c r="T13"/>
  <c r="AQ13"/>
  <c r="C36" i="11"/>
  <c r="C28" i="67"/>
  <c r="C30" i="69"/>
  <c r="C48"/>
  <c r="C28" i="15"/>
  <c r="C24" i="12"/>
  <c r="C26" s="1"/>
  <c r="D25" s="1"/>
  <c r="C36" i="68"/>
  <c r="C13" i="12"/>
  <c r="C48" i="68"/>
  <c r="C30"/>
  <c r="C77" i="9"/>
  <c r="C74" s="1"/>
  <c r="AR13" i="1"/>
  <c r="O16"/>
  <c r="D41" i="69"/>
  <c r="J10" i="67"/>
  <c r="J5" s="1"/>
  <c r="C53"/>
  <c r="Q52" s="1"/>
  <c r="C10"/>
  <c r="D41" i="68"/>
  <c r="C53" i="15"/>
  <c r="A17" i="3"/>
  <c r="BT16"/>
  <c r="BS16"/>
  <c r="BR16"/>
  <c r="BQ16"/>
  <c r="BP16"/>
  <c r="BO16"/>
  <c r="BN16"/>
  <c r="BM16"/>
  <c r="BL16"/>
  <c r="BK16"/>
  <c r="BJ16"/>
  <c r="BI16"/>
  <c r="BH16"/>
  <c r="BG16"/>
  <c r="BF16"/>
  <c r="BE16"/>
  <c r="BD16"/>
  <c r="BC16"/>
  <c r="BB16"/>
  <c r="BA16"/>
  <c r="AZ16"/>
  <c r="AX16"/>
  <c r="AW16"/>
  <c r="AV16"/>
  <c r="AC16"/>
  <c r="H16"/>
  <c r="G16"/>
  <c r="BT15"/>
  <c r="BS15"/>
  <c r="BR15"/>
  <c r="BQ15"/>
  <c r="BP15"/>
  <c r="BO15"/>
  <c r="BN15"/>
  <c r="BM15"/>
  <c r="BL15"/>
  <c r="BK15"/>
  <c r="BJ15"/>
  <c r="BI15"/>
  <c r="BH15"/>
  <c r="BG15"/>
  <c r="BF15"/>
  <c r="BE15"/>
  <c r="BD15"/>
  <c r="BC15"/>
  <c r="BB15"/>
  <c r="BA15"/>
  <c r="AZ15"/>
  <c r="AX15"/>
  <c r="AW15"/>
  <c r="AV15"/>
  <c r="AC15"/>
  <c r="H15"/>
  <c r="G15"/>
  <c r="BT14"/>
  <c r="BT5" s="1"/>
  <c r="BS14"/>
  <c r="BS5" s="1"/>
  <c r="BR14"/>
  <c r="BR5" s="1"/>
  <c r="BQ14"/>
  <c r="BP14"/>
  <c r="BP5" s="1"/>
  <c r="BO14"/>
  <c r="BO5" s="1"/>
  <c r="BN14"/>
  <c r="BN5" s="1"/>
  <c r="G29" i="6" s="1"/>
  <c r="BM14" i="3"/>
  <c r="BL14"/>
  <c r="BL5" s="1"/>
  <c r="BK14"/>
  <c r="BK5" s="1"/>
  <c r="BJ14"/>
  <c r="BJ5" s="1"/>
  <c r="BI5" s="1"/>
  <c r="BI14"/>
  <c r="BH14"/>
  <c r="BG14"/>
  <c r="BF14"/>
  <c r="BE14"/>
  <c r="BD14"/>
  <c r="BC14"/>
  <c r="BB14"/>
  <c r="BA14" s="1"/>
  <c r="AX14"/>
  <c r="AW14"/>
  <c r="AV14"/>
  <c r="AC14"/>
  <c r="H14"/>
  <c r="G14" s="1"/>
  <c r="BT13"/>
  <c r="BS13"/>
  <c r="BR13"/>
  <c r="BQ13"/>
  <c r="BP13"/>
  <c r="BO13"/>
  <c r="BN13"/>
  <c r="BM13"/>
  <c r="BL13"/>
  <c r="BK13"/>
  <c r="BJ13"/>
  <c r="BI13"/>
  <c r="BH13"/>
  <c r="BG13"/>
  <c r="BF13"/>
  <c r="BE13"/>
  <c r="BD13"/>
  <c r="BC13"/>
  <c r="BB13"/>
  <c r="BA13" s="1"/>
  <c r="AZ13"/>
  <c r="AX13"/>
  <c r="AW13"/>
  <c r="AV13"/>
  <c r="AC13"/>
  <c r="H13"/>
  <c r="G13" s="1"/>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AT6"/>
  <c r="BQ5"/>
  <c r="BM5"/>
  <c r="BH5"/>
  <c r="BG5"/>
  <c r="BF5"/>
  <c r="BE5"/>
  <c r="BD5"/>
  <c r="BC5"/>
  <c r="E5" i="6" s="1"/>
  <c r="BB5" i="3"/>
  <c r="AT5"/>
  <c r="AS5"/>
  <c r="AR5"/>
  <c r="AQ5"/>
  <c r="AP5"/>
  <c r="AO5"/>
  <c r="AN5"/>
  <c r="AM5"/>
  <c r="AL5"/>
  <c r="AK5"/>
  <c r="AJ5"/>
  <c r="AI5"/>
  <c r="AH5"/>
  <c r="AG5"/>
  <c r="AF5"/>
  <c r="AE5"/>
  <c r="AD5"/>
  <c r="AC5"/>
  <c r="AB5"/>
  <c r="AA5"/>
  <c r="Z5"/>
  <c r="Y5"/>
  <c r="X5"/>
  <c r="W5"/>
  <c r="V5"/>
  <c r="U5"/>
  <c r="T5"/>
  <c r="S5"/>
  <c r="R5"/>
  <c r="Q5"/>
  <c r="P5"/>
  <c r="O5"/>
  <c r="N5"/>
  <c r="M5"/>
  <c r="L5"/>
  <c r="K5"/>
  <c r="J5"/>
  <c r="I5"/>
  <c r="I4" i="6" s="1"/>
  <c r="G3" i="43" s="1"/>
  <c r="H5" i="3"/>
  <c r="G5" s="1"/>
  <c r="F5"/>
  <c r="T35" i="4"/>
  <c r="R35"/>
  <c r="Q35"/>
  <c r="P35"/>
  <c r="O35"/>
  <c r="N35"/>
  <c r="M35"/>
  <c r="L35"/>
  <c r="F35"/>
  <c r="T34"/>
  <c r="K34"/>
  <c r="C33"/>
  <c r="C32"/>
  <c r="C31"/>
  <c r="L22"/>
  <c r="L21"/>
  <c r="L20"/>
  <c r="F19"/>
  <c r="I15"/>
  <c r="H15"/>
  <c r="G15"/>
  <c r="F15"/>
  <c r="E15"/>
  <c r="D15"/>
  <c r="C11"/>
  <c r="K6"/>
  <c r="B6"/>
  <c r="K5"/>
  <c r="I4"/>
  <c r="G4"/>
  <c r="D3"/>
  <c r="S2"/>
  <c r="S1"/>
  <c r="B1"/>
  <c r="C53" i="10"/>
  <c r="B51"/>
  <c r="B2" i="49"/>
  <c r="E21" s="1"/>
  <c r="A21" i="62"/>
  <c r="A20"/>
  <c r="A19"/>
  <c r="A18" s="1"/>
  <c r="A15"/>
  <c r="A14"/>
  <c r="A13"/>
  <c r="A12"/>
  <c r="A5"/>
  <c r="A4"/>
  <c r="D7" i="52"/>
  <c r="D6"/>
  <c r="A6"/>
  <c r="H2"/>
  <c r="F2"/>
  <c r="D2"/>
  <c r="A1"/>
  <c r="D21" i="53" s="1"/>
  <c r="D20"/>
  <c r="D19"/>
  <c r="B19" s="1"/>
  <c r="B16"/>
  <c r="D12"/>
  <c r="D11"/>
  <c r="D10"/>
  <c r="D8"/>
  <c r="B8"/>
  <c r="A3"/>
  <c r="A2"/>
  <c r="A24" i="51" s="1"/>
  <c r="A22"/>
  <c r="B17" i="72" s="1"/>
  <c r="A21" i="51"/>
  <c r="B16" i="72" s="1"/>
  <c r="B15" s="1"/>
  <c r="B14" s="1"/>
  <c r="B13" s="1"/>
  <c r="B12" s="1"/>
  <c r="A20" i="51"/>
  <c r="A19"/>
  <c r="A18"/>
  <c r="A15"/>
  <c r="A3"/>
  <c r="B49" i="48"/>
  <c r="B40"/>
  <c r="B37" s="1"/>
  <c r="B74" i="72"/>
  <c r="B69"/>
  <c r="B68"/>
  <c r="B65"/>
  <c r="B64" s="1"/>
  <c r="B63"/>
  <c r="B62"/>
  <c r="B59"/>
  <c r="B58"/>
  <c r="B57" s="1"/>
  <c r="B44"/>
  <c r="B42"/>
  <c r="B24"/>
  <c r="B23" s="1"/>
  <c r="B10"/>
  <c r="B8"/>
  <c r="Q73" i="15" l="1"/>
  <c r="Q60"/>
  <c r="B61" i="72"/>
  <c r="B60" s="1"/>
  <c r="C5" i="67"/>
  <c r="C38" s="1"/>
  <c r="A118" i="9"/>
  <c r="A2"/>
  <c r="B38" i="72"/>
  <c r="B37" s="1"/>
  <c r="B67"/>
  <c r="B66" s="1"/>
  <c r="B47" i="48"/>
  <c r="D9" i="53"/>
  <c r="A4" i="52"/>
  <c r="B41" i="72" s="1"/>
  <c r="B40" s="1"/>
  <c r="B39" s="1"/>
  <c r="C51" i="10"/>
  <c r="A13" i="51" s="1"/>
  <c r="B11" i="72" s="1"/>
  <c r="G28" i="6"/>
  <c r="AZ14" i="3"/>
  <c r="AZ5" s="1"/>
  <c r="BA5"/>
  <c r="F29" i="6"/>
  <c r="E29" s="1"/>
  <c r="D19" i="12"/>
  <c r="C19" s="1"/>
  <c r="D9" i="11"/>
  <c r="C9" s="1"/>
  <c r="D9" i="68"/>
  <c r="C9" s="1"/>
  <c r="D9" i="69"/>
  <c r="C9" s="1"/>
  <c r="B3" i="3"/>
  <c r="C23" i="67"/>
  <c r="B113" i="43"/>
  <c r="K101"/>
  <c r="G101"/>
  <c r="C101"/>
  <c r="F22"/>
  <c r="AG11"/>
  <c r="AC11"/>
  <c r="Y11"/>
  <c r="S6"/>
  <c r="S5"/>
  <c r="S4"/>
  <c r="S2"/>
  <c r="H101"/>
  <c r="C23"/>
  <c r="C21" s="1"/>
  <c r="G22"/>
  <c r="AH11"/>
  <c r="AD11"/>
  <c r="Z11"/>
  <c r="S7"/>
  <c r="S3"/>
  <c r="I101"/>
  <c r="E101"/>
  <c r="AE11"/>
  <c r="J101"/>
  <c r="J22"/>
  <c r="E22"/>
  <c r="N104" i="46"/>
  <c r="L101" i="43"/>
  <c r="D101"/>
  <c r="M101"/>
  <c r="H22"/>
  <c r="AI11"/>
  <c r="AA11"/>
  <c r="Z7"/>
  <c r="X7" s="1"/>
  <c r="N101"/>
  <c r="F101"/>
  <c r="AJ11"/>
  <c r="AJ13" s="1"/>
  <c r="AF11"/>
  <c r="AB11"/>
  <c r="E14" i="6"/>
  <c r="E59" i="40" s="1"/>
  <c r="E12" i="6"/>
  <c r="E62" i="39" s="1"/>
  <c r="E11" i="6"/>
  <c r="E10"/>
  <c r="E15"/>
  <c r="E65" i="39" s="1"/>
  <c r="E8" i="6"/>
  <c r="I6" i="3"/>
  <c r="E9" i="49"/>
  <c r="J26" i="67"/>
  <c r="J29" s="1"/>
  <c r="J18"/>
  <c r="J24"/>
  <c r="E5" i="49"/>
  <c r="E7"/>
  <c r="E11"/>
  <c r="E16"/>
  <c r="B23"/>
  <c r="B5"/>
  <c r="B7"/>
  <c r="B9"/>
  <c r="B11"/>
  <c r="E4" i="4" s="1"/>
  <c r="B16" i="49"/>
  <c r="E22"/>
  <c r="E4"/>
  <c r="E6"/>
  <c r="E8"/>
  <c r="E10"/>
  <c r="B14"/>
  <c r="B22"/>
  <c r="B4"/>
  <c r="B6"/>
  <c r="B8"/>
  <c r="B10"/>
  <c r="B13"/>
  <c r="C32" i="67" l="1"/>
  <c r="F28" i="6"/>
  <c r="G30"/>
  <c r="AY6" i="3"/>
  <c r="D3" i="6" s="1"/>
  <c r="AY581" i="3"/>
  <c r="AY577"/>
  <c r="AY565"/>
  <c r="AY561"/>
  <c r="AY549"/>
  <c r="AY545"/>
  <c r="AY533"/>
  <c r="AY528"/>
  <c r="AY516"/>
  <c r="AY512"/>
  <c r="AY500"/>
  <c r="AY496"/>
  <c r="AY484"/>
  <c r="AY480"/>
  <c r="AY468"/>
  <c r="AY464"/>
  <c r="AY452"/>
  <c r="AY448"/>
  <c r="AY436"/>
  <c r="AY432"/>
  <c r="AY420"/>
  <c r="AY416"/>
  <c r="AY404"/>
  <c r="AY400"/>
  <c r="AY388"/>
  <c r="AY384"/>
  <c r="AY372"/>
  <c r="AY368"/>
  <c r="AY356"/>
  <c r="AY352"/>
  <c r="AY340"/>
  <c r="AY336"/>
  <c r="AY324"/>
  <c r="AY320"/>
  <c r="AY308"/>
  <c r="AY304"/>
  <c r="AY292"/>
  <c r="AY288"/>
  <c r="AY276"/>
  <c r="AY272"/>
  <c r="AY260"/>
  <c r="AY256"/>
  <c r="AY586"/>
  <c r="AY582"/>
  <c r="AY566"/>
  <c r="AY562"/>
  <c r="AY534"/>
  <c r="AY530"/>
  <c r="AY513"/>
  <c r="AY505"/>
  <c r="AY580"/>
  <c r="AY576"/>
  <c r="AY564"/>
  <c r="AY560"/>
  <c r="AY548"/>
  <c r="AY544"/>
  <c r="AY532"/>
  <c r="AY527"/>
  <c r="AY515"/>
  <c r="AY511"/>
  <c r="AY499"/>
  <c r="AY495"/>
  <c r="AY483"/>
  <c r="AY479"/>
  <c r="AY467"/>
  <c r="AY463"/>
  <c r="AY451"/>
  <c r="AY447"/>
  <c r="AY435"/>
  <c r="AY431"/>
  <c r="AY419"/>
  <c r="AY415"/>
  <c r="AY403"/>
  <c r="AY399"/>
  <c r="AY387"/>
  <c r="AY383"/>
  <c r="AY371"/>
  <c r="AY367"/>
  <c r="AY355"/>
  <c r="AY351"/>
  <c r="AY339"/>
  <c r="AY335"/>
  <c r="AY323"/>
  <c r="AY319"/>
  <c r="AY307"/>
  <c r="AY303"/>
  <c r="AY291"/>
  <c r="AY287"/>
  <c r="AY275"/>
  <c r="AY271"/>
  <c r="AY259"/>
  <c r="AY255"/>
  <c r="AY570"/>
  <c r="AY558"/>
  <c r="AY538"/>
  <c r="AY525"/>
  <c r="AY526"/>
  <c r="AY518"/>
  <c r="AY389"/>
  <c r="AY378"/>
  <c r="AY366"/>
  <c r="AY361"/>
  <c r="AY354"/>
  <c r="AY350"/>
  <c r="AY341"/>
  <c r="AY334"/>
  <c r="AY326"/>
  <c r="AY325"/>
  <c r="AY318"/>
  <c r="AY317"/>
  <c r="AY309"/>
  <c r="AY306"/>
  <c r="AY294"/>
  <c r="AY285"/>
  <c r="AY274"/>
  <c r="AY270"/>
  <c r="AY262"/>
  <c r="AY258"/>
  <c r="AY253"/>
  <c r="AY250"/>
  <c r="AY583"/>
  <c r="AY575"/>
  <c r="AY551"/>
  <c r="AY543"/>
  <c r="AY571"/>
  <c r="AY563"/>
  <c r="AY539"/>
  <c r="AY531"/>
  <c r="AY494"/>
  <c r="AY493"/>
  <c r="AY486"/>
  <c r="AY485"/>
  <c r="AY478"/>
  <c r="AY477"/>
  <c r="AY470"/>
  <c r="AY469"/>
  <c r="AY462"/>
  <c r="AY461"/>
  <c r="AY454"/>
  <c r="AY453"/>
  <c r="AY446"/>
  <c r="AY445"/>
  <c r="AY438"/>
  <c r="AY437"/>
  <c r="AY430"/>
  <c r="AY429"/>
  <c r="AY422"/>
  <c r="AY421"/>
  <c r="AY414"/>
  <c r="AY413"/>
  <c r="AY406"/>
  <c r="AY405"/>
  <c r="AY398"/>
  <c r="AY397"/>
  <c r="AY390"/>
  <c r="AY386"/>
  <c r="AY381"/>
  <c r="AY377"/>
  <c r="AY365"/>
  <c r="AY362"/>
  <c r="AY342"/>
  <c r="AY338"/>
  <c r="AY313"/>
  <c r="AY305"/>
  <c r="AY293"/>
  <c r="AY290"/>
  <c r="AY281"/>
  <c r="AY277"/>
  <c r="AY261"/>
  <c r="AY246"/>
  <c r="AY535"/>
  <c r="AY244"/>
  <c r="AY232"/>
  <c r="AY228"/>
  <c r="AY216"/>
  <c r="AY212"/>
  <c r="AY200"/>
  <c r="AY196"/>
  <c r="AY184"/>
  <c r="AY180"/>
  <c r="AY168"/>
  <c r="AY164"/>
  <c r="AY152"/>
  <c r="AY148"/>
  <c r="AY136"/>
  <c r="AY132"/>
  <c r="AY120"/>
  <c r="AY116"/>
  <c r="AY104"/>
  <c r="AY100"/>
  <c r="AY88"/>
  <c r="AY84"/>
  <c r="AY71"/>
  <c r="AY67"/>
  <c r="AY55"/>
  <c r="AY51"/>
  <c r="AY39"/>
  <c r="AY35"/>
  <c r="AY17"/>
  <c r="AY245"/>
  <c r="AY233"/>
  <c r="AY213"/>
  <c r="AY185"/>
  <c r="AY177"/>
  <c r="AY161"/>
  <c r="AY157"/>
  <c r="AY137"/>
  <c r="AY129"/>
  <c r="AY113"/>
  <c r="AY109"/>
  <c r="AY93"/>
  <c r="AY80"/>
  <c r="AY56"/>
  <c r="AY44"/>
  <c r="AY23"/>
  <c r="AY22"/>
  <c r="AY18"/>
  <c r="AY242"/>
  <c r="AY206"/>
  <c r="AY202"/>
  <c r="AY170"/>
  <c r="AY166"/>
  <c r="AY150"/>
  <c r="AY138"/>
  <c r="AY118"/>
  <c r="AY106"/>
  <c r="AY86"/>
  <c r="AY81"/>
  <c r="AY61"/>
  <c r="AY53"/>
  <c r="AY37"/>
  <c r="AY33"/>
  <c r="AY239"/>
  <c r="AY235"/>
  <c r="AY223"/>
  <c r="AY219"/>
  <c r="AY207"/>
  <c r="AY203"/>
  <c r="AY191"/>
  <c r="AY187"/>
  <c r="AY175"/>
  <c r="AY171"/>
  <c r="AY159"/>
  <c r="AY155"/>
  <c r="AY143"/>
  <c r="AY139"/>
  <c r="AY127"/>
  <c r="AY123"/>
  <c r="AY111"/>
  <c r="AY107"/>
  <c r="AY95"/>
  <c r="AY91"/>
  <c r="AY78"/>
  <c r="AY74"/>
  <c r="AY62"/>
  <c r="AY58"/>
  <c r="AY46"/>
  <c r="AY42"/>
  <c r="AY30"/>
  <c r="AY28"/>
  <c r="AY225"/>
  <c r="AY221"/>
  <c r="AY197"/>
  <c r="AY193"/>
  <c r="AY173"/>
  <c r="AY145"/>
  <c r="AY121"/>
  <c r="AY101"/>
  <c r="AY76"/>
  <c r="AY68"/>
  <c r="AY48"/>
  <c r="AY32"/>
  <c r="AY19"/>
  <c r="AY238"/>
  <c r="AY218"/>
  <c r="AY214"/>
  <c r="AY194"/>
  <c r="AY190"/>
  <c r="AY158"/>
  <c r="AY146"/>
  <c r="AY126"/>
  <c r="AY114"/>
  <c r="AY98"/>
  <c r="AY77"/>
  <c r="AY45"/>
  <c r="BR6"/>
  <c r="BF6"/>
  <c r="BB6"/>
  <c r="BO6"/>
  <c r="BK6"/>
  <c r="AY15"/>
  <c r="AY14"/>
  <c r="BL6"/>
  <c r="BH6"/>
  <c r="AY13"/>
  <c r="BQ6"/>
  <c r="BE6"/>
  <c r="BA6"/>
  <c r="N109" i="43"/>
  <c r="N106"/>
  <c r="N105"/>
  <c r="N104"/>
  <c r="N102"/>
  <c r="N107"/>
  <c r="N103"/>
  <c r="G109"/>
  <c r="G107"/>
  <c r="G106"/>
  <c r="G105"/>
  <c r="G104"/>
  <c r="G103"/>
  <c r="G102"/>
  <c r="E56" i="40"/>
  <c r="E61" i="39"/>
  <c r="M107" i="43"/>
  <c r="M104"/>
  <c r="M103"/>
  <c r="M102"/>
  <c r="M109"/>
  <c r="M106"/>
  <c r="M105"/>
  <c r="E107"/>
  <c r="E106"/>
  <c r="E103"/>
  <c r="E102"/>
  <c r="E109"/>
  <c r="E105"/>
  <c r="E104"/>
  <c r="M20"/>
  <c r="C19" s="1"/>
  <c r="K109"/>
  <c r="K107"/>
  <c r="K106"/>
  <c r="K105"/>
  <c r="K104"/>
  <c r="K103"/>
  <c r="K102"/>
  <c r="D22"/>
  <c r="F109"/>
  <c r="F107"/>
  <c r="F104"/>
  <c r="F102"/>
  <c r="F106"/>
  <c r="F105"/>
  <c r="F103"/>
  <c r="L102"/>
  <c r="L109"/>
  <c r="L107"/>
  <c r="L106"/>
  <c r="L105"/>
  <c r="L104"/>
  <c r="L103"/>
  <c r="J109"/>
  <c r="J107"/>
  <c r="J106"/>
  <c r="J105"/>
  <c r="J103"/>
  <c r="J104"/>
  <c r="J102"/>
  <c r="C109"/>
  <c r="C107"/>
  <c r="C106"/>
  <c r="C105"/>
  <c r="C104"/>
  <c r="C103"/>
  <c r="C102"/>
  <c r="E51" i="40"/>
  <c r="E56" i="39"/>
  <c r="D109" i="43"/>
  <c r="D107"/>
  <c r="D106"/>
  <c r="D105"/>
  <c r="D104"/>
  <c r="D103"/>
  <c r="D102"/>
  <c r="I109"/>
  <c r="I106"/>
  <c r="I105"/>
  <c r="I104"/>
  <c r="I107"/>
  <c r="I103"/>
  <c r="I102"/>
  <c r="H109"/>
  <c r="H107"/>
  <c r="H106"/>
  <c r="H105"/>
  <c r="H104"/>
  <c r="H103"/>
  <c r="H102"/>
  <c r="I118"/>
  <c r="I117"/>
  <c r="D116"/>
  <c r="B115"/>
  <c r="D113" s="1"/>
  <c r="G118"/>
  <c r="D117"/>
  <c r="B116"/>
  <c r="B118"/>
  <c r="I116"/>
  <c r="D115"/>
  <c r="D118"/>
  <c r="B117"/>
  <c r="I115"/>
  <c r="E584" i="3"/>
  <c r="E580"/>
  <c r="E576"/>
  <c r="E572"/>
  <c r="E568"/>
  <c r="E564"/>
  <c r="E560"/>
  <c r="E556"/>
  <c r="E552"/>
  <c r="E548"/>
  <c r="E544"/>
  <c r="E540"/>
  <c r="E536"/>
  <c r="E532"/>
  <c r="E527"/>
  <c r="E523"/>
  <c r="E519"/>
  <c r="E515"/>
  <c r="E511"/>
  <c r="E507"/>
  <c r="E503"/>
  <c r="E499"/>
  <c r="E495"/>
  <c r="E491"/>
  <c r="E487"/>
  <c r="E483"/>
  <c r="E479"/>
  <c r="E475"/>
  <c r="E471"/>
  <c r="E467"/>
  <c r="E463"/>
  <c r="E459"/>
  <c r="E455"/>
  <c r="E451"/>
  <c r="E447"/>
  <c r="E443"/>
  <c r="E439"/>
  <c r="E435"/>
  <c r="E431"/>
  <c r="E427"/>
  <c r="E423"/>
  <c r="E419"/>
  <c r="E415"/>
  <c r="E411"/>
  <c r="E407"/>
  <c r="E403"/>
  <c r="E399"/>
  <c r="E395"/>
  <c r="E391"/>
  <c r="E387"/>
  <c r="E383"/>
  <c r="E379"/>
  <c r="E375"/>
  <c r="E371"/>
  <c r="E367"/>
  <c r="E363"/>
  <c r="E359"/>
  <c r="E355"/>
  <c r="E351"/>
  <c r="E347"/>
  <c r="E343"/>
  <c r="E339"/>
  <c r="E335"/>
  <c r="E331"/>
  <c r="E327"/>
  <c r="E323"/>
  <c r="E319"/>
  <c r="E315"/>
  <c r="E311"/>
  <c r="E307"/>
  <c r="E303"/>
  <c r="E299"/>
  <c r="E295"/>
  <c r="E291"/>
  <c r="E287"/>
  <c r="E283"/>
  <c r="E279"/>
  <c r="E275"/>
  <c r="E271"/>
  <c r="E267"/>
  <c r="E263"/>
  <c r="E259"/>
  <c r="E255"/>
  <c r="E251"/>
  <c r="E247"/>
  <c r="I3" i="6"/>
  <c r="E3" s="1"/>
  <c r="E585" i="3"/>
  <c r="E581"/>
  <c r="E577"/>
  <c r="E573"/>
  <c r="E565"/>
  <c r="E561"/>
  <c r="E553"/>
  <c r="E545"/>
  <c r="E541"/>
  <c r="E528"/>
  <c r="E524"/>
  <c r="E516"/>
  <c r="E512"/>
  <c r="E504"/>
  <c r="E587"/>
  <c r="E583"/>
  <c r="E579"/>
  <c r="E575"/>
  <c r="E571"/>
  <c r="E567"/>
  <c r="E563"/>
  <c r="E559"/>
  <c r="E555"/>
  <c r="E551"/>
  <c r="E547"/>
  <c r="E543"/>
  <c r="E539"/>
  <c r="E535"/>
  <c r="E531"/>
  <c r="E526"/>
  <c r="E522"/>
  <c r="E518"/>
  <c r="E514"/>
  <c r="E510"/>
  <c r="E506"/>
  <c r="E502"/>
  <c r="E498"/>
  <c r="E494"/>
  <c r="E490"/>
  <c r="E486"/>
  <c r="E482"/>
  <c r="E478"/>
  <c r="E474"/>
  <c r="E470"/>
  <c r="E466"/>
  <c r="E462"/>
  <c r="E458"/>
  <c r="E454"/>
  <c r="E450"/>
  <c r="E446"/>
  <c r="E442"/>
  <c r="E438"/>
  <c r="E434"/>
  <c r="E430"/>
  <c r="E426"/>
  <c r="E422"/>
  <c r="E418"/>
  <c r="E414"/>
  <c r="E410"/>
  <c r="E406"/>
  <c r="E402"/>
  <c r="E398"/>
  <c r="E394"/>
  <c r="E390"/>
  <c r="E386"/>
  <c r="E382"/>
  <c r="E378"/>
  <c r="E374"/>
  <c r="E370"/>
  <c r="E366"/>
  <c r="E362"/>
  <c r="E358"/>
  <c r="E354"/>
  <c r="E350"/>
  <c r="E346"/>
  <c r="E342"/>
  <c r="E338"/>
  <c r="E334"/>
  <c r="E330"/>
  <c r="E326"/>
  <c r="E322"/>
  <c r="E318"/>
  <c r="E314"/>
  <c r="E310"/>
  <c r="E306"/>
  <c r="E302"/>
  <c r="E298"/>
  <c r="E294"/>
  <c r="E290"/>
  <c r="E286"/>
  <c r="E282"/>
  <c r="E278"/>
  <c r="E274"/>
  <c r="E270"/>
  <c r="E266"/>
  <c r="E262"/>
  <c r="E258"/>
  <c r="E254"/>
  <c r="E250"/>
  <c r="E246"/>
  <c r="E569"/>
  <c r="E557"/>
  <c r="E549"/>
  <c r="E537"/>
  <c r="E533"/>
  <c r="E520"/>
  <c r="E508"/>
  <c r="E529"/>
  <c r="E521"/>
  <c r="E513"/>
  <c r="E505"/>
  <c r="E525"/>
  <c r="E500"/>
  <c r="E497"/>
  <c r="E493"/>
  <c r="E488"/>
  <c r="E484"/>
  <c r="E480"/>
  <c r="E477"/>
  <c r="E472"/>
  <c r="E468"/>
  <c r="E464"/>
  <c r="E457"/>
  <c r="E453"/>
  <c r="E448"/>
  <c r="E444"/>
  <c r="E437"/>
  <c r="E433"/>
  <c r="E428"/>
  <c r="E425"/>
  <c r="E420"/>
  <c r="E416"/>
  <c r="E412"/>
  <c r="E408"/>
  <c r="E404"/>
  <c r="E397"/>
  <c r="E392"/>
  <c r="E385"/>
  <c r="E380"/>
  <c r="E376"/>
  <c r="E369"/>
  <c r="E365"/>
  <c r="E361"/>
  <c r="E356"/>
  <c r="E353"/>
  <c r="E349"/>
  <c r="E344"/>
  <c r="E340"/>
  <c r="E336"/>
  <c r="E333"/>
  <c r="E328"/>
  <c r="E325"/>
  <c r="E321"/>
  <c r="E317"/>
  <c r="E313"/>
  <c r="E308"/>
  <c r="E304"/>
  <c r="E300"/>
  <c r="E296"/>
  <c r="E289"/>
  <c r="E285"/>
  <c r="E280"/>
  <c r="E276"/>
  <c r="E272"/>
  <c r="E269"/>
  <c r="E264"/>
  <c r="E260"/>
  <c r="E256"/>
  <c r="E252"/>
  <c r="E249"/>
  <c r="E586"/>
  <c r="E578"/>
  <c r="E570"/>
  <c r="E562"/>
  <c r="E554"/>
  <c r="E546"/>
  <c r="E538"/>
  <c r="E582"/>
  <c r="E574"/>
  <c r="E566"/>
  <c r="E558"/>
  <c r="E550"/>
  <c r="E542"/>
  <c r="E534"/>
  <c r="E517"/>
  <c r="E509"/>
  <c r="E501"/>
  <c r="E496"/>
  <c r="E492"/>
  <c r="E489"/>
  <c r="E485"/>
  <c r="E481"/>
  <c r="E476"/>
  <c r="E473"/>
  <c r="E469"/>
  <c r="E465"/>
  <c r="E461"/>
  <c r="E460"/>
  <c r="E456"/>
  <c r="E452"/>
  <c r="E449"/>
  <c r="E445"/>
  <c r="E441"/>
  <c r="E440"/>
  <c r="E436"/>
  <c r="E432"/>
  <c r="E429"/>
  <c r="E424"/>
  <c r="E421"/>
  <c r="E417"/>
  <c r="E413"/>
  <c r="E409"/>
  <c r="E405"/>
  <c r="E401"/>
  <c r="E400"/>
  <c r="E396"/>
  <c r="E393"/>
  <c r="E389"/>
  <c r="E388"/>
  <c r="E384"/>
  <c r="E381"/>
  <c r="E377"/>
  <c r="E373"/>
  <c r="E372"/>
  <c r="E368"/>
  <c r="E364"/>
  <c r="E360"/>
  <c r="E357"/>
  <c r="E352"/>
  <c r="E348"/>
  <c r="E345"/>
  <c r="E341"/>
  <c r="E337"/>
  <c r="E332"/>
  <c r="E329"/>
  <c r="E324"/>
  <c r="E320"/>
  <c r="E316"/>
  <c r="E312"/>
  <c r="E309"/>
  <c r="E305"/>
  <c r="E301"/>
  <c r="E297"/>
  <c r="E293"/>
  <c r="E292"/>
  <c r="E288"/>
  <c r="E284"/>
  <c r="E281"/>
  <c r="E277"/>
  <c r="E273"/>
  <c r="E268"/>
  <c r="E265"/>
  <c r="E261"/>
  <c r="E257"/>
  <c r="E253"/>
  <c r="E248"/>
  <c r="E243"/>
  <c r="E239"/>
  <c r="E235"/>
  <c r="E231"/>
  <c r="E227"/>
  <c r="E223"/>
  <c r="E219"/>
  <c r="E215"/>
  <c r="E211"/>
  <c r="E207"/>
  <c r="E203"/>
  <c r="E199"/>
  <c r="E195"/>
  <c r="E191"/>
  <c r="E187"/>
  <c r="E183"/>
  <c r="E179"/>
  <c r="E175"/>
  <c r="E171"/>
  <c r="E167"/>
  <c r="E163"/>
  <c r="E159"/>
  <c r="E155"/>
  <c r="E151"/>
  <c r="E147"/>
  <c r="E143"/>
  <c r="E139"/>
  <c r="E135"/>
  <c r="E131"/>
  <c r="E127"/>
  <c r="E123"/>
  <c r="E119"/>
  <c r="E115"/>
  <c r="E111"/>
  <c r="E107"/>
  <c r="E103"/>
  <c r="E99"/>
  <c r="E91"/>
  <c r="E87"/>
  <c r="E82"/>
  <c r="E78"/>
  <c r="E74"/>
  <c r="E70"/>
  <c r="E66"/>
  <c r="E58"/>
  <c r="E54"/>
  <c r="E50"/>
  <c r="E46"/>
  <c r="E42"/>
  <c r="E38"/>
  <c r="E34"/>
  <c r="E244"/>
  <c r="E240"/>
  <c r="E236"/>
  <c r="E232"/>
  <c r="E228"/>
  <c r="E224"/>
  <c r="E220"/>
  <c r="E212"/>
  <c r="E204"/>
  <c r="E200"/>
  <c r="E196"/>
  <c r="E192"/>
  <c r="E184"/>
  <c r="E176"/>
  <c r="E168"/>
  <c r="E160"/>
  <c r="E152"/>
  <c r="E148"/>
  <c r="E144"/>
  <c r="E136"/>
  <c r="E132"/>
  <c r="E120"/>
  <c r="E116"/>
  <c r="E108"/>
  <c r="E104"/>
  <c r="E96"/>
  <c r="E92"/>
  <c r="E88"/>
  <c r="E83"/>
  <c r="E75"/>
  <c r="E67"/>
  <c r="E63"/>
  <c r="E55"/>
  <c r="E51"/>
  <c r="E43"/>
  <c r="E35"/>
  <c r="E31"/>
  <c r="E245"/>
  <c r="E241"/>
  <c r="E237"/>
  <c r="E229"/>
  <c r="E221"/>
  <c r="E217"/>
  <c r="E209"/>
  <c r="E201"/>
  <c r="E197"/>
  <c r="E193"/>
  <c r="E185"/>
  <c r="E181"/>
  <c r="E177"/>
  <c r="E169"/>
  <c r="E161"/>
  <c r="E153"/>
  <c r="E149"/>
  <c r="E145"/>
  <c r="E137"/>
  <c r="E133"/>
  <c r="E129"/>
  <c r="E121"/>
  <c r="E117"/>
  <c r="E113"/>
  <c r="E105"/>
  <c r="E101"/>
  <c r="E93"/>
  <c r="E89"/>
  <c r="E80"/>
  <c r="E72"/>
  <c r="E68"/>
  <c r="E60"/>
  <c r="E52"/>
  <c r="E44"/>
  <c r="E36"/>
  <c r="E27"/>
  <c r="E23"/>
  <c r="E21"/>
  <c r="E19"/>
  <c r="E18"/>
  <c r="A18" s="1"/>
  <c r="E530"/>
  <c r="E242"/>
  <c r="E238"/>
  <c r="E234"/>
  <c r="E230"/>
  <c r="E226"/>
  <c r="E222"/>
  <c r="E218"/>
  <c r="E214"/>
  <c r="E210"/>
  <c r="E206"/>
  <c r="E202"/>
  <c r="E198"/>
  <c r="E194"/>
  <c r="E190"/>
  <c r="E186"/>
  <c r="E182"/>
  <c r="E178"/>
  <c r="E174"/>
  <c r="E170"/>
  <c r="E166"/>
  <c r="E162"/>
  <c r="E158"/>
  <c r="E154"/>
  <c r="E150"/>
  <c r="E146"/>
  <c r="E142"/>
  <c r="E138"/>
  <c r="E134"/>
  <c r="E130"/>
  <c r="E126"/>
  <c r="E122"/>
  <c r="E118"/>
  <c r="E114"/>
  <c r="E110"/>
  <c r="E106"/>
  <c r="E102"/>
  <c r="E98"/>
  <c r="E94"/>
  <c r="E90"/>
  <c r="E86"/>
  <c r="E81"/>
  <c r="E77"/>
  <c r="E73"/>
  <c r="E69"/>
  <c r="E65"/>
  <c r="E61"/>
  <c r="E57"/>
  <c r="E53"/>
  <c r="E49"/>
  <c r="E45"/>
  <c r="E41"/>
  <c r="E37"/>
  <c r="E33"/>
  <c r="E29"/>
  <c r="E25"/>
  <c r="E95"/>
  <c r="E62"/>
  <c r="E30"/>
  <c r="E216"/>
  <c r="E208"/>
  <c r="E188"/>
  <c r="E180"/>
  <c r="E172"/>
  <c r="E164"/>
  <c r="E156"/>
  <c r="E140"/>
  <c r="E128"/>
  <c r="E124"/>
  <c r="E112"/>
  <c r="E100"/>
  <c r="E84"/>
  <c r="E79"/>
  <c r="E71"/>
  <c r="E59"/>
  <c r="E47"/>
  <c r="E39"/>
  <c r="E28"/>
  <c r="E24"/>
  <c r="E17"/>
  <c r="E233"/>
  <c r="E225"/>
  <c r="E213"/>
  <c r="E205"/>
  <c r="E189"/>
  <c r="E173"/>
  <c r="E165"/>
  <c r="E157"/>
  <c r="E141"/>
  <c r="E125"/>
  <c r="E109"/>
  <c r="E97"/>
  <c r="E85"/>
  <c r="E76"/>
  <c r="E64"/>
  <c r="E56"/>
  <c r="E48"/>
  <c r="E40"/>
  <c r="E32"/>
  <c r="E26"/>
  <c r="E22"/>
  <c r="E20"/>
  <c r="E16"/>
  <c r="E14"/>
  <c r="AS6"/>
  <c r="AO6"/>
  <c r="AK6"/>
  <c r="AG6"/>
  <c r="Y6"/>
  <c r="U6"/>
  <c r="Q6"/>
  <c r="M6"/>
  <c r="E13"/>
  <c r="AP6"/>
  <c r="AL6"/>
  <c r="AH6"/>
  <c r="AD6"/>
  <c r="AC6" s="1"/>
  <c r="Z6"/>
  <c r="V6"/>
  <c r="R6"/>
  <c r="N6"/>
  <c r="J6"/>
  <c r="AQ6"/>
  <c r="AM6"/>
  <c r="AI6"/>
  <c r="AE6"/>
  <c r="AA6"/>
  <c r="W6"/>
  <c r="S6"/>
  <c r="O6"/>
  <c r="H6" s="1"/>
  <c r="E6" s="1"/>
  <c r="K6"/>
  <c r="E15"/>
  <c r="AR6"/>
  <c r="AN6"/>
  <c r="AJ6"/>
  <c r="AF6"/>
  <c r="AB6"/>
  <c r="X6"/>
  <c r="T6"/>
  <c r="P6"/>
  <c r="L6"/>
  <c r="C29" i="67"/>
  <c r="C36" s="1"/>
  <c r="AI13" i="43"/>
  <c r="AH13" s="1"/>
  <c r="AG13" s="1"/>
  <c r="AF13" s="1"/>
  <c r="AE13" s="1"/>
  <c r="AD13" s="1"/>
  <c r="AC13" s="1"/>
  <c r="AB13" s="1"/>
  <c r="AA13" s="1"/>
  <c r="Z13" s="1"/>
  <c r="Y13" s="1"/>
  <c r="C4" i="4"/>
  <c r="B5" i="62"/>
  <c r="B73" i="72" s="1"/>
  <c r="B72" s="1"/>
  <c r="C33" i="67"/>
  <c r="C31" s="1"/>
  <c r="C34" i="43" l="1"/>
  <c r="C35"/>
  <c r="C36"/>
  <c r="C33"/>
  <c r="T9"/>
  <c r="V9" s="1"/>
  <c r="T11"/>
  <c r="V11" s="1"/>
  <c r="T13"/>
  <c r="T15"/>
  <c r="V15" s="1"/>
  <c r="C39"/>
  <c r="T8"/>
  <c r="V8" s="1"/>
  <c r="T12"/>
  <c r="V12" s="1"/>
  <c r="T16"/>
  <c r="V16" s="1"/>
  <c r="C38"/>
  <c r="C37"/>
  <c r="T14"/>
  <c r="V14" s="1"/>
  <c r="T10"/>
  <c r="V10" s="1"/>
  <c r="V13"/>
  <c r="E28" i="6"/>
  <c r="D28" s="1"/>
  <c r="F30"/>
  <c r="BI6" i="3"/>
  <c r="AY16"/>
  <c r="BP6"/>
  <c r="BC6"/>
  <c r="BS6"/>
  <c r="BJ6"/>
  <c r="AY57"/>
  <c r="AY102"/>
  <c r="AY130"/>
  <c r="AY178"/>
  <c r="AY198"/>
  <c r="AY226"/>
  <c r="AY25"/>
  <c r="AY52"/>
  <c r="AY85"/>
  <c r="AY133"/>
  <c r="AY181"/>
  <c r="AY201"/>
  <c r="AY229"/>
  <c r="AY34"/>
  <c r="AY50"/>
  <c r="AY66"/>
  <c r="AY82"/>
  <c r="AY99"/>
  <c r="AY115"/>
  <c r="AY131"/>
  <c r="AY147"/>
  <c r="AY163"/>
  <c r="AY179"/>
  <c r="AY195"/>
  <c r="AY211"/>
  <c r="AY227"/>
  <c r="AY243"/>
  <c r="AY41"/>
  <c r="AY65"/>
  <c r="AY90"/>
  <c r="AY122"/>
  <c r="AY154"/>
  <c r="AY174"/>
  <c r="AY222"/>
  <c r="AY20"/>
  <c r="AY36"/>
  <c r="AY64"/>
  <c r="AY97"/>
  <c r="AY117"/>
  <c r="AY149"/>
  <c r="AY165"/>
  <c r="AY205"/>
  <c r="AY237"/>
  <c r="AY27"/>
  <c r="AY43"/>
  <c r="AY59"/>
  <c r="AY75"/>
  <c r="AY92"/>
  <c r="AY108"/>
  <c r="AY124"/>
  <c r="AY140"/>
  <c r="AY156"/>
  <c r="AY172"/>
  <c r="AY188"/>
  <c r="AY204"/>
  <c r="AY220"/>
  <c r="AY236"/>
  <c r="AY514"/>
  <c r="AY269"/>
  <c r="AY286"/>
  <c r="AY298"/>
  <c r="AY333"/>
  <c r="AY349"/>
  <c r="AY369"/>
  <c r="AY382"/>
  <c r="AY393"/>
  <c r="AY401"/>
  <c r="AY409"/>
  <c r="AY417"/>
  <c r="AY425"/>
  <c r="AY433"/>
  <c r="AY441"/>
  <c r="AY449"/>
  <c r="AY457"/>
  <c r="AY465"/>
  <c r="AY473"/>
  <c r="AY481"/>
  <c r="AY489"/>
  <c r="AY497"/>
  <c r="AY547"/>
  <c r="AY579"/>
  <c r="AY559"/>
  <c r="AY506"/>
  <c r="AY254"/>
  <c r="AY265"/>
  <c r="AY278"/>
  <c r="AY297"/>
  <c r="AY310"/>
  <c r="AY321"/>
  <c r="AY329"/>
  <c r="AY345"/>
  <c r="AY357"/>
  <c r="AY373"/>
  <c r="AY502"/>
  <c r="AY509"/>
  <c r="AY542"/>
  <c r="AY247"/>
  <c r="AY263"/>
  <c r="AY279"/>
  <c r="AY295"/>
  <c r="AY311"/>
  <c r="AY327"/>
  <c r="AY343"/>
  <c r="AY359"/>
  <c r="AY375"/>
  <c r="AY391"/>
  <c r="AY407"/>
  <c r="AY423"/>
  <c r="AY439"/>
  <c r="AY455"/>
  <c r="AY471"/>
  <c r="AY487"/>
  <c r="AY503"/>
  <c r="AY519"/>
  <c r="AY536"/>
  <c r="AY552"/>
  <c r="AY568"/>
  <c r="AY584"/>
  <c r="AY517"/>
  <c r="AY546"/>
  <c r="AY574"/>
  <c r="AY248"/>
  <c r="AY264"/>
  <c r="AY280"/>
  <c r="AY296"/>
  <c r="AY312"/>
  <c r="AY328"/>
  <c r="AY344"/>
  <c r="AY360"/>
  <c r="AY376"/>
  <c r="AY392"/>
  <c r="AY408"/>
  <c r="AY424"/>
  <c r="AY440"/>
  <c r="AY456"/>
  <c r="AY472"/>
  <c r="AY488"/>
  <c r="AY504"/>
  <c r="AY520"/>
  <c r="AY537"/>
  <c r="AY553"/>
  <c r="AY569"/>
  <c r="AY585"/>
  <c r="BM6"/>
  <c r="BD6"/>
  <c r="BT6"/>
  <c r="BG6"/>
  <c r="AY83"/>
  <c r="BN6"/>
  <c r="AY69"/>
  <c r="AY110"/>
  <c r="AY142"/>
  <c r="AY182"/>
  <c r="AY210"/>
  <c r="AY234"/>
  <c r="AY26"/>
  <c r="AY60"/>
  <c r="AY89"/>
  <c r="AY141"/>
  <c r="AY189"/>
  <c r="AY217"/>
  <c r="AY24"/>
  <c r="AY38"/>
  <c r="AY54"/>
  <c r="AY70"/>
  <c r="AY87"/>
  <c r="AY103"/>
  <c r="AY119"/>
  <c r="AY135"/>
  <c r="AY151"/>
  <c r="AY167"/>
  <c r="AY183"/>
  <c r="AY199"/>
  <c r="AY215"/>
  <c r="AY231"/>
  <c r="AY29"/>
  <c r="AY49"/>
  <c r="AY73"/>
  <c r="AY94"/>
  <c r="AY134"/>
  <c r="AY162"/>
  <c r="AY186"/>
  <c r="AY230"/>
  <c r="AY21"/>
  <c r="AY40"/>
  <c r="AY72"/>
  <c r="AY105"/>
  <c r="AY125"/>
  <c r="AY153"/>
  <c r="AY169"/>
  <c r="AY209"/>
  <c r="AY241"/>
  <c r="AY31"/>
  <c r="AY47"/>
  <c r="AY63"/>
  <c r="AY79"/>
  <c r="AY96"/>
  <c r="AY112"/>
  <c r="AY128"/>
  <c r="AY144"/>
  <c r="AY160"/>
  <c r="AY176"/>
  <c r="AY192"/>
  <c r="AY208"/>
  <c r="AY224"/>
  <c r="AY240"/>
  <c r="AY522"/>
  <c r="AY273"/>
  <c r="AY289"/>
  <c r="AY301"/>
  <c r="AY337"/>
  <c r="AY353"/>
  <c r="AY370"/>
  <c r="AY385"/>
  <c r="AY394"/>
  <c r="AY402"/>
  <c r="AY410"/>
  <c r="AY418"/>
  <c r="AY426"/>
  <c r="AY434"/>
  <c r="AY442"/>
  <c r="AY450"/>
  <c r="AY458"/>
  <c r="AY466"/>
  <c r="AY474"/>
  <c r="AY482"/>
  <c r="AY490"/>
  <c r="AY498"/>
  <c r="AY555"/>
  <c r="AY587"/>
  <c r="AY567"/>
  <c r="AY249"/>
  <c r="AY257"/>
  <c r="AY266"/>
  <c r="AY282"/>
  <c r="AY302"/>
  <c r="AY314"/>
  <c r="AY322"/>
  <c r="AY330"/>
  <c r="AY346"/>
  <c r="AY358"/>
  <c r="AY374"/>
  <c r="AY510"/>
  <c r="AY521"/>
  <c r="AY550"/>
  <c r="AY251"/>
  <c r="AY267"/>
  <c r="AY283"/>
  <c r="AY299"/>
  <c r="AY315"/>
  <c r="AY331"/>
  <c r="AY347"/>
  <c r="AY363"/>
  <c r="AY379"/>
  <c r="AY395"/>
  <c r="AY411"/>
  <c r="AY427"/>
  <c r="AY443"/>
  <c r="AY459"/>
  <c r="AY475"/>
  <c r="AY491"/>
  <c r="AY507"/>
  <c r="AY523"/>
  <c r="AY540"/>
  <c r="AY556"/>
  <c r="AY572"/>
  <c r="AY501"/>
  <c r="AY529"/>
  <c r="AY554"/>
  <c r="AY578"/>
  <c r="AY252"/>
  <c r="AY268"/>
  <c r="AY284"/>
  <c r="AY300"/>
  <c r="AY316"/>
  <c r="AY332"/>
  <c r="AY348"/>
  <c r="AY364"/>
  <c r="AY380"/>
  <c r="AY396"/>
  <c r="AY412"/>
  <c r="AY428"/>
  <c r="AY444"/>
  <c r="AY460"/>
  <c r="AY476"/>
  <c r="AY492"/>
  <c r="AY508"/>
  <c r="AY524"/>
  <c r="AY541"/>
  <c r="AY557"/>
  <c r="AY573"/>
  <c r="Q49" i="67"/>
  <c r="C49" s="1"/>
  <c r="C48" s="1"/>
  <c r="C57"/>
  <c r="C64" s="1"/>
  <c r="D19" i="11"/>
  <c r="C19" s="1"/>
  <c r="D37"/>
  <c r="C37" s="1"/>
  <c r="D3" i="33"/>
  <c r="D3" i="21"/>
  <c r="D3" i="37"/>
  <c r="D14" i="12"/>
  <c r="L18" i="9"/>
  <c r="D18" s="1"/>
  <c r="M18"/>
  <c r="E6" i="6"/>
  <c r="C17" i="4"/>
  <c r="E61" i="40"/>
  <c r="I60" s="1"/>
  <c r="L19" i="9"/>
  <c r="M19"/>
  <c r="D29" i="6"/>
  <c r="D24"/>
  <c r="D12"/>
  <c r="D10"/>
  <c r="D23"/>
  <c r="D15"/>
  <c r="D8"/>
  <c r="D25"/>
  <c r="D14"/>
  <c r="E13" s="1"/>
  <c r="D13" s="1"/>
  <c r="D9"/>
  <c r="D5"/>
  <c r="D11"/>
  <c r="D26"/>
  <c r="D22"/>
  <c r="D20"/>
  <c r="C18" i="4"/>
  <c r="C13" i="67"/>
  <c r="C75" s="1"/>
  <c r="J14"/>
  <c r="J13" s="1"/>
  <c r="J23" s="1"/>
  <c r="J19"/>
  <c r="J17" s="1"/>
  <c r="C118" i="43"/>
  <c r="C116"/>
  <c r="H118"/>
  <c r="C115"/>
  <c r="C117"/>
  <c r="K4" i="4"/>
  <c r="B46" i="48" s="1"/>
  <c r="B4" i="72" s="1"/>
  <c r="B3" s="1"/>
  <c r="B2" s="1"/>
  <c r="B4" i="62"/>
  <c r="B71" i="72" s="1"/>
  <c r="B70" s="1"/>
  <c r="D24" i="15"/>
  <c r="C37" i="67"/>
  <c r="C30" s="1"/>
  <c r="I37" i="43" l="1"/>
  <c r="G38"/>
  <c r="I38" s="1"/>
  <c r="E38"/>
  <c r="G39"/>
  <c r="I39" s="1"/>
  <c r="E39"/>
  <c r="G34"/>
  <c r="E34"/>
  <c r="E37"/>
  <c r="G37"/>
  <c r="I34"/>
  <c r="G35"/>
  <c r="I35" s="1"/>
  <c r="E35"/>
  <c r="E36"/>
  <c r="G36"/>
  <c r="I36" s="1"/>
  <c r="E33"/>
  <c r="G33"/>
  <c r="I33" s="1"/>
  <c r="E30" i="6"/>
  <c r="K14" i="1"/>
  <c r="M14" s="1"/>
  <c r="C56" i="67"/>
  <c r="C61"/>
  <c r="C20" i="11"/>
  <c r="C25" s="1"/>
  <c r="C24"/>
  <c r="D17" i="12"/>
  <c r="C17" s="1"/>
  <c r="C14"/>
  <c r="A7" i="51"/>
  <c r="C4" i="52"/>
  <c r="B4" s="1"/>
  <c r="B43" i="72" s="1"/>
  <c r="A10" i="51"/>
  <c r="B9" i="72" s="1"/>
  <c r="E58" i="40"/>
  <c r="E63" i="39"/>
  <c r="E16" i="6"/>
  <c r="D30"/>
  <c r="J22" i="67"/>
  <c r="J16" s="1"/>
  <c r="J25" s="1"/>
  <c r="D10" i="11"/>
  <c r="C10" s="1"/>
  <c r="D10" i="69"/>
  <c r="D20" i="12"/>
  <c r="C20" s="1"/>
  <c r="D10" i="68"/>
  <c r="I7" i="6"/>
  <c r="D16"/>
  <c r="D6"/>
  <c r="C65" i="67"/>
  <c r="Q74"/>
  <c r="C66"/>
  <c r="C10" i="69" l="1"/>
  <c r="C8" s="1"/>
  <c r="C5" s="1"/>
  <c r="D19"/>
  <c r="A4" i="51"/>
  <c r="B7" i="72"/>
  <c r="B6" s="1"/>
  <c r="B5" s="1"/>
  <c r="C10" i="68"/>
  <c r="D19"/>
  <c r="D37" s="1"/>
  <c r="C37" s="1"/>
  <c r="C22" i="11"/>
  <c r="C23" i="69" l="1"/>
  <c r="C19"/>
  <c r="C24" s="1"/>
  <c r="D37"/>
  <c r="C37" s="1"/>
  <c r="C20" l="1"/>
  <c r="C25" l="1"/>
  <c r="C22" s="1"/>
  <c r="B50" i="72"/>
  <c r="B46"/>
  <c r="B45"/>
  <c r="C39" i="67"/>
  <c r="C40" s="1"/>
  <c r="Q56" s="1"/>
  <c r="F62" l="1"/>
  <c r="C62" s="1"/>
  <c r="B19" i="72"/>
  <c r="B18"/>
  <c r="B28"/>
  <c r="B27"/>
  <c r="B26"/>
  <c r="B25"/>
  <c r="B13" i="53"/>
  <c r="B29" i="72" s="1"/>
  <c r="Q69" i="67"/>
  <c r="Q70"/>
  <c r="O53" i="9"/>
  <c r="F53"/>
  <c r="J57"/>
  <c r="J59" s="1"/>
  <c r="J61" s="1"/>
  <c r="D78"/>
  <c r="O52"/>
  <c r="Q68" i="67" l="1"/>
  <c r="C118" i="9"/>
  <c r="C14" i="74" s="1"/>
  <c r="B2" s="1"/>
  <c r="B118" i="9"/>
  <c r="B14" i="74" s="1"/>
  <c r="A8" i="52"/>
  <c r="B1" i="74" l="1"/>
  <c r="G1" i="68"/>
  <c r="F62" i="15" l="1"/>
  <c r="J51" l="1"/>
  <c r="Q47" i="67"/>
  <c r="F60"/>
  <c r="C60" s="1"/>
  <c r="C59" s="1"/>
  <c r="C58" s="1"/>
  <c r="C67" s="1"/>
  <c r="C68" s="1"/>
  <c r="C80"/>
  <c r="C79" s="1"/>
  <c r="Q65"/>
  <c r="C83"/>
  <c r="C82" s="1"/>
  <c r="C43"/>
  <c r="J59" i="15" l="1"/>
  <c r="J53"/>
  <c r="I54"/>
  <c r="J57"/>
  <c r="J55" s="1"/>
  <c r="J58" s="1"/>
  <c r="Q50" s="1"/>
  <c r="J60"/>
  <c r="Q48" s="1"/>
  <c r="L56"/>
  <c r="M59"/>
  <c r="L59" s="1"/>
  <c r="N59"/>
  <c r="L46"/>
  <c r="L57"/>
  <c r="L60"/>
  <c r="C45" i="67"/>
  <c r="C46" s="1"/>
  <c r="C71"/>
  <c r="F19" i="6"/>
  <c r="E19"/>
  <c r="K6" i="1"/>
  <c r="Q16" s="1"/>
  <c r="F27" i="11" s="1"/>
  <c r="C48"/>
  <c r="Q61" i="15" l="1"/>
  <c r="Q74"/>
  <c r="P74" s="1"/>
  <c r="F1"/>
  <c r="Q52"/>
  <c r="Q66"/>
  <c r="Q57"/>
  <c r="C28" i="11"/>
  <c r="C27" s="1"/>
  <c r="C31" s="1"/>
  <c r="C29"/>
  <c r="D27" s="1"/>
  <c r="C47"/>
  <c r="D45" s="1"/>
  <c r="M6" i="1"/>
  <c r="AH6"/>
  <c r="D19" i="6"/>
  <c r="AE6" i="1"/>
  <c r="F41" i="15" s="1"/>
  <c r="F7"/>
  <c r="F69" l="1"/>
  <c r="C6"/>
  <c r="C10" s="1"/>
  <c r="C5" s="1"/>
  <c r="C32" s="1"/>
  <c r="M16" i="1"/>
  <c r="C34" i="11" s="1"/>
  <c r="C33" i="15" l="1"/>
  <c r="N16" i="1"/>
  <c r="F50" i="11" s="1"/>
  <c r="C35"/>
  <c r="C38"/>
  <c r="C16" i="15"/>
  <c r="F43"/>
  <c r="C33" i="11" l="1"/>
  <c r="C39" s="1"/>
  <c r="C43" s="1"/>
  <c r="F24" i="15"/>
  <c r="C24" s="1"/>
  <c r="C38"/>
  <c r="C42" i="11" l="1"/>
  <c r="C41" s="1"/>
  <c r="C49" s="1"/>
  <c r="C51" s="1"/>
  <c r="C46"/>
  <c r="C45" s="1"/>
  <c r="M7" i="15"/>
  <c r="J6" s="1"/>
  <c r="C52" i="11" l="1"/>
  <c r="B2" s="1"/>
  <c r="B3" s="1"/>
  <c r="J10" i="15"/>
  <c r="J5" s="1"/>
  <c r="J26" s="1"/>
  <c r="J29" s="1"/>
  <c r="C56" i="11" l="1"/>
  <c r="C57" s="1"/>
  <c r="C34" i="69"/>
  <c r="C35" s="1"/>
  <c r="F27"/>
  <c r="C47" s="1"/>
  <c r="D45" s="1"/>
  <c r="F50"/>
  <c r="F50" i="15"/>
  <c r="C49" s="1"/>
  <c r="C48" s="1"/>
  <c r="F71"/>
  <c r="C11" i="39"/>
  <c r="F11" s="1"/>
  <c r="AA11" s="1"/>
  <c r="E66"/>
  <c r="K15" i="1"/>
  <c r="K16" s="1"/>
  <c r="B29" s="1"/>
  <c r="C8" i="68" s="1"/>
  <c r="F27"/>
  <c r="C47" s="1"/>
  <c r="D45" s="1"/>
  <c r="C29"/>
  <c r="D27" s="1"/>
  <c r="C34"/>
  <c r="F50"/>
  <c r="C28" i="69" l="1"/>
  <c r="C27" s="1"/>
  <c r="C66" i="15"/>
  <c r="C60"/>
  <c r="C35" i="68"/>
  <c r="C38"/>
  <c r="C29" i="69"/>
  <c r="D27" s="1"/>
  <c r="C31" s="1"/>
  <c r="C38"/>
  <c r="C33" s="1"/>
  <c r="F28" i="12"/>
  <c r="C29" s="1"/>
  <c r="D28" s="1"/>
  <c r="D8"/>
  <c r="P16" i="1"/>
  <c r="C11" i="12" s="1"/>
  <c r="C18"/>
  <c r="C33" i="68" l="1"/>
  <c r="C12" i="12"/>
  <c r="C15"/>
  <c r="C42" i="68"/>
  <c r="C41" s="1"/>
  <c r="C39"/>
  <c r="C43" s="1"/>
  <c r="C39" i="69"/>
  <c r="C43" s="1"/>
  <c r="C42"/>
  <c r="C46" l="1"/>
  <c r="C45" s="1"/>
  <c r="C16" i="12"/>
  <c r="C21" s="1"/>
  <c r="C22" s="1"/>
  <c r="C41" i="69"/>
  <c r="C49" s="1"/>
  <c r="C51" s="1"/>
  <c r="C46" i="68"/>
  <c r="C45" s="1"/>
  <c r="C49" s="1"/>
  <c r="C51" s="1"/>
  <c r="J18" i="15"/>
  <c r="C52" i="69" l="1"/>
  <c r="B2" s="1"/>
  <c r="B3" s="1"/>
  <c r="J24" i="15"/>
  <c r="E116" i="43"/>
  <c r="F116"/>
  <c r="G116" s="1"/>
  <c r="H116" s="1"/>
  <c r="E117"/>
  <c r="F117" s="1"/>
  <c r="G117" s="1"/>
  <c r="H117" s="1"/>
  <c r="E118"/>
  <c r="F118"/>
  <c r="J116"/>
  <c r="K116" s="1"/>
  <c r="L116" s="1"/>
  <c r="M116" s="1"/>
  <c r="J117"/>
  <c r="K117" s="1"/>
  <c r="L117" s="1"/>
  <c r="M117" s="1"/>
  <c r="E115"/>
  <c r="F115" s="1"/>
  <c r="G115" s="1"/>
  <c r="H115" s="1"/>
  <c r="J115"/>
  <c r="K115" s="1"/>
  <c r="L115" s="1"/>
  <c r="M115" s="1"/>
  <c r="F27" i="6"/>
  <c r="F31" s="1"/>
  <c r="J118" i="43"/>
  <c r="K118" s="1"/>
  <c r="L118" s="1"/>
  <c r="M118" s="1"/>
  <c r="T7"/>
  <c r="V7" s="1"/>
  <c r="G21" i="6"/>
  <c r="E21" s="1"/>
  <c r="G27"/>
  <c r="G31" s="1"/>
  <c r="I62" i="39"/>
  <c r="C62" s="1"/>
  <c r="J11"/>
  <c r="AC11" s="1"/>
  <c r="H11"/>
  <c r="AB11" s="1"/>
  <c r="U11"/>
  <c r="I57"/>
  <c r="C59"/>
  <c r="I58"/>
  <c r="C58" s="1"/>
  <c r="I60"/>
  <c r="C60" s="1"/>
  <c r="S11"/>
  <c r="I61"/>
  <c r="C61" s="1"/>
  <c r="E64"/>
  <c r="C64"/>
  <c r="I63"/>
  <c r="C63" s="1"/>
  <c r="I59"/>
  <c r="AC9"/>
  <c r="AB9"/>
  <c r="AA9"/>
  <c r="C57"/>
  <c r="I65"/>
  <c r="C65" s="1"/>
  <c r="H16" i="1"/>
  <c r="M29" i="15"/>
  <c r="D21" i="6" l="1"/>
  <c r="D27" s="1"/>
  <c r="D31" s="1"/>
  <c r="E27"/>
  <c r="W11" i="39"/>
  <c r="C57" i="69"/>
  <c r="C56" s="1"/>
  <c r="I6" i="6"/>
  <c r="I58" i="40"/>
  <c r="C58" s="1"/>
  <c r="E57"/>
  <c r="C57"/>
  <c r="I56"/>
  <c r="C56" s="1"/>
  <c r="I55"/>
  <c r="C55"/>
  <c r="I54"/>
  <c r="C54" s="1"/>
  <c r="E60"/>
  <c r="C60"/>
  <c r="I59"/>
  <c r="C59" s="1"/>
  <c r="I53"/>
  <c r="C53"/>
  <c r="I52"/>
  <c r="C52" s="1"/>
  <c r="T5" i="43"/>
  <c r="V5" s="1"/>
  <c r="C29"/>
  <c r="C30" s="1"/>
  <c r="E30" s="1"/>
  <c r="C27" s="1"/>
  <c r="T6"/>
  <c r="V6" s="1"/>
  <c r="T3"/>
  <c r="V3" s="1"/>
  <c r="T4"/>
  <c r="V4"/>
  <c r="E29" l="1"/>
  <c r="C26" s="1"/>
  <c r="K19" i="6"/>
  <c r="K23"/>
  <c r="M23" s="1"/>
  <c r="I23" s="1"/>
  <c r="K20"/>
  <c r="M20" s="1"/>
  <c r="I20" s="1"/>
  <c r="K24"/>
  <c r="M24" s="1"/>
  <c r="I24" s="1"/>
  <c r="E31"/>
  <c r="I5" s="1"/>
  <c r="K21"/>
  <c r="M21" s="1"/>
  <c r="I21" s="1"/>
  <c r="K25"/>
  <c r="M25" s="1"/>
  <c r="I25" s="1"/>
  <c r="K22"/>
  <c r="M22" s="1"/>
  <c r="I22" s="1"/>
  <c r="K26"/>
  <c r="M26" s="1"/>
  <c r="I26" s="1"/>
  <c r="B2" i="43"/>
  <c r="B6" i="76"/>
  <c r="S26" i="6" l="1"/>
  <c r="H26"/>
  <c r="R26" s="1"/>
  <c r="M19"/>
  <c r="S6" i="1"/>
  <c r="K27" i="6"/>
  <c r="S21"/>
  <c r="H21"/>
  <c r="R21" s="1"/>
  <c r="S23"/>
  <c r="H23"/>
  <c r="R23" s="1"/>
  <c r="H22"/>
  <c r="R22" s="1"/>
  <c r="S22"/>
  <c r="H24"/>
  <c r="R24" s="1"/>
  <c r="S24"/>
  <c r="H25"/>
  <c r="R25" s="1"/>
  <c r="S25"/>
  <c r="H20"/>
  <c r="R20" s="1"/>
  <c r="S20"/>
  <c r="B2" i="76"/>
  <c r="B3" i="43"/>
  <c r="T2"/>
  <c r="V2" s="1"/>
  <c r="N1"/>
  <c r="L16" i="1"/>
  <c r="C17" i="15"/>
  <c r="I19" i="6" l="1"/>
  <c r="M27"/>
  <c r="T6" i="1"/>
  <c r="E6" i="70"/>
  <c r="E2" s="1"/>
  <c r="AR6" i="1"/>
  <c r="AQ6"/>
  <c r="S16"/>
  <c r="C14" i="15"/>
  <c r="C15" l="1"/>
  <c r="C18"/>
  <c r="H19" i="6"/>
  <c r="S19"/>
  <c r="S27" s="1"/>
  <c r="I27"/>
  <c r="T16" i="1"/>
  <c r="R19" i="6" l="1"/>
  <c r="H27"/>
  <c r="C19" i="15"/>
  <c r="R6" i="1" l="1"/>
  <c r="R27" i="6"/>
  <c r="C20" i="15"/>
  <c r="C23" s="1"/>
  <c r="M21"/>
  <c r="F35"/>
  <c r="C34" l="1"/>
  <c r="C31" s="1"/>
  <c r="F63"/>
  <c r="C62" s="1"/>
  <c r="J20"/>
  <c r="R16" i="1"/>
  <c r="C26" i="15"/>
  <c r="C29" s="1"/>
  <c r="C36" l="1"/>
  <c r="C13"/>
  <c r="C57"/>
  <c r="J19"/>
  <c r="J17" s="1"/>
  <c r="J14"/>
  <c r="Q49"/>
  <c r="C30" l="1"/>
  <c r="C39" s="1"/>
  <c r="J13"/>
  <c r="J23" s="1"/>
  <c r="J22"/>
  <c r="C56"/>
  <c r="C65" s="1"/>
  <c r="C75"/>
  <c r="C80" s="1"/>
  <c r="C79" s="1"/>
  <c r="C37"/>
  <c r="Q70"/>
  <c r="C61"/>
  <c r="C59" s="1"/>
  <c r="C58" s="1"/>
  <c r="C67" s="1"/>
  <c r="C68" s="1"/>
  <c r="C64"/>
  <c r="L51"/>
  <c r="Q67" l="1"/>
  <c r="C71"/>
  <c r="C46"/>
  <c r="C40"/>
  <c r="Q69"/>
  <c r="Q68" s="1"/>
  <c r="J16"/>
  <c r="J25" s="1"/>
  <c r="C43" l="1"/>
  <c r="Q65"/>
  <c r="Q75" s="1"/>
  <c r="Q47"/>
  <c r="Q53" s="1"/>
  <c r="B2"/>
  <c r="Q56"/>
  <c r="Q62" s="1"/>
  <c r="C83"/>
  <c r="C82" s="1"/>
  <c r="D19" i="9"/>
  <c r="AO6" i="1"/>
  <c r="B6" i="70" l="1"/>
  <c r="B2" s="1"/>
  <c r="B3" s="1"/>
  <c r="D21" i="9"/>
  <c r="D102"/>
  <c r="B3" i="15"/>
  <c r="D20" i="9"/>
  <c r="D103" l="1"/>
  <c r="C6" i="12"/>
  <c r="C8" s="1"/>
  <c r="C4" s="1"/>
  <c r="C31" l="1"/>
  <c r="C23"/>
  <c r="C27" l="1"/>
  <c r="C25" s="1"/>
  <c r="C32" s="1"/>
  <c r="B2" s="1"/>
  <c r="B3" s="1"/>
  <c r="C30"/>
  <c r="C28" s="1"/>
  <c r="D59" i="34"/>
  <c r="E59"/>
  <c r="F59"/>
  <c r="G59"/>
  <c r="H59"/>
  <c r="I59"/>
  <c r="J59"/>
  <c r="K59"/>
  <c r="L59"/>
  <c r="M59"/>
  <c r="N59"/>
  <c r="O59"/>
  <c r="F7"/>
  <c r="AA7"/>
  <c r="R49"/>
  <c r="H7"/>
  <c r="AB7"/>
  <c r="T49"/>
  <c r="J7"/>
  <c r="AC7"/>
  <c r="V49"/>
  <c r="R50"/>
  <c r="C50"/>
  <c r="B2"/>
  <c r="C19" i="9"/>
  <c r="G19"/>
  <c r="C32"/>
  <c r="H118"/>
  <c r="H101"/>
  <c r="H107"/>
  <c r="M49"/>
  <c r="D45"/>
  <c r="D55"/>
  <c r="M53"/>
  <c r="C85"/>
  <c r="C93"/>
  <c r="C86"/>
  <c r="C95"/>
  <c r="C96"/>
  <c r="C97"/>
  <c r="D58"/>
  <c r="D56"/>
  <c r="M54"/>
  <c r="N57"/>
  <c r="N59"/>
  <c r="N61"/>
  <c r="N60"/>
  <c r="N58"/>
  <c r="P57"/>
  <c r="D122"/>
  <c r="G14" i="74"/>
  <c r="B6"/>
  <c r="C6"/>
  <c r="D6"/>
  <c r="E96" i="9"/>
  <c r="E97"/>
  <c r="L63"/>
  <c r="M63"/>
  <c r="L64"/>
  <c r="M64"/>
  <c r="L65"/>
  <c r="M65"/>
  <c r="L66"/>
  <c r="M66"/>
  <c r="L67"/>
  <c r="M67"/>
  <c r="L68"/>
  <c r="M68"/>
  <c r="M69"/>
  <c r="N69"/>
  <c r="D13" i="53"/>
  <c r="D14"/>
  <c r="B32" i="72"/>
  <c r="B30"/>
  <c r="C72" i="9"/>
  <c r="C78"/>
  <c r="C73"/>
  <c r="C79"/>
  <c r="C80"/>
  <c r="C81"/>
  <c r="E80"/>
  <c r="E81"/>
  <c r="D123"/>
  <c r="D9" i="52"/>
  <c r="D8"/>
  <c r="D14" i="74"/>
  <c r="B5"/>
  <c r="C5"/>
  <c r="D5"/>
  <c r="H108" i="9"/>
  <c r="D15" i="53"/>
  <c r="B31" i="72"/>
  <c r="C64" i="9"/>
  <c r="C63"/>
  <c r="C67"/>
  <c r="C68"/>
  <c r="D54"/>
  <c r="D53"/>
  <c r="D52"/>
  <c r="D5" i="53"/>
  <c r="D6"/>
  <c r="B22" i="72"/>
  <c r="B20"/>
  <c r="C11" i="43"/>
  <c r="E8"/>
  <c r="E9"/>
  <c r="E10"/>
  <c r="E11"/>
  <c r="C7"/>
  <c r="E6" i="76"/>
  <c r="E2"/>
  <c r="B3"/>
  <c r="M48" i="9"/>
  <c r="C68" i="39"/>
  <c r="C70"/>
  <c r="D68"/>
  <c r="D70"/>
  <c r="E68"/>
  <c r="E70"/>
  <c r="F68"/>
  <c r="F70"/>
  <c r="G68"/>
  <c r="G70"/>
  <c r="H68"/>
  <c r="H70"/>
  <c r="I68"/>
  <c r="I70"/>
  <c r="J68"/>
  <c r="J70"/>
  <c r="K68"/>
  <c r="K70"/>
  <c r="L68"/>
  <c r="L70"/>
  <c r="M68"/>
  <c r="M70"/>
  <c r="N68"/>
  <c r="N70"/>
  <c r="O68"/>
  <c r="O70"/>
  <c r="F7"/>
  <c r="AA7"/>
  <c r="F7" i="1"/>
  <c r="G7"/>
  <c r="F8"/>
  <c r="G8"/>
  <c r="G16"/>
  <c r="F10" i="39"/>
  <c r="AA10"/>
  <c r="R47"/>
  <c r="R48"/>
  <c r="C48"/>
  <c r="F66"/>
  <c r="C6" i="68"/>
  <c r="C7"/>
  <c r="C5"/>
  <c r="C20"/>
  <c r="C23"/>
  <c r="C22"/>
  <c r="C28"/>
  <c r="C27"/>
  <c r="C31"/>
  <c r="C52"/>
  <c r="B2"/>
  <c r="B3"/>
  <c r="C57"/>
  <c r="D35" i="9"/>
  <c r="C35"/>
  <c r="C34"/>
  <c r="D118"/>
  <c r="D4" i="52"/>
  <c r="B47" i="72"/>
  <c r="J118" i="9"/>
  <c r="D119"/>
  <c r="D5" i="52"/>
  <c r="B49" i="72"/>
  <c r="F14" i="74"/>
  <c r="E14"/>
  <c r="I118" i="9"/>
  <c r="I4" i="52"/>
  <c r="H102" i="9"/>
  <c r="D7" i="53"/>
  <c r="B21" i="72"/>
  <c r="C105" i="9"/>
  <c r="F118"/>
  <c r="G118"/>
  <c r="E118"/>
  <c r="E4" i="52"/>
  <c r="B48" i="72"/>
  <c r="C63" i="40"/>
  <c r="C65"/>
  <c r="D63"/>
  <c r="D65"/>
  <c r="E63"/>
  <c r="E65"/>
  <c r="F63"/>
  <c r="F65"/>
  <c r="G63"/>
  <c r="G65"/>
  <c r="H63"/>
  <c r="H65"/>
  <c r="I63"/>
  <c r="I65"/>
  <c r="J63"/>
  <c r="J65"/>
  <c r="K63"/>
  <c r="K65"/>
  <c r="L63"/>
  <c r="L65"/>
  <c r="M63"/>
  <c r="M65"/>
  <c r="N63"/>
  <c r="N65"/>
  <c r="O63"/>
  <c r="O65"/>
  <c r="F7"/>
  <c r="AA7"/>
  <c r="R42"/>
  <c r="E42"/>
  <c r="H7"/>
  <c r="AB7"/>
  <c r="T42"/>
  <c r="G42"/>
  <c r="E47"/>
  <c r="F47"/>
  <c r="E46"/>
  <c r="F46"/>
  <c r="H119" i="9"/>
  <c r="H5" i="52"/>
  <c r="C104" i="9"/>
  <c r="H4" i="52"/>
  <c r="F119" i="9"/>
  <c r="F5" i="52"/>
  <c r="B53" i="72"/>
  <c r="G4" i="52"/>
  <c r="B52" i="72"/>
  <c r="F4" i="52"/>
  <c r="B51" i="72"/>
  <c r="R43" i="40"/>
  <c r="C43"/>
  <c r="B57"/>
  <c r="F57"/>
  <c r="B59"/>
  <c r="F59"/>
  <c r="B51"/>
  <c r="F51"/>
  <c r="B52"/>
  <c r="F52"/>
  <c r="B56"/>
  <c r="F56"/>
  <c r="B58"/>
  <c r="F58"/>
  <c r="B55"/>
  <c r="F55"/>
  <c r="B54"/>
  <c r="F54"/>
  <c r="B60"/>
  <c r="F60"/>
  <c r="B53"/>
  <c r="F53"/>
  <c r="F61"/>
  <c r="B2"/>
  <c r="B3"/>
  <c r="G46"/>
  <c r="H46"/>
  <c r="J7"/>
  <c r="AC7"/>
  <c r="V42"/>
  <c r="I42"/>
  <c r="G47"/>
  <c r="H47"/>
  <c r="F10"/>
  <c r="S10"/>
  <c r="AA10"/>
  <c r="I47"/>
  <c r="J47"/>
  <c r="I46"/>
  <c r="J46"/>
  <c r="C42"/>
  <c r="C56" i="68"/>
  <c r="D34" i="9"/>
  <c r="H7" i="39"/>
  <c r="AB7"/>
  <c r="H10"/>
  <c r="AB10"/>
  <c r="T47"/>
  <c r="G47"/>
  <c r="J7"/>
  <c r="AC7"/>
  <c r="J10"/>
  <c r="AC10"/>
  <c r="V47"/>
  <c r="I47"/>
  <c r="G52"/>
  <c r="H52"/>
  <c r="G51"/>
  <c r="H51"/>
  <c r="J10" i="40"/>
  <c r="AC10"/>
  <c r="W10"/>
  <c r="H10"/>
  <c r="U10"/>
  <c r="AB10"/>
  <c r="G21" i="9"/>
  <c r="I51" i="39"/>
  <c r="J51"/>
  <c r="E47"/>
  <c r="I52"/>
  <c r="J52"/>
  <c r="E51"/>
  <c r="F51"/>
  <c r="E52"/>
  <c r="F52"/>
  <c r="U10"/>
  <c r="B63"/>
  <c r="F63"/>
  <c r="C47"/>
  <c r="S10"/>
  <c r="B65"/>
  <c r="F65"/>
  <c r="B2"/>
  <c r="B3"/>
  <c r="C25" i="68"/>
  <c r="W10" i="39"/>
  <c r="B57"/>
  <c r="F57"/>
  <c r="B60"/>
  <c r="F60"/>
  <c r="B58"/>
  <c r="F58"/>
  <c r="B56"/>
  <c r="F56"/>
  <c r="B62"/>
  <c r="F62"/>
  <c r="B61"/>
  <c r="F61"/>
  <c r="B59"/>
  <c r="F59"/>
  <c r="B64"/>
  <c r="F64"/>
  <c r="L48" i="67"/>
  <c r="J57"/>
  <c r="J55"/>
  <c r="J58"/>
  <c r="J59"/>
  <c r="J60"/>
  <c r="L46"/>
  <c r="D2"/>
  <c r="B3"/>
  <c r="B2"/>
  <c r="Q48"/>
  <c r="Q53"/>
  <c r="L51"/>
  <c r="L57"/>
  <c r="L58"/>
  <c r="L60"/>
  <c r="Q66"/>
  <c r="Q75"/>
  <c r="Q57"/>
  <c r="Q62"/>
  <c r="Q67"/>
  <c r="H109" i="9"/>
  <c r="D124"/>
  <c r="H14" i="74"/>
  <c r="B7"/>
  <c r="C7"/>
  <c r="D7"/>
  <c r="D126" i="9"/>
  <c r="I14" i="74"/>
  <c r="B8"/>
  <c r="C8"/>
  <c r="D8"/>
  <c r="Q50" i="67"/>
  <c r="C52" i="37"/>
  <c r="D52"/>
  <c r="E52"/>
  <c r="F52"/>
  <c r="G52"/>
  <c r="H52"/>
  <c r="I52"/>
  <c r="J52"/>
  <c r="K52"/>
  <c r="L52"/>
  <c r="M52"/>
  <c r="N52"/>
  <c r="O52"/>
  <c r="F7"/>
  <c r="AA7"/>
  <c r="R42"/>
  <c r="R43"/>
  <c r="C43"/>
  <c r="B2"/>
  <c r="B3"/>
  <c r="J7"/>
  <c r="AC7"/>
  <c r="V42"/>
  <c r="C58" i="33"/>
  <c r="D58"/>
  <c r="E58"/>
  <c r="F58"/>
  <c r="G58"/>
  <c r="H58"/>
  <c r="I58"/>
  <c r="J58"/>
  <c r="K58"/>
  <c r="L58"/>
  <c r="M58"/>
  <c r="N58"/>
  <c r="O58"/>
  <c r="F7"/>
  <c r="AA7"/>
  <c r="R48"/>
  <c r="R49"/>
  <c r="C49"/>
  <c r="B2"/>
  <c r="B3"/>
  <c r="J7"/>
  <c r="AC7"/>
  <c r="V48"/>
  <c r="D58" i="21"/>
  <c r="E58"/>
  <c r="F58"/>
  <c r="G58"/>
  <c r="H58"/>
  <c r="I58"/>
  <c r="J58"/>
  <c r="K58"/>
  <c r="L58"/>
  <c r="M58"/>
  <c r="N58"/>
  <c r="O58"/>
  <c r="F7"/>
  <c r="AA7"/>
  <c r="R48"/>
  <c r="R49"/>
  <c r="C49"/>
  <c r="B2"/>
  <c r="B3"/>
  <c r="J7"/>
  <c r="AC7"/>
  <c r="V48"/>
  <c r="D16" i="53"/>
  <c r="D17"/>
  <c r="B36" i="72"/>
  <c r="D127" i="9"/>
  <c r="D13" i="52"/>
  <c r="A12"/>
  <c r="B56" i="72"/>
  <c r="A10" i="52"/>
  <c r="B55" i="72"/>
  <c r="B54"/>
  <c r="D125" i="9"/>
  <c r="D11" i="52"/>
  <c r="D10"/>
  <c r="H110" i="9"/>
  <c r="D18" i="53"/>
  <c r="B35" i="72"/>
  <c r="B34"/>
  <c r="B33"/>
  <c r="C48" i="35"/>
  <c r="D48"/>
  <c r="E48"/>
  <c r="F48"/>
  <c r="G48"/>
  <c r="H48"/>
  <c r="I48"/>
  <c r="J48"/>
  <c r="K48"/>
  <c r="L48"/>
  <c r="M48"/>
  <c r="N48"/>
  <c r="O48"/>
  <c r="F7"/>
  <c r="AA7"/>
  <c r="R38"/>
  <c r="R39"/>
  <c r="C39"/>
  <c r="B2"/>
  <c r="B3"/>
  <c r="J7"/>
  <c r="AC7"/>
  <c r="V38"/>
  <c r="E7" i="1"/>
  <c r="E8"/>
  <c r="D22" i="9"/>
  <c r="C21"/>
  <c r="C102"/>
  <c r="B3" i="34"/>
  <c r="C20" i="9"/>
  <c r="G20"/>
  <c r="C103"/>
  <c r="D12" i="52"/>
  <c r="W7" i="39"/>
  <c r="S7"/>
  <c r="U7"/>
  <c r="U7" i="34"/>
  <c r="S7"/>
  <c r="W7"/>
  <c r="I49"/>
  <c r="E49"/>
  <c r="I54"/>
  <c r="J54"/>
  <c r="G49"/>
  <c r="G54"/>
  <c r="H54"/>
  <c r="E53"/>
  <c r="E54"/>
  <c r="I53"/>
  <c r="J53"/>
  <c r="C49"/>
  <c r="F54"/>
  <c r="G53"/>
  <c r="H53"/>
  <c r="F53"/>
  <c r="Q73" i="67"/>
  <c r="Q60"/>
  <c r="I54"/>
  <c r="L56"/>
  <c r="I48" i="33"/>
  <c r="E48"/>
  <c r="I53"/>
  <c r="J53"/>
  <c r="H7"/>
  <c r="AB7"/>
  <c r="T48"/>
  <c r="G48"/>
  <c r="G53"/>
  <c r="H53"/>
  <c r="E53"/>
  <c r="F53"/>
  <c r="I52"/>
  <c r="J52"/>
  <c r="C46" i="36"/>
  <c r="D46"/>
  <c r="E46"/>
  <c r="F46"/>
  <c r="G46"/>
  <c r="H46"/>
  <c r="I46"/>
  <c r="J46"/>
  <c r="K46"/>
  <c r="L46"/>
  <c r="M46"/>
  <c r="N46"/>
  <c r="O46"/>
  <c r="J7"/>
  <c r="AC7"/>
  <c r="V36"/>
  <c r="I36"/>
  <c r="H7"/>
  <c r="AB7"/>
  <c r="T36"/>
  <c r="F7"/>
  <c r="AA7"/>
  <c r="R36"/>
  <c r="I42" i="37"/>
  <c r="H7"/>
  <c r="AB7"/>
  <c r="T42"/>
  <c r="R37" i="36"/>
  <c r="C37"/>
  <c r="B2"/>
  <c r="B3"/>
  <c r="E36"/>
  <c r="I41"/>
  <c r="J41"/>
  <c r="G36"/>
  <c r="G41"/>
  <c r="H41"/>
  <c r="I38" i="35"/>
  <c r="E38"/>
  <c r="I43"/>
  <c r="J43"/>
  <c r="H7"/>
  <c r="AB7"/>
  <c r="T38"/>
  <c r="G38"/>
  <c r="G43"/>
  <c r="H43"/>
  <c r="E42" i="37"/>
  <c r="I47"/>
  <c r="J47"/>
  <c r="G42"/>
  <c r="G47"/>
  <c r="H47"/>
  <c r="I48" i="21"/>
  <c r="E48"/>
  <c r="I53"/>
  <c r="J53"/>
  <c r="H7"/>
  <c r="AB7"/>
  <c r="T48"/>
  <c r="G48"/>
  <c r="G53"/>
  <c r="H53"/>
  <c r="E52" i="33"/>
  <c r="U7" i="37"/>
  <c r="S7" i="21"/>
  <c r="W7" i="36"/>
  <c r="S7" i="33"/>
  <c r="I46" i="37"/>
  <c r="G46"/>
  <c r="H46"/>
  <c r="W7" i="35"/>
  <c r="U7" i="36"/>
  <c r="G40"/>
  <c r="E40"/>
  <c r="F40"/>
  <c r="E41"/>
  <c r="F41"/>
  <c r="C36"/>
  <c r="I40"/>
  <c r="H40"/>
  <c r="C48" i="21"/>
  <c r="E53"/>
  <c r="F53"/>
  <c r="G52"/>
  <c r="E52"/>
  <c r="F52"/>
  <c r="I52"/>
  <c r="H52"/>
  <c r="U7" i="33"/>
  <c r="G52"/>
  <c r="H52"/>
  <c r="S7" i="37"/>
  <c r="E46"/>
  <c r="E47"/>
  <c r="J46"/>
  <c r="S7" i="35"/>
  <c r="C38"/>
  <c r="E43"/>
  <c r="F43"/>
  <c r="G42"/>
  <c r="E42"/>
  <c r="F42"/>
  <c r="I42"/>
  <c r="H42"/>
  <c r="U7" i="21"/>
  <c r="W7"/>
  <c r="J52"/>
  <c r="W7" i="33"/>
  <c r="C48"/>
  <c r="F52"/>
  <c r="W7" i="37"/>
  <c r="C42"/>
  <c r="F47"/>
  <c r="F46"/>
  <c r="U7" i="35"/>
  <c r="J42"/>
  <c r="S7" i="36"/>
  <c r="J40"/>
  <c r="S7" i="40"/>
  <c r="W7"/>
  <c r="U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<sst xmlns="http://schemas.openxmlformats.org/spreadsheetml/2006/main" count="7693" uniqueCount="3287">
  <si>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</si>
  <si>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</si>
  <si>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</si>
  <si>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</si>
  <si>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</si>
  <si>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</si>
  <si>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</si>
  <si>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</si>
  <si>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</si>
  <si>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</si>
  <si>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</si>
  <si>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</si>
  <si>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</si>
  <si>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</si>
  <si>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</si>
  <si>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</si>
  <si>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</si>
  <si>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</si>
  <si>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</si>
  <si>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</si>
  <si>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</si>
  <si>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</si>
  <si>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</si>
  <si>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</si>
  <si>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</si>
  <si>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</si>
  <si>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</si>
  <si>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</si>
  <si>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</si>
  <si>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</si>
  <si>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</si>
  <si>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</si>
  <si>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</si>
  <si>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</si>
  <si>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</si>
  <si>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</si>
  <si>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</si>
  <si>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</si>
  <si>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</si>
  <si>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</si>
  <si>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</si>
  <si>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</si>
  <si>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</si>
  <si>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</si>
  <si>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</si>
  <si>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</si>
  <si>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</si>
  <si>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</si>
  <si>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</si>
  <si>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</si>
  <si>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</si>
  <si>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</si>
  <si>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</si>
  <si>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</si>
  <si>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</si>
  <si>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</si>
  <si>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</si>
  <si>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</si>
  <si>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</si>
  <si>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</si>
  <si>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</si>
  <si>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</si>
  <si>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</si>
  <si>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</si>
  <si>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</si>
  <si>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</si>
  <si>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</si>
  <si>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</si>
  <si>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</si>
  <si>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</si>
  <si>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</si>
  <si>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</si>
  <si>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</si>
  <si>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</si>
  <si>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</si>
  <si>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</si>
  <si>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</si>
  <si>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</si>
  <si>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</si>
  <si>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</si>
  <si>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</si>
  <si>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</si>
  <si>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</si>
  <si>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</si>
  <si>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</si>
  <si>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</si>
  <si>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</si>
  <si>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</si>
  <si>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</si>
  <si>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</si>
  <si>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</si>
  <si>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</si>
  <si>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</si>
  <si>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</si>
  <si>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</si>
  <si>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</si>
  <si>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</si>
  <si>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</si>
  <si>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</si>
  <si>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</si>
  <si>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</si>
  <si>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</si>
  <si>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</si>
  <si>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</si>
  <si>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</si>
  <si>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</si>
  <si>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</si>
  <si>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</si>
  <si>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</si>
  <si>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</si>
  <si>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</si>
  <si>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</si>
  <si>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</si>
  <si>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</si>
  <si>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</si>
  <si>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</si>
  <si>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</si>
  <si>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</si>
  <si>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</si>
  <si>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</si>
  <si>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</si>
  <si>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</si>
  <si>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</si>
  <si>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</si>
  <si>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</si>
  <si>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</si>
  <si>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</si>
  <si>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</si>
  <si>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</si>
  <si>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</si>
  <si>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</si>
  <si>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</si>
  <si>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</si>
  <si>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</si>
  <si>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</si>
  <si>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</si>
  <si>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</si>
  <si>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</si>
  <si>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</si>
  <si>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</si>
  <si>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</si>
  <si>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</si>
  <si>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</si>
  <si>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</si>
  <si>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</si>
  <si>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</si>
  <si>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</si>
  <si>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</si>
  <si>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</si>
  <si>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</si>
  <si>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</si>
  <si>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</si>
  <si>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</si>
  <si>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</si>
  <si>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</si>
  <si>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</si>
  <si>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</si>
  <si>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</si>
  <si>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</si>
  <si>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</si>
  <si>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</si>
  <si>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</si>
  <si>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</si>
  <si>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</si>
  <si>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</si>
  <si>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</si>
  <si>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</si>
  <si>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</si>
  <si>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</si>
  <si>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</si>
  <si>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</si>
  <si>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</si>
  <si>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</si>
  <si>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</si>
  <si>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</si>
  <si>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</si>
  <si>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</si>
  <si>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</si>
  <si>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</si>
  <si>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</si>
  <si>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</si>
  <si>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</si>
  <si>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</si>
  <si>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</si>
  <si>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</si>
  <si>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</si>
  <si>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</si>
  <si>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</si>
  <si>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</si>
  <si>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</si>
  <si>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</si>
  <si>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</si>
  <si>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</si>
  <si>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</si>
  <si>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</si>
  <si>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</si>
  <si>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</si>
  <si>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</si>
  <si>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</si>
  <si>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</si>
  <si>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</si>
  <si>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</si>
  <si>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</si>
  <si>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</si>
  <si>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</si>
  <si>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</si>
  <si>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</si>
  <si>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</si>
  <si>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</si>
  <si>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</si>
  <si>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</si>
  <si>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</si>
  <si>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</si>
  <si>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</si>
  <si>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</si>
  <si>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</si>
  <si>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</si>
  <si>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</si>
  <si>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</si>
  <si>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</si>
  <si>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</si>
  <si>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</si>
  <si>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</si>
  <si>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</si>
  <si>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</si>
  <si>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</si>
  <si>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</si>
  <si>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</si>
  <si>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</si>
  <si>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</si>
  <si>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</si>
  <si>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</si>
  <si>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</si>
  <si>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</si>
  <si>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</si>
  <si>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</si>
  <si>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</si>
  <si>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</si>
  <si>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</si>
  <si>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</si>
  <si>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</si>
  <si>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</si>
  <si>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</si>
  <si>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</si>
  <si>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</si>
  <si>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</si>
  <si>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</si>
  <si>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</si>
  <si>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</si>
  <si>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</si>
  <si>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</si>
  <si>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</si>
  <si>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</si>
  <si>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</si>
  <si>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</si>
  <si>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</si>
  <si>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</si>
  <si>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</si>
  <si>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</si>
  <si>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</si>
  <si>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</si>
  <si>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</si>
  <si>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</si>
  <si>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</si>
  <si>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</si>
  <si>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</si>
  <si>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</si>
  <si>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</si>
  <si>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</si>
  <si>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</si>
  <si>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</si>
  <si>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</si>
  <si>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</si>
  <si>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</si>
  <si>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</si>
  <si>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</si>
  <si>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</si>
  <si>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</si>
  <si>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</si>
  <si>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</si>
  <si>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</si>
  <si>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</si>
  <si>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</si>
  <si>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</si>
  <si>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</si>
  <si>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</si>
  <si>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</si>
  <si>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</si>
  <si>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</si>
  <si>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</si>
  <si>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</si>
  <si>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</si>
  <si>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</si>
  <si>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</si>
  <si>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</si>
  <si>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</si>
  <si>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</si>
  <si>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</si>
  <si>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</si>
  <si>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</si>
  <si>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</si>
  <si>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</si>
  <si>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</si>
  <si>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</si>
  <si>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</si>
  <si>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</si>
  <si>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</si>
  <si>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</si>
  <si>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</si>
  <si>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</si>
  <si>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</si>
  <si>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</si>
  <si>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</si>
  <si>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</si>
  <si>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</si>
  <si>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</si>
  <si>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</si>
  <si>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</si>
  <si>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</si>
  <si>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</si>
  <si>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</si>
  <si>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</si>
  <si>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</si>
  <si>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</si>
  <si>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</si>
  <si>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</si>
  <si>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</si>
  <si>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</si>
  <si>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</si>
  <si>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</si>
  <si>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</si>
  <si>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</si>
  <si>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</si>
  <si>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</si>
  <si>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</si>
  <si>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</si>
  <si>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</si>
  <si>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</si>
  <si>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</si>
  <si>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</si>
  <si>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</si>
  <si>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</si>
  <si>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</si>
  <si>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</si>
  <si>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</si>
  <si>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</si>
  <si>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</si>
  <si>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</si>
  <si>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</si>
  <si>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</si>
  <si>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</si>
  <si>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</si>
  <si>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</si>
  <si>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</si>
  <si>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</si>
  <si>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</si>
  <si>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</si>
  <si>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</si>
  <si>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</si>
  <si>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</si>
  <si>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</si>
  <si>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</si>
  <si>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</si>
  <si>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</si>
  <si>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</si>
  <si>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</si>
  <si>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</si>
  <si>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</si>
  <si>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</si>
  <si>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</si>
  <si>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</si>
  <si>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</si>
  <si>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</si>
  <si>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</si>
  <si>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</si>
  <si>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</si>
  <si>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</si>
  <si>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</si>
  <si>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</si>
  <si>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</si>
  <si>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</si>
  <si>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</si>
  <si>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</si>
  <si>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</si>
  <si>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</si>
  <si>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</si>
  <si>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</si>
  <si>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</si>
  <si>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</si>
  <si>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</si>
  <si>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</si>
  <si>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</si>
  <si>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</si>
  <si>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</si>
  <si>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</si>
  <si>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</si>
  <si>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</si>
  <si>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</si>
  <si>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</si>
  <si>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</si>
  <si>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</si>
  <si>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</si>
  <si>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</si>
  <si>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</si>
  <si>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</si>
  <si>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</si>
  <si>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</si>
  <si>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</si>
  <si>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</si>
  <si>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</si>
  <si>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</si>
  <si>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</si>
  <si>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</si>
  <si>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</si>
  <si>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</si>
  <si>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</si>
  <si>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</si>
  <si>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</si>
  <si>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</si>
  <si>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</si>
  <si>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</si>
  <si>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</si>
  <si>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</si>
  <si>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</si>
  <si>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</si>
  <si>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</si>
  <si>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</si>
  <si>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</si>
  <si>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</si>
  <si>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</si>
  <si>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</si>
  <si>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</si>
  <si>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</si>
  <si>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</si>
  <si>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</si>
  <si>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</si>
  <si>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</si>
  <si>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</si>
  <si>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</si>
  <si>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</si>
  <si>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</si>
  <si>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</si>
  <si>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</si>
  <si>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</si>
  <si>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</si>
  <si>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</si>
  <si>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</si>
  <si>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</si>
  <si>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</si>
  <si>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</si>
  <si>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</si>
  <si>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</si>
  <si>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</si>
  <si>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</si>
  <si>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</si>
  <si>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</si>
  <si>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</si>
  <si>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</si>
  <si>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</si>
  <si>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</si>
  <si>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</si>
  <si>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</si>
  <si>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</si>
  <si>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</si>
  <si>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</si>
  <si>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</si>
  <si>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</si>
  <si>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</si>
  <si>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</si>
  <si>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</si>
  <si>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</si>
  <si>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</si>
  <si>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</si>
  <si>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</si>
  <si>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</si>
  <si>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</si>
  <si>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</si>
  <si>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</si>
  <si>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</si>
  <si>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</si>
  <si>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</si>
  <si>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</si>
  <si>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</si>
  <si>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</si>
  <si>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</si>
  <si>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</si>
  <si>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</si>
  <si>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</si>
  <si>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</si>
  <si>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</si>
  <si>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</si>
  <si>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</si>
  <si>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</si>
  <si>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</si>
  <si>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</si>
  <si>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</si>
  <si>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</si>
  <si>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</si>
  <si>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</si>
  <si>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</si>
  <si>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</si>
  <si>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</si>
  <si>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</si>
  <si>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</si>
  <si>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</si>
  <si>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</si>
  <si>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</si>
  <si>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</si>
  <si>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</si>
  <si>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</si>
  <si>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</si>
  <si>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</si>
  <si>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</si>
  <si>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</si>
  <si>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</si>
  <si>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</si>
  <si>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</si>
  <si>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</si>
  <si>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</si>
  <si>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</si>
  <si>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</si>
  <si>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</si>
  <si>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</si>
  <si>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</si>
  <si>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</si>
  <si>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</si>
  <si>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</si>
  <si>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</si>
  <si>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</si>
  <si>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</si>
  <si>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</si>
  <si>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</si>
  <si>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</si>
  <si>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</si>
  <si>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</si>
  <si>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</si>
  <si>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</si>
  <si>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</si>
  <si>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</si>
  <si>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</si>
  <si>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</si>
  <si>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</si>
  <si>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</si>
  <si>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</si>
  <si>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</si>
  <si>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</si>
  <si>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</si>
  <si>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</si>
  <si>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</si>
  <si>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</si>
  <si>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</si>
  <si>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</si>
  <si>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</si>
  <si>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</si>
  <si>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</si>
  <si>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</si>
  <si>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</si>
  <si>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</si>
  <si>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</si>
  <si>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</si>
  <si>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</si>
  <si>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</si>
  <si>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</si>
  <si>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</si>
  <si>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</si>
  <si>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</si>
  <si>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</si>
  <si>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</si>
  <si>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</si>
  <si>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</si>
  <si>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</si>
  <si>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</si>
  <si>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</si>
  <si>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</si>
  <si>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</si>
  <si>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</si>
  <si>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</si>
  <si>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</si>
  <si>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</si>
  <si>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</si>
  <si>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</si>
  <si>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</si>
  <si>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</si>
  <si>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</si>
  <si>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</si>
  <si>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</si>
  <si>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</si>
  <si>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</si>
  <si>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</si>
  <si>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</si>
  <si>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</si>
  <si>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</si>
  <si>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</si>
  <si>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</si>
  <si>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</si>
  <si>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</si>
  <si>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</si>
  <si>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</si>
  <si>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</si>
  <si>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</si>
  <si>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</si>
  <si>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</si>
  <si>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</si>
  <si>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</si>
  <si>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</si>
  <si>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</si>
  <si>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</si>
  <si>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</si>
  <si>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</si>
  <si>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</si>
  <si>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</si>
  <si>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</si>
  <si>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</si>
  <si>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</si>
  <si>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</si>
  <si>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</si>
  <si>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</si>
  <si>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</si>
  <si>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</si>
  <si>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</si>
  <si>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</si>
  <si>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</si>
  <si>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</si>
  <si>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</si>
  <si>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</si>
  <si>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</si>
  <si>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</si>
  <si>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</si>
  <si>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</si>
  <si>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</si>
  <si>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</si>
  <si>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</si>
  <si>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</si>
  <si>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</si>
  <si>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</si>
  <si>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</si>
  <si>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</si>
  <si>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</si>
  <si>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</si>
  <si>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</si>
  <si>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</si>
  <si>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</si>
  <si>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</si>
  <si>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</si>
  <si>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</si>
  <si>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</si>
  <si>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</si>
  <si>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</si>
  <si>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</si>
  <si>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</si>
  <si>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</si>
  <si>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</si>
  <si>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</si>
  <si>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</si>
  <si>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</si>
  <si>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</si>
  <si>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</si>
  <si>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</si>
  <si>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</si>
  <si>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</si>
  <si>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</si>
  <si>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</si>
  <si>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</si>
  <si>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</si>
  <si>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</si>
  <si>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</si>
  <si>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</si>
  <si>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</si>
  <si>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</si>
  <si>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</si>
  <si>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</si>
  <si>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</si>
  <si>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</si>
  <si>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</si>
  <si>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</si>
  <si>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</si>
  <si>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</si>
  <si>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</si>
  <si>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</si>
  <si>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</si>
  <si>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</si>
  <si>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</si>
  <si>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</si>
  <si>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</si>
  <si>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</si>
  <si>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</si>
  <si>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</si>
  <si>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</si>
  <si>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</si>
  <si>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</si>
  <si>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</si>
  <si>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</si>
  <si>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</si>
  <si>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</si>
  <si>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</si>
  <si>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</si>
  <si>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</si>
  <si>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</si>
  <si>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</si>
  <si>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</si>
  <si>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</si>
  <si>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</si>
  <si>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</si>
  <si>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</si>
  <si>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</si>
  <si>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</si>
  <si>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</si>
  <si>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</si>
  <si>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</si>
  <si>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</si>
  <si>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</si>
  <si>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</si>
  <si>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</si>
  <si>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</si>
  <si>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</si>
  <si>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</si>
  <si>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</si>
  <si>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</si>
  <si>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</si>
  <si>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</si>
  <si>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</si>
  <si>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</si>
  <si>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</si>
  <si>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</si>
  <si>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</si>
  <si>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</si>
  <si>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</si>
  <si>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</si>
  <si>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</si>
  <si>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</si>
  <si>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</si>
  <si>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</si>
  <si>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</si>
  <si>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</si>
  <si>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</si>
  <si>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</si>
  <si>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</si>
  <si>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</si>
  <si>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</si>
  <si>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</si>
  <si>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</si>
  <si>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</si>
  <si>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</si>
  <si>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</si>
  <si>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</si>
  <si>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</si>
  <si>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</si>
  <si>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</si>
  <si>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</si>
  <si>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</si>
  <si>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</si>
  <si>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</si>
  <si>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</si>
  <si>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</si>
  <si>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</si>
  <si>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</si>
  <si>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</si>
  <si>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</si>
  <si>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</si>
  <si>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</si>
  <si>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</si>
  <si>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</si>
  <si>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</si>
  <si>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</si>
  <si>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</si>
  <si>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</si>
  <si>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</si>
  <si>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</si>
  <si>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</si>
  <si>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</si>
  <si>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</si>
  <si>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</si>
  <si>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</si>
  <si>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</si>
  <si>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</si>
  <si>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</si>
  <si>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</si>
  <si>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</si>
  <si>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</si>
  <si>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</si>
  <si>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</si>
  <si>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</si>
  <si>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</si>
  <si>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</si>
  <si>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</si>
  <si>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</si>
  <si>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</si>
  <si>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</si>
  <si>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</si>
  <si>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</si>
  <si>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</si>
  <si>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</si>
  <si>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</si>
  <si>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</si>
  <si>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</si>
  <si>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</si>
  <si>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</si>
  <si>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</si>
  <si>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</si>
  <si>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</si>
  <si>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</si>
  <si>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</si>
  <si>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</si>
  <si>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</si>
  <si>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</si>
  <si>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</si>
  <si>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</si>
  <si>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</si>
  <si>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</si>
  <si>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</si>
  <si>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</si>
  <si>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</si>
  <si>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</si>
  <si>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</si>
  <si>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</si>
  <si>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</si>
  <si>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</si>
  <si>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</si>
  <si>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</si>
  <si>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</si>
  <si>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</si>
  <si>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</si>
  <si>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</si>
  <si>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</si>
  <si>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</si>
  <si>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</si>
  <si>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</si>
  <si>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</si>
  <si>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</si>
  <si>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</si>
  <si>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</si>
  <si>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</si>
  <si>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</si>
  <si>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</si>
  <si>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</si>
  <si>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</si>
  <si>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</si>
  <si>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</si>
  <si>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</si>
  <si>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</si>
  <si>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</si>
  <si>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</si>
  <si>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</si>
  <si>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</si>
  <si>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</si>
  <si>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</si>
  <si>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</si>
  <si>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</si>
  <si>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</si>
  <si>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</si>
  <si>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</si>
  <si>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</si>
  <si>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</si>
  <si>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</si>
  <si>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</si>
  <si>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</si>
  <si>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</si>
  <si>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</si>
  <si>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</si>
  <si>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</si>
  <si>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</si>
  <si>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</si>
  <si>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</si>
  <si>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</si>
  <si>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</si>
  <si>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</si>
  <si>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</si>
  <si>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</si>
  <si>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</si>
  <si>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</si>
  <si>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</si>
  <si>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</si>
  <si>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</si>
  <si>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</si>
  <si>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</si>
  <si>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</si>
  <si>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</si>
  <si>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</si>
  <si>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</si>
  <si>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</si>
  <si>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</si>
  <si>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</si>
  <si>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</si>
  <si>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</si>
  <si>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</si>
  <si>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</si>
  <si>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</si>
  <si>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</si>
  <si>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</si>
  <si>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</si>
  <si>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</si>
  <si>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</si>
  <si>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</si>
  <si>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</si>
  <si>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</si>
  <si>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</si>
  <si>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</si>
  <si>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</si>
  <si>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</si>
  <si>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</si>
  <si>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</si>
  <si>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</si>
  <si>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</si>
  <si>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</si>
  <si>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</si>
  <si>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</si>
  <si>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</si>
  <si>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</si>
  <si>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</si>
  <si>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</si>
  <si>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</si>
  <si>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</si>
  <si>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</si>
  <si>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</si>
  <si>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</si>
  <si>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</si>
  <si>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</si>
  <si>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</si>
  <si>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</si>
  <si>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</si>
  <si>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</si>
  <si>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</si>
  <si>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</si>
  <si>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</si>
  <si>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</si>
  <si>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</si>
  <si>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</si>
  <si>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</si>
  <si>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</si>
  <si>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</si>
  <si>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</si>
  <si>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</si>
  <si>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</si>
  <si>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</si>
  <si>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</si>
  <si>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</si>
  <si>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</si>
  <si>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</si>
  <si>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</si>
  <si>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</si>
  <si>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</si>
  <si>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</si>
  <si>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</si>
  <si>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</si>
  <si>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</si>
  <si>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</si>
  <si>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</si>
  <si>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</si>
  <si>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</si>
  <si>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</si>
  <si>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</si>
  <si>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</si>
  <si>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</si>
  <si>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</si>
  <si>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</si>
  <si>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</si>
  <si>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</si>
  <si>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</si>
  <si>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</si>
  <si>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</si>
  <si>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</si>
  <si>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</si>
  <si>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</si>
  <si>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</si>
  <si>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</si>
  <si>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</si>
  <si>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</si>
  <si>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</si>
  <si>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</si>
  <si>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</si>
  <si>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</si>
  <si>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</si>
  <si>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</si>
  <si>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</si>
  <si>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</si>
  <si>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</si>
  <si>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</si>
  <si>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</si>
  <si>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</si>
  <si>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</si>
  <si>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</si>
  <si>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</si>
  <si>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</si>
  <si>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</si>
  <si>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</si>
  <si>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</si>
  <si>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</si>
  <si>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</si>
  <si>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</si>
  <si>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</si>
  <si>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</si>
  <si>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</si>
  <si>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</si>
  <si>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</si>
  <si>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</si>
  <si>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</si>
  <si>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</si>
  <si>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</si>
  <si>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</si>
  <si>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</si>
  <si>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</si>
  <si>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</si>
  <si>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</si>
  <si>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</si>
  <si>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</si>
  <si>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</si>
  <si>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</si>
  <si>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</si>
  <si>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</si>
  <si>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</si>
  <si>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</si>
  <si>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</si>
  <si>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</si>
  <si>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</si>
  <si>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</si>
  <si>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</si>
  <si>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</si>
  <si>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</si>
  <si>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</si>
  <si>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</si>
  <si>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</si>
  <si>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</si>
  <si>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</si>
  <si>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</si>
  <si>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</si>
  <si>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</si>
  <si>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</si>
  <si>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</si>
  <si>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</si>
  <si>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</si>
  <si>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</si>
  <si>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</si>
  <si>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</si>
  <si>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</si>
  <si>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</si>
  <si>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</si>
  <si>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</si>
  <si>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</si>
  <si>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</si>
  <si>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</si>
  <si>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</si>
  <si>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</si>
  <si>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</si>
  <si>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</si>
  <si>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</si>
  <si>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</si>
  <si>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</si>
  <si>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</si>
  <si>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</si>
  <si>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</si>
  <si>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</si>
  <si>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</si>
  <si>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</si>
  <si>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</si>
  <si>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</si>
  <si>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</si>
  <si>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</si>
  <si>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</si>
  <si>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</si>
  <si>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</si>
  <si>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</si>
  <si>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</si>
  <si>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</si>
  <si>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</si>
  <si>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</si>
  <si>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</si>
  <si>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</si>
  <si>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</si>
  <si>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</si>
  <si>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</si>
  <si>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</si>
  <si>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</si>
  <si>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</si>
  <si>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</si>
  <si>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</si>
  <si>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</si>
  <si>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</si>
  <si>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</si>
  <si>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</si>
  <si>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</si>
  <si>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</si>
  <si>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</si>
  <si>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</si>
  <si>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</si>
  <si>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</si>
  <si>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</si>
  <si>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</si>
  <si>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</si>
  <si>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</si>
  <si>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</si>
  <si>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</si>
  <si>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</si>
  <si>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</si>
  <si>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</si>
  <si>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</si>
  <si>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</si>
  <si>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</si>
  <si>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</si>
  <si>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</si>
  <si>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</si>
  <si>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</si>
  <si>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</si>
  <si>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</si>
  <si>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</si>
  <si>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</si>
  <si>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</si>
  <si>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</si>
  <si>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</si>
  <si>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</si>
  <si>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</si>
  <si>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</si>
  <si>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</si>
  <si>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</si>
  <si>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</si>
  <si>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</si>
  <si>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</si>
  <si>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</si>
  <si>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</si>
  <si>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</si>
  <si>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</si>
  <si>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</si>
  <si>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</si>
  <si>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</si>
  <si>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</si>
  <si>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</si>
  <si>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</si>
  <si>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</si>
  <si>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</si>
  <si>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</si>
  <si>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</si>
  <si>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</si>
  <si>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</si>
  <si>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</si>
  <si>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</si>
  <si>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</si>
  <si>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</si>
  <si>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</si>
  <si>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</si>
  <si>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</si>
  <si>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</si>
  <si>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</si>
  <si>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</si>
  <si>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</si>
  <si>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</si>
  <si>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</si>
  <si>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</si>
  <si>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</si>
  <si>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</si>
  <si>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</si>
  <si>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</si>
  <si>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</si>
  <si>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</si>
  <si>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</si>
  <si>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</si>
  <si>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</si>
  <si>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</si>
  <si>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</si>
  <si>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</si>
  <si>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</si>
  <si>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</si>
  <si>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</si>
  <si>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</si>
  <si>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</si>
  <si>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</si>
  <si>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</si>
  <si>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</si>
  <si>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</si>
  <si>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</si>
  <si>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</si>
  <si>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</si>
  <si>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</si>
  <si>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</si>
  <si>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</si>
  <si>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</si>
  <si>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</si>
  <si>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</si>
  <si>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</si>
  <si>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</si>
  <si>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</si>
  <si>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</si>
  <si>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</si>
  <si>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</si>
  <si>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</si>
  <si>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</si>
  <si>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</si>
  <si>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</si>
  <si>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</si>
  <si>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</si>
  <si>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</si>
  <si>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</si>
  <si>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</si>
  <si>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</si>
  <si>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</si>
  <si>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</si>
  <si>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</si>
  <si>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</si>
  <si>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</si>
  <si>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</si>
  <si>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</si>
  <si>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</si>
  <si>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</si>
  <si>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</si>
  <si>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</si>
  <si>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</si>
  <si>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</si>
  <si>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</si>
  <si>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</si>
  <si>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</si>
  <si>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</si>
  <si>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</si>
  <si>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</si>
  <si>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</si>
  <si>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</si>
  <si>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</si>
  <si>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</si>
  <si>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</si>
  <si>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</si>
  <si>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</si>
  <si>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</si>
  <si>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</si>
  <si>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</si>
  <si>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</si>
  <si>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</si>
  <si>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</si>
  <si>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</si>
  <si>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</si>
  <si>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</si>
  <si>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</si>
  <si>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</si>
  <si>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</si>
  <si>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</si>
  <si>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</si>
  <si>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</si>
  <si>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</si>
  <si>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</si>
  <si>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</si>
  <si>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</si>
  <si>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</si>
  <si>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</si>
  <si>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</si>
  <si>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</si>
  <si>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</si>
  <si>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</si>
  <si>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</si>
  <si>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</si>
  <si>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</si>
  <si>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</si>
  <si>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</si>
  <si>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</si>
  <si>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</si>
  <si>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</si>
  <si>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</si>
  <si>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</si>
  <si>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</si>
  <si>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</si>
  <si>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</si>
  <si>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</si>
  <si>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</si>
  <si>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</si>
  <si>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</si>
  <si>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</si>
  <si>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</si>
  <si>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</si>
  <si>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</si>
  <si>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</si>
  <si>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</si>
  <si>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</si>
  <si>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</si>
  <si>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</si>
  <si>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</si>
  <si>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</si>
  <si>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</si>
  <si>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</si>
  <si>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</si>
  <si>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</si>
  <si>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</si>
  <si>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</si>
  <si>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</si>
  <si>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</si>
  <si>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</si>
  <si>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</si>
  <si>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</si>
  <si>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</si>
  <si>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</si>
  <si>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</si>
  <si>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</si>
  <si>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</si>
  <si>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</si>
  <si>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</si>
  <si>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</si>
  <si>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</si>
  <si>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</si>
  <si>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</si>
  <si>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</si>
  <si>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</si>
  <si>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</si>
  <si>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</si>
  <si>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</si>
  <si>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</si>
  <si>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</si>
  <si>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</si>
  <si>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</si>
  <si>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</si>
  <si>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</si>
  <si>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</si>
  <si>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</si>
  <si>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</si>
  <si>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</si>
  <si>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</si>
  <si>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</si>
  <si>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</si>
  <si>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</si>
  <si>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</si>
  <si>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</si>
  <si>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</si>
  <si>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</si>
  <si>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</si>
  <si>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</si>
  <si>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</si>
  <si>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</si>
  <si>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</si>
  <si>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</si>
  <si>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</si>
  <si>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</si>
  <si>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</si>
  <si>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</si>
  <si>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</si>
  <si>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</si>
  <si>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</si>
  <si>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</si>
  <si>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</si>
  <si>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</si>
  <si>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</si>
  <si>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</si>
  <si>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</si>
  <si>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</si>
  <si>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</si>
  <si>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</si>
  <si>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</si>
  <si>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</si>
  <si>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</si>
  <si>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</si>
  <si>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</si>
  <si>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</si>
  <si>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</si>
  <si>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</si>
  <si>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</si>
  <si>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</si>
  <si>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</si>
  <si>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</si>
  <si>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</si>
  <si>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</si>
  <si>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</si>
  <si>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</si>
  <si>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</si>
  <si>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</si>
  <si>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</si>
  <si>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</si>
  <si>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</si>
  <si>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</si>
  <si>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</si>
  <si>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</si>
  <si>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</si>
  <si>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</si>
  <si>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</si>
  <si>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</si>
  <si>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</si>
  <si>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</si>
  <si>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</si>
  <si>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</si>
  <si>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</si>
  <si>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</si>
  <si>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</si>
  <si>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</si>
  <si>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</si>
  <si>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</si>
  <si>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</si>
  <si>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</si>
  <si>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</si>
  <si>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</si>
  <si>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</si>
  <si>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</si>
  <si>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</si>
  <si>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</si>
  <si>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</si>
  <si>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</si>
  <si>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</si>
  <si>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</si>
  <si>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</si>
  <si>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</si>
  <si>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</si>
  <si>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</si>
  <si>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</si>
  <si>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</si>
  <si>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</si>
  <si>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</si>
  <si>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</si>
  <si>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</si>
  <si>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</si>
  <si>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</si>
  <si>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</si>
  <si>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</si>
  <si>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</si>
  <si>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</si>
  <si>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</si>
  <si>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</si>
  <si>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</si>
  <si>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</si>
  <si>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</si>
  <si>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</si>
  <si>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</si>
  <si>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</si>
  <si>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</si>
  <si>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</si>
  <si>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</si>
  <si>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</si>
  <si>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</si>
  <si>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</si>
  <si>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</si>
  <si>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</si>
  <si>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</si>
  <si>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</si>
  <si>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</si>
  <si>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</si>
  <si>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</si>
  <si>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</si>
  <si>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</si>
  <si>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</si>
  <si>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</si>
  <si>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</si>
  <si>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</si>
  <si>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</si>
  <si>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</si>
  <si>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</si>
  <si>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</si>
  <si>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</si>
  <si>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</si>
  <si>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</si>
  <si>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</si>
  <si>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</si>
  <si>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</si>
  <si>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</si>
  <si>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</si>
  <si>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</si>
  <si>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</si>
  <si>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</si>
  <si>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</si>
  <si>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</si>
  <si>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</si>
  <si>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</si>
  <si>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</si>
  <si>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</si>
  <si>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</si>
  <si>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</si>
  <si>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</si>
  <si>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</si>
  <si>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</si>
  <si>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</si>
  <si>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</si>
  <si>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</si>
  <si>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</si>
  <si>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</si>
  <si>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</si>
  <si>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</si>
  <si>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</si>
  <si>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</si>
  <si>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</si>
  <si>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</si>
  <si>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</si>
  <si>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</si>
  <si>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</si>
  <si>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</si>
  <si>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</si>
  <si>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</si>
  <si>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</si>
  <si>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</si>
  <si>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</si>
  <si>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</si>
  <si>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</si>
  <si>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</si>
  <si>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</si>
  <si>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</si>
  <si>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</si>
  <si>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</si>
  <si>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</si>
  <si>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</si>
  <si>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</si>
  <si>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</si>
  <si>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</si>
  <si>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</si>
  <si>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</si>
  <si>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</si>
  <si>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</si>
  <si>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</si>
  <si>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</si>
  <si>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</si>
  <si>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</si>
  <si>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</si>
  <si>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</si>
  <si>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</si>
  <si>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</si>
  <si>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</si>
  <si>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</si>
  <si>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</si>
  <si>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</si>
  <si>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</si>
  <si>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</si>
  <si>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</si>
  <si>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</si>
  <si>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</si>
  <si>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</si>
  <si>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</si>
  <si>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</si>
  <si>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</si>
  <si>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</si>
  <si>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</si>
  <si>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</si>
  <si>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</si>
  <si>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</si>
  <si>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</si>
  <si>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</si>
  <si>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</si>
  <si>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</si>
  <si>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</si>
  <si>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</si>
  <si>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</si>
  <si>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</si>
  <si>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</si>
  <si>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</si>
  <si>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</si>
  <si>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</si>
  <si>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</si>
  <si>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</si>
  <si>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</si>
  <si>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</si>
  <si>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</si>
  <si>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</si>
  <si>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</si>
  <si>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</si>
  <si>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</si>
  <si>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</si>
  <si>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</si>
  <si>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</si>
  <si>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</si>
  <si>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</si>
  <si>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</si>
  <si>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</si>
  <si>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</si>
  <si>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</si>
  <si>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</si>
  <si>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</si>
  <si>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</si>
  <si>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</si>
  <si>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</si>
  <si>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</si>
  <si>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</si>
  <si>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</si>
  <si>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</si>
  <si>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</si>
  <si>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</si>
  <si>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</si>
  <si>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</si>
  <si>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</si>
  <si>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</si>
  <si>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</si>
  <si>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</si>
  <si>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</si>
  <si>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</si>
  <si>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</si>
  <si>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</si>
  <si>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</si>
  <si>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</si>
  <si>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</si>
  <si>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</si>
  <si>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</si>
  <si>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</si>
  <si>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</si>
  <si>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</si>
  <si>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</si>
  <si>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</si>
  <si>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</si>
  <si>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</si>
  <si>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</si>
  <si>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</si>
  <si>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</si>
  <si>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</si>
  <si>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</si>
  <si>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</si>
  <si>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</si>
  <si>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</si>
  <si>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</si>
  <si>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</si>
  <si>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</si>
  <si>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</si>
  <si>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</si>
  <si>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</si>
  <si>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</si>
  <si>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</si>
  <si>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</si>
  <si>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</si>
  <si>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</si>
  <si>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</si>
  <si>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</si>
  <si>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</si>
  <si>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</si>
  <si>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</si>
  <si>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</si>
  <si>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</si>
  <si>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</si>
  <si>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</si>
  <si>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</si>
  <si>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</si>
  <si>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</si>
  <si>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</si>
  <si>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</si>
  <si>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</si>
  <si>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</si>
  <si>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</si>
  <si>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</si>
  <si>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</si>
  <si>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</si>
  <si>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</si>
  <si>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</si>
  <si>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</si>
  <si>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</si>
  <si>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</si>
  <si>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</si>
  <si>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</si>
  <si>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</si>
  <si>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</si>
  <si>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</si>
  <si>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</si>
  <si>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</si>
  <si>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</si>
  <si>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</si>
  <si>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</si>
  <si>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</si>
  <si>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</si>
  <si>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</si>
  <si>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</si>
  <si>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</si>
  <si>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</si>
  <si>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</si>
  <si>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</si>
  <si>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</si>
  <si>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</si>
  <si>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</si>
  <si>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</si>
  <si>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</si>
  <si>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</si>
  <si>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</si>
  <si>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</si>
  <si>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</si>
  <si>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</si>
  <si>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</si>
  <si>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</si>
  <si>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</si>
  <si>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</si>
  <si>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</si>
  <si>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</si>
  <si>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</si>
  <si>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</si>
  <si>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</si>
  <si>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</si>
  <si>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</si>
  <si>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</si>
  <si>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</si>
  <si>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</si>
  <si>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</si>
  <si>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</si>
  <si>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</si>
  <si>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</si>
  <si>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</si>
  <si>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</si>
  <si>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</si>
  <si>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</si>
  <si>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</si>
  <si>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</si>
  <si>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</si>
  <si>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</si>
  <si>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</si>
  <si>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</si>
  <si>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</si>
  <si>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</si>
  <si>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</si>
  <si>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</si>
  <si>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</si>
  <si>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</si>
  <si>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</si>
  <si>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</si>
  <si>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</si>
  <si>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</si>
  <si>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</si>
  <si>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</si>
  <si>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</si>
  <si>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</si>
  <si>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</si>
  <si>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</si>
  <si>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</si>
  <si>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</si>
  <si>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</si>
  <si>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</si>
  <si>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</si>
  <si>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</si>
  <si>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</si>
  <si>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</si>
  <si>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</si>
  <si>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</si>
  <si>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</si>
  <si>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</si>
  <si>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</si>
  <si>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</si>
  <si>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</si>
  <si>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</si>
  <si>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</si>
  <si>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</si>
  <si>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</si>
  <si>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</si>
  <si>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</si>
  <si>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</si>
  <si>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</si>
  <si>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</si>
  <si>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</si>
  <si>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</si>
  <si>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</si>
  <si>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</si>
  <si>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</si>
  <si>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</si>
  <si>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</si>
  <si>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</si>
  <si>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</si>
  <si>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</si>
  <si>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</si>
  <si>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</si>
  <si>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</si>
  <si>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</si>
  <si>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</si>
  <si>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</si>
  <si>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</si>
  <si>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</si>
  <si>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</si>
  <si>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</si>
  <si>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</si>
  <si>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</si>
  <si>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</si>
  <si>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</si>
  <si>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</si>
  <si>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</si>
  <si>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</si>
  <si>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</si>
  <si>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</si>
  <si>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</si>
  <si>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</si>
  <si>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</si>
  <si>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</si>
  <si>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</si>
  <si>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</si>
  <si>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</si>
  <si>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</si>
  <si>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</si>
  <si>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</si>
  <si>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</si>
  <si>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</si>
  <si>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</si>
  <si>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</si>
  <si>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</si>
  <si>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</si>
  <si>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</si>
  <si>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</si>
  <si>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</si>
  <si>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</si>
  <si>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</si>
  <si>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</si>
  <si>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</si>
  <si>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</si>
  <si>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</si>
  <si>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</si>
  <si>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</si>
  <si>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</si>
  <si>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</si>
  <si>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</si>
  <si>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</si>
  <si>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</si>
  <si>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</si>
  <si>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</si>
  <si>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</si>
  <si>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</si>
  <si>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</si>
  <si>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</si>
  <si>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</si>
  <si>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</si>
  <si>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</si>
  <si>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</si>
  <si>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</si>
  <si>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</si>
  <si>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</si>
  <si>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</si>
  <si>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</si>
  <si>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</si>
  <si>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</si>
  <si>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</si>
  <si>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</si>
  <si>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</si>
  <si>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</si>
  <si>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</si>
  <si>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</si>
  <si>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</si>
  <si>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</si>
  <si>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</si>
  <si>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</si>
  <si>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</si>
  <si>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</si>
  <si>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</si>
  <si>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</si>
  <si>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</si>
  <si>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</si>
  <si>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</si>
  <si>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</si>
  <si>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</si>
  <si>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</si>
  <si>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</si>
  <si>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</si>
  <si>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</si>
  <si>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</si>
  <si>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</si>
  <si>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</si>
  <si>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</si>
  <si>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</si>
  <si>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</si>
  <si>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</si>
  <si>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</si>
  <si>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</si>
  <si>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</si>
  <si>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</si>
  <si>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</si>
  <si>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</si>
  <si>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</si>
  <si>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</si>
  <si>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</si>
  <si>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</si>
  <si>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</si>
  <si>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</si>
  <si>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</si>
  <si>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</si>
  <si>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</si>
  <si>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</si>
  <si>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</si>
  <si>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</si>
  <si>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</si>
  <si>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</si>
  <si>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</si>
  <si>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</si>
  <si>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</si>
  <si>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</si>
  <si>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</si>
  <si>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</si>
  <si>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</si>
  <si>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</si>
  <si>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</si>
  <si>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</si>
  <si>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</si>
  <si>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</si>
  <si>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</si>
  <si>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</si>
  <si>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</si>
  <si>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</si>
  <si>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</si>
  <si>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</si>
  <si>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</si>
  <si>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</si>
  <si>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</si>
  <si>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</si>
  <si>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</si>
  <si>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</si>
  <si>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</si>
  <si>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</si>
  <si>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</si>
  <si>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</si>
  <si>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</si>
  <si>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</si>
  <si>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</si>
  <si>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</si>
  <si>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</si>
  <si>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</si>
  <si>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</si>
  <si>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</si>
  <si>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</si>
  <si>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</si>
  <si>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</si>
  <si>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</si>
  <si>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</si>
  <si>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</si>
  <si>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</si>
  <si>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</si>
  <si>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</si>
  <si>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</si>
  <si>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</si>
  <si>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</si>
  <si>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</si>
  <si>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</si>
  <si>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</si>
  <si>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</si>
  <si>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</si>
  <si>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</si>
  <si>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</si>
  <si>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</si>
  <si>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</si>
  <si>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</si>
  <si>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</si>
  <si>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</si>
  <si>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</si>
  <si>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</si>
  <si>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</si>
  <si>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</si>
  <si>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</si>
  <si>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</si>
  <si>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</si>
  <si>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</si>
  <si>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</si>
  <si>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</si>
  <si>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</si>
  <si>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</si>
  <si>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</si>
  <si>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</si>
  <si>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</si>
  <si>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</si>
  <si>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</si>
  <si>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</si>
  <si>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</si>
  <si>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</si>
  <si>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</si>
  <si>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</si>
  <si>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</si>
  <si>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</si>
  <si>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</si>
  <si>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</si>
  <si>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</si>
  <si>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</si>
  <si>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</si>
  <si>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</si>
  <si>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</si>
  <si>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</si>
  <si>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</si>
  <si>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</si>
  <si>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</si>
  <si>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</si>
  <si>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</si>
  <si>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</si>
  <si>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</si>
  <si>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</si>
  <si>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</si>
  <si>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</si>
  <si>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</si>
  <si>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</si>
  <si>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</si>
  <si>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</si>
  <si>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</si>
  <si>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</si>
  <si>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</si>
  <si>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</si>
  <si>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</si>
  <si>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</si>
  <si>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</si>
  <si>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</si>
  <si>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</si>
  <si>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</si>
  <si>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</si>
  <si>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</si>
  <si>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</si>
  <si>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</si>
  <si>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</si>
  <si>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</si>
  <si>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</si>
  <si>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</si>
  <si>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</si>
  <si>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</si>
  <si>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</si>
  <si>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</si>
  <si>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</si>
  <si>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</si>
  <si>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</si>
  <si>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</si>
  <si>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</si>
  <si>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</si>
  <si>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</si>
  <si>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</si>
  <si>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</si>
  <si>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</si>
  <si>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</si>
  <si>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</si>
  <si>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</si>
  <si>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</si>
  <si>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</si>
  <si>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</si>
  <si>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</si>
  <si>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</si>
  <si>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</si>
  <si>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</si>
  <si>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</si>
  <si>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</si>
  <si>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</si>
  <si>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</si>
  <si>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</si>
  <si>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</si>
  <si>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</si>
  <si>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</si>
  <si>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</si>
  <si>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</si>
  <si>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</si>
  <si>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</si>
  <si>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</si>
  <si>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</si>
  <si>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</si>
  <si>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</si>
  <si>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</si>
  <si>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</si>
  <si>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</si>
  <si>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</si>
  <si>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</si>
  <si>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</si>
  <si>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</si>
  <si>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</si>
  <si>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</si>
  <si>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</si>
  <si>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</si>
  <si>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</si>
  <si>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</si>
  <si>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</si>
  <si>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</si>
  <si>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</si>
  <si>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</si>
  <si>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</si>
  <si>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</si>
  <si>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</si>
  <si>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</si>
  <si>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</si>
  <si>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</si>
  <si>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</si>
  <si>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</si>
  <si>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</si>
  <si>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</si>
  <si>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</si>
  <si>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</si>
  <si>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</si>
  <si>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</si>
  <si>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</si>
  <si>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</si>
  <si>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</si>
  <si>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</si>
  <si>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</si>
  <si>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</si>
  <si>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</si>
  <si>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</si>
  <si>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</si>
  <si>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</si>
  <si>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</si>
  <si>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</si>
  <si>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</si>
  <si>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</si>
  <si>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</si>
  <si>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</si>
  <si>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</si>
  <si>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</si>
  <si>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</si>
  <si>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</si>
  <si>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</si>
  <si>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</si>
  <si>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</si>
  <si>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</si>
  <si>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</si>
  <si>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</si>
  <si>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</si>
  <si>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</si>
  <si>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</si>
  <si>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</si>
  <si>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</si>
  <si>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</si>
  <si>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</si>
  <si>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</si>
  <si>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</si>
  <si>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</si>
  <si>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</si>
  <si>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</si>
  <si>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</si>
  <si>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</si>
  <si>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</si>
  <si>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</si>
  <si>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</si>
  <si>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</si>
  <si>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</si>
  <si>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</si>
  <si>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</si>
  <si>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</si>
  <si>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</si>
  <si>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</si>
  <si>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</si>
  <si>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</si>
  <si>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</si>
  <si>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</si>
  <si>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</si>
  <si>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</si>
  <si>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</si>
  <si>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</si>
  <si>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</si>
  <si>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</si>
  <si>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</si>
  <si>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</si>
  <si>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</si>
  <si>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</si>
  <si>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</si>
  <si>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</si>
  <si>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</si>
  <si>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</si>
  <si>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</si>
  <si>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</si>
  <si>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</si>
  <si>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</si>
  <si>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</si>
  <si>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</si>
  <si>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</si>
  <si>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</si>
  <si>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</si>
  <si>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</si>
  <si>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</si>
  <si>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</si>
  <si>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</si>
  <si>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</si>
  <si>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</si>
  <si>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</si>
  <si>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</si>
  <si>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</si>
  <si>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</si>
  <si>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</si>
  <si>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</si>
  <si>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</si>
  <si>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</si>
  <si>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</si>
  <si>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</si>
  <si>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</si>
  <si>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</si>
  <si>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</si>
  <si>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</si>
  <si>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</si>
  <si>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</si>
  <si>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</si>
  <si>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</si>
  <si>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</si>
  <si>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</si>
  <si>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</si>
  <si>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</si>
  <si>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</si>
  <si>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</si>
  <si>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</si>
  <si>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</si>
  <si>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</si>
  <si>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</si>
  <si>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</si>
  <si>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</si>
  <si>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</si>
  <si>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</si>
  <si>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</si>
  <si>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</si>
  <si>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</si>
  <si>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</si>
  <si>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</si>
  <si>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</si>
  <si>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</si>
  <si>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</si>
  <si>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</si>
  <si>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</si>
  <si>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</si>
  <si>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</si>
  <si>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</si>
  <si>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</si>
  <si>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</si>
  <si>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</si>
  <si>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</si>
  <si>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</si>
  <si>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</si>
  <si>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</si>
  <si>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</si>
  <si>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</si>
  <si>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</si>
  <si>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</si>
  <si>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</si>
  <si>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</si>
  <si>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</si>
  <si>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</si>
  <si>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</si>
  <si>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</si>
  <si>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</si>
  <si>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</si>
  <si>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</si>
  <si>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</si>
  <si>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</si>
  <si>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</si>
  <si>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</si>
  <si>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</si>
  <si>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</si>
  <si>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</si>
  <si>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</si>
  <si>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</si>
  <si>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</si>
  <si>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</si>
  <si>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</si>
  <si>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</si>
  <si>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</si>
  <si>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</si>
  <si>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</si>
  <si>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</si>
  <si>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</si>
  <si>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</si>
  <si>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</si>
  <si>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</si>
  <si>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</si>
  <si>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</si>
  <si>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</si>
  <si>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</si>
  <si>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</si>
  <si>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</si>
  <si>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</si>
  <si>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</si>
  <si>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</si>
  <si>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</si>
  <si>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</si>
  <si>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</si>
  <si>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</si>
  <si>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</si>
  <si>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</si>
  <si>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</si>
  <si>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</si>
  <si>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</si>
  <si>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</si>
  <si>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</si>
  <si>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</si>
  <si>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</si>
  <si>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</si>
  <si>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</si>
  <si>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</si>
  <si>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</si>
  <si>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</si>
  <si>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</si>
  <si>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</si>
  <si>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</si>
  <si>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</si>
  <si>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</si>
  <si>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</si>
  <si>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</si>
  <si>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</si>
  <si>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</si>
  <si>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</si>
  <si>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</si>
  <si>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</si>
  <si>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</si>
  <si>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</si>
  <si>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</si>
  <si>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</si>
  <si>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</si>
  <si>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</si>
  <si>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</si>
  <si>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</si>
  <si>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</si>
  <si>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</si>
  <si>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</si>
  <si>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</si>
  <si>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</si>
  <si>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</si>
  <si>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</si>
  <si>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</si>
  <si>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</si>
  <si>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</si>
  <si>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</si>
  <si>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</si>
  <si>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</si>
  <si>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</si>
  <si>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</si>
  <si>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</si>
  <si>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</si>
  <si>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</si>
  <si>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</si>
  <si>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</si>
  <si>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</si>
  <si>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</si>
  <si>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</si>
  <si>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</si>
  <si>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</si>
  <si>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</si>
  <si>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</si>
  <si>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</si>
  <si>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</si>
  <si>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</si>
  <si>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</si>
  <si>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</si>
  <si>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</si>
  <si>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</si>
  <si>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</si>
  <si>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</si>
  <si>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</si>
  <si>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</si>
  <si>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</si>
  <si>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</si>
  <si>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</si>
  <si>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</si>
  <si>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</si>
  <si>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</si>
  <si>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</si>
  <si>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</si>
  <si>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</si>
  <si>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</si>
  <si>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</si>
  <si>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</si>
  <si>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</si>
  <si>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</si>
  <si>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</si>
  <si>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</si>
  <si>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</si>
  <si>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</si>
  <si>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</si>
  <si>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</si>
  <si>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</si>
  <si>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</si>
  <si>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</si>
  <si>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</si>
  <si>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</si>
  <si>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</si>
  <si>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</si>
  <si>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</si>
  <si>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</si>
  <si>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</si>
  <si>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</si>
  <si>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</si>
  <si>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</si>
  <si>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</si>
  <si>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</si>
  <si>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</si>
  <si>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</si>
  <si>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</si>
  <si>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</si>
  <si>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</si>
  <si>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</si>
  <si>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</si>
  <si>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</si>
  <si>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</si>
  <si>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</si>
  <si>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</si>
  <si>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</si>
  <si>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</si>
  <si>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</si>
  <si>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</si>
  <si>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</si>
  <si>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</si>
  <si>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</si>
  <si>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</si>
  <si>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</si>
  <si>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</si>
  <si>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</si>
  <si>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</si>
  <si>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</si>
  <si>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</si>
  <si>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</si>
  <si>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</si>
  <si>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</si>
  <si>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</si>
  <si>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</si>
  <si>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</si>
  <si>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</si>
  <si>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</si>
  <si>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</si>
  <si>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</si>
  <si>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</si>
  <si>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</si>
  <si>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</si>
  <si>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</si>
  <si>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</si>
  <si>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</si>
  <si>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</si>
  <si>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</si>
  <si>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</si>
  <si>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</si>
  <si>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</si>
  <si>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</si>
  <si>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</si>
  <si>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</si>
  <si>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</si>
  <si>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</si>
  <si>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</si>
  <si>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</si>
  <si>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</si>
  <si>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</si>
  <si>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</si>
  <si>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</si>
  <si>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</si>
  <si>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</si>
  <si>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</si>
  <si>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</si>
  <si>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</si>
  <si>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</si>
  <si>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</si>
  <si>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</si>
  <si>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</si>
  <si>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</si>
  <si>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</si>
  <si>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</si>
  <si>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</si>
  <si>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</si>
  <si>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</si>
  <si>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</si>
  <si>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</si>
  <si>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</si>
  <si>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</si>
  <si>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</si>
  <si>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</si>
  <si>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</si>
  <si>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</si>
  <si>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</si>
  <si>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</si>
  <si>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</si>
  <si>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</si>
  <si>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</si>
  <si>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</si>
  <si>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</si>
  <si>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</si>
  <si>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</si>
  <si>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</si>
  <si>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</si>
  <si>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</si>
  <si>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</si>
  <si>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</si>
  <si>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</si>
  <si>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</si>
  <si>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</si>
  <si>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</si>
  <si>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</si>
  <si>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</si>
  <si>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</si>
  <si>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</si>
  <si>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</si>
  <si>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</si>
  <si>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</si>
  <si>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</si>
  <si>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</si>
  <si>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</si>
  <si>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</si>
  <si>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</si>
  <si>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</si>
  <si>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</si>
  <si>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</si>
  <si>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</si>
  <si>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</si>
  <si>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</si>
  <si>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</si>
  <si>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</si>
  <si>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</si>
  <si>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</si>
  <si>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</si>
  <si>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</si>
  <si>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</si>
  <si>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</si>
  <si>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</si>
  <si>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</si>
  <si>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</si>
  <si>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</si>
  <si>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</si>
  <si>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</si>
  <si>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</si>
  <si>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</si>
  <si>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</si>
  <si>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</si>
  <si>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</si>
  <si>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</si>
  <si>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</si>
  <si>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</si>
  <si>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</si>
  <si>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</si>
  <si>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</si>
  <si>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</si>
  <si>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</si>
  <si>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</si>
  <si>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</si>
  <si>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</si>
  <si>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</si>
  <si>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</si>
  <si>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</si>
  <si>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</si>
  <si>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</si>
  <si>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</si>
  <si>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</si>
  <si>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</si>
  <si>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</si>
  <si>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</si>
  <si>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</si>
  <si>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</si>
  <si>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</si>
  <si>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</si>
  <si>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</si>
  <si>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</si>
  <si>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</si>
  <si>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</si>
  <si>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</si>
  <si>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</si>
  <si>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</si>
  <si>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</si>
  <si>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</si>
  <si>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</si>
  <si>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</si>
  <si>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</si>
  <si>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</si>
  <si>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</si>
  <si>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</si>
  <si>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</si>
  <si>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</si>
  <si>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</si>
  <si>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</si>
  <si>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</si>
  <si>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</si>
  <si>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</si>
  <si>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</si>
  <si>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</si>
  <si>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</si>
  <si>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</si>
  <si>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</si>
  <si>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</si>
  <si>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</si>
  <si>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</si>
  <si>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</si>
  <si>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</si>
  <si>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</si>
  <si>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</si>
  <si>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</si>
  <si>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</si>
  <si>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</si>
  <si>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</si>
  <si>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</si>
  <si>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</si>
  <si>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</si>
  <si>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</si>
  <si>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</si>
  <si>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</si>
  <si>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</si>
  <si>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</si>
  <si>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</si>
  <si>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</si>
  <si>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</si>
  <si>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</si>
  <si>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</si>
  <si>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</si>
  <si>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</si>
  <si>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</si>
  <si>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</si>
  <si>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</si>
  <si>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</si>
  <si>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</si>
  <si>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</si>
  <si>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</si>
  <si>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</si>
  <si>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</si>
  <si>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</si>
  <si>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</si>
  <si>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</si>
  <si>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</si>
  <si>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</si>
  <si>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</si>
  <si>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</si>
  <si>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</si>
  <si>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</si>
  <si>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</si>
  <si>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</si>
  <si>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</si>
  <si>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</si>
  <si>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</si>
  <si>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</si>
  <si>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</si>
  <si>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</si>
  <si>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</si>
  <si>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</si>
  <si>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</si>
  <si>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</si>
  <si>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</si>
  <si>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</si>
  <si>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</si>
  <si>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</si>
  <si>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</si>
  <si>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</si>
  <si>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</si>
  <si>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</si>
  <si>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</si>
  <si>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</si>
  <si>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</si>
  <si>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</si>
  <si>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</si>
  <si>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</si>
  <si>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</si>
  <si>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</si>
  <si>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</si>
  <si>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</si>
  <si>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</si>
  <si>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</si>
  <si>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</si>
  <si>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</si>
  <si>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</si>
  <si>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</si>
  <si>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</si>
  <si>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</si>
  <si>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</si>
  <si>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</si>
  <si>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</si>
  <si>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</si>
  <si>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</si>
  <si>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</si>
  <si>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</si>
  <si>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</si>
  <si>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</si>
  <si>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</si>
  <si>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</si>
  <si>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</si>
  <si>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</si>
  <si>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</si>
  <si>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</si>
  <si>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</si>
  <si>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</si>
  <si>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</si>
  <si>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</si>
  <si>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</si>
  <si>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</si>
  <si>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</si>
  <si>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</si>
  <si>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</si>
  <si>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</si>
  <si>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</si>
  <si>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</si>
  <si>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</si>
  <si>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</si>
  <si>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</si>
  <si>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</si>
  <si>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</si>
  <si>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</si>
  <si>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</si>
  <si>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</si>
  <si>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</si>
  <si>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</si>
  <si>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</si>
  <si>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</si>
  <si>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</si>
  <si>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</si>
  <si>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</si>
  <si>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</si>
  <si>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</si>
  <si>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</si>
  <si>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</si>
  <si>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</si>
  <si>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</si>
  <si>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</si>
  <si>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</si>
  <si>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</si>
  <si>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</si>
  <si>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</si>
  <si>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</si>
  <si>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</si>
  <si>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</si>
  <si>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</si>
  <si>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</si>
  <si>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</si>
  <si>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</si>
  <si>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</si>
  <si>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</si>
  <si>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</si>
  <si>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</si>
  <si>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</si>
  <si>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</si>
  <si>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</si>
  <si>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</si>
  <si>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</si>
  <si>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</si>
  <si>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</si>
  <si>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</si>
  <si>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</si>
  <si>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</si>
  <si>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</si>
  <si>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</si>
  <si>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</si>
  <si>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</si>
  <si>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</si>
  <si>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</si>
  <si>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</si>
  <si>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</si>
  <si>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</si>
  <si>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</si>
  <si>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</si>
  <si>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</si>
  <si>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</si>
  <si>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</si>
  <si>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</si>
  <si>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</si>
  <si>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</si>
  <si>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</si>
  <si>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</si>
  <si>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</si>
  <si>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</si>
  <si>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</si>
  <si>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</si>
  <si>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</si>
  <si>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</si>
  <si>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</si>
  <si>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</si>
  <si>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</si>
  <si>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</si>
  <si>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</si>
  <si>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</si>
  <si>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</si>
  <si>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</si>
  <si>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</si>
  <si>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</si>
  <si>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</si>
  <si>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</si>
  <si>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</si>
  <si>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</si>
  <si>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</si>
  <si>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</si>
  <si>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</si>
  <si>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</si>
  <si>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</si>
  <si>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</si>
  <si>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</si>
  <si>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</si>
  <si>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</si>
  <si>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</si>
  <si>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</si>
  <si>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</si>
  <si>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</si>
  <si>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</si>
  <si>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</si>
  <si>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</si>
  <si>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</si>
  <si>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</si>
  <si>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</si>
  <si>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</si>
  <si>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</si>
  <si>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</si>
  <si>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</si>
  <si>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</si>
  <si>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</si>
  <si>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</si>
  <si>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</si>
  <si>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</si>
  <si>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</si>
  <si>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</si>
  <si>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</si>
  <si>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</si>
  <si>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</si>
  <si>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</si>
  <si>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</si>
  <si>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</si>
  <si>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</si>
  <si>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</si>
  <si>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</si>
  <si>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</si>
  <si>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</si>
  <si>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</si>
  <si>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</si>
  <si>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</si>
  <si>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</si>
  <si>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</si>
  <si>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</si>
  <si>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</si>
  <si>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</si>
  <si>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</si>
  <si>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</si>
  <si>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</si>
  <si>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</si>
  <si>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</si>
  <si>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</si>
  <si>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</si>
  <si>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</si>
  <si>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</si>
  <si>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</si>
  <si>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</si>
  <si>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</si>
  <si>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</si>
  <si>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</si>
  <si>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</si>
  <si>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</si>
  <si>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</si>
  <si>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</si>
  <si>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</si>
  <si>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</si>
  <si>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</si>
  <si>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</si>
  <si>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</si>
  <si>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</si>
  <si>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</si>
  <si>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</si>
  <si>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</si>
  <si>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</si>
  <si>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</si>
  <si>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</si>
  <si>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</si>
  <si>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</si>
  <si>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</si>
  <si>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</si>
  <si>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</si>
  <si>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</si>
  <si>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</si>
  <si>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</si>
  <si>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</si>
  <si>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</si>
  <si>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</si>
  <si>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</si>
  <si>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</si>
  <si>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</si>
  <si>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</si>
  <si>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</si>
  <si>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</si>
  <si>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</si>
  <si>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</si>
  <si>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</si>
  <si>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</si>
  <si>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</si>
  <si>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</si>
  <si>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</si>
  <si>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</si>
  <si>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</si>
  <si>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</si>
  <si>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</si>
  <si>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</si>
  <si>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</si>
  <si>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</si>
  <si>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</si>
  <si>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</si>
  <si>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</si>
  <si>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</si>
  <si>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</si>
  <si>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</si>
  <si>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</si>
  <si>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</si>
  <si>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</si>
  <si>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</si>
  <si>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</si>
  <si>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</si>
  <si>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</si>
  <si>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</si>
  <si>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</si>
  <si>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</si>
  <si>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</si>
  <si>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</si>
  <si>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</si>
  <si>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</si>
  <si>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</si>
  <si>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</si>
  <si>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</si>
  <si>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</si>
  <si>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</si>
  <si>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</si>
  <si>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</si>
  <si>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</si>
  <si>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</si>
  <si>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</si>
  <si>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</si>
  <si>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</si>
  <si>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</si>
  <si>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</si>
  <si>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</si>
  <si>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</si>
  <si>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</si>
  <si>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</si>
  <si>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</si>
  <si>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</si>
  <si>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</si>
  <si>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</si>
  <si>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</si>
  <si>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</si>
  <si>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</si>
  <si>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</si>
  <si>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</si>
  <si>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</si>
  <si>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</si>
  <si>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</si>
  <si>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</si>
  <si>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</si>
  <si>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</si>
  <si>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</si>
  <si>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</si>
  <si>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</si>
  <si>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</si>
  <si>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</si>
  <si>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</si>
  <si>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</si>
  <si>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</si>
  <si>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</si>
  <si>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</si>
  <si>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</si>
  <si>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</si>
  <si>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</si>
  <si>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</si>
  <si>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</si>
  <si>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</si>
  <si>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</si>
  <si>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</si>
  <si>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</si>
  <si>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</si>
  <si>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</si>
  <si>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</si>
  <si>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</si>
  <si>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</si>
  <si>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</si>
  <si>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</si>
  <si>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</si>
  <si>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</si>
  <si>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</si>
  <si>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</si>
  <si>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</si>
  <si>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</si>
  <si>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</si>
  <si>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</si>
  <si>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</si>
  <si>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</si>
  <si>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</si>
  <si>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</si>
  <si>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</si>
  <si>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</si>
  <si>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</si>
  <si>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</si>
  <si>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</si>
  <si>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</si>
  <si>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</si>
  <si>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</si>
  <si>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</si>
  <si>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</si>
  <si>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</si>
  <si>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</si>
  <si>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</si>
  <si>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</si>
  <si>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</si>
  <si>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</si>
  <si>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</si>
  <si>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</si>
  <si>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</si>
  <si>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</si>
  <si>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</si>
  <si>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</si>
  <si>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</si>
  <si>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</si>
  <si>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</si>
  <si>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</si>
  <si>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</si>
  <si>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</si>
  <si>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</si>
  <si>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</si>
  <si>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</si>
  <si>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</si>
  <si>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</si>
  <si>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</si>
  <si>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</si>
  <si>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</si>
  <si>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</si>
  <si>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</si>
  <si>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</si>
  <si>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</si>
  <si>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</si>
  <si>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</si>
  <si>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</si>
  <si>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</si>
  <si>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</si>
  <si>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</si>
  <si>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</si>
  <si>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</si>
  <si>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</si>
  <si>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</si>
  <si>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</si>
  <si>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</si>
  <si>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</si>
  <si>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</si>
  <si>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</si>
  <si>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</si>
  <si>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</si>
  <si>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</si>
  <si>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</si>
  <si>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</si>
  <si>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</si>
  <si>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</si>
  <si>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</si>
  <si>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</si>
  <si>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</si>
  <si>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</si>
  <si>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</si>
  <si>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</si>
  <si>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</si>
  <si>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</si>
  <si>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</si>
  <si>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</si>
  <si>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</si>
  <si>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</si>
  <si>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</si>
  <si>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</si>
  <si>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</si>
  <si>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</si>
  <si>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</si>
  <si>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</si>
  <si>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</si>
  <si>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</si>
  <si>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</si>
  <si>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</si>
  <si>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</si>
  <si>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</si>
  <si>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</si>
  <si>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</si>
  <si>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</si>
  <si>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</si>
  <si>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</si>
  <si>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</si>
  <si>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</si>
  <si>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</si>
  <si>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</si>
  <si>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</si>
  <si>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</si>
  <si>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</si>
  <si>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</si>
  <si>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</si>
  <si>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</si>
  <si>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</si>
  <si>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</si>
  <si>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</si>
  <si>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</si>
  <si>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</si>
  <si>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</si>
  <si>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</si>
  <si>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</si>
  <si>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</si>
  <si>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</si>
  <si>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</si>
  <si>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</si>
  <si>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</si>
  <si>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</si>
  <si>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</si>
  <si>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</si>
  <si>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</si>
  <si>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</si>
  <si>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</si>
  <si>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</si>
  <si>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</si>
  <si>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</si>
  <si>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</si>
  <si>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</si>
  <si>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</si>
  <si>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</si>
  <si>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</si>
  <si>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</si>
  <si>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</si>
  <si>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吴薇</t>
  </si>
  <si>
    <t>崔锴</t>
  </si>
  <si>
    <t>抵押</t>
  </si>
  <si>
    <t>房地产抵押价值</t>
  </si>
  <si>
    <t>其他：</t>
  </si>
  <si>
    <t>企业</t>
  </si>
  <si>
    <t>出让</t>
  </si>
  <si>
    <t>在建</t>
  </si>
  <si>
    <t>居住项目</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</si>
  <si>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</si>
  <si>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</si>
  <si>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</si>
  <si>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</si>
  <si>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</si>
  <si>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</si>
  <si>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</si>
  <si>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</si>
  <si>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</si>
  <si>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</si>
  <si>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</si>
  <si>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</si>
  <si>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15号楼</t>
    </r>
    <r>
      <rPr>
        <sz val="10"/>
        <color indexed="8"/>
        <rFont val="宋体"/>
        <family val="3"/>
        <charset val="134"/>
      </rPr>
      <t/>
    </r>
  </si>
  <si>
    <t>地上</t>
  </si>
  <si>
    <t>住宅</t>
  </si>
  <si>
    <t>小高层</t>
  </si>
  <si>
    <t>小高层</t>
    <phoneticPr fontId="16" type="noConversion"/>
  </si>
  <si>
    <t>高层</t>
    <phoneticPr fontId="16" type="noConversion"/>
  </si>
  <si>
    <t>楼号</t>
  </si>
  <si>
    <t>指标</t>
  </si>
  <si>
    <t>套数</t>
  </si>
  <si>
    <t xml:space="preserve"> 计容可售面积 </t>
  </si>
  <si>
    <t>2#楼7+1洋房</t>
  </si>
  <si>
    <t>底复(买一层送二层)</t>
  </si>
  <si>
    <t>标准层</t>
  </si>
  <si>
    <t>顶复(买一层送一层)</t>
  </si>
  <si>
    <t>3#楼7+1洋房</t>
  </si>
  <si>
    <t>6#楼7+1洋房</t>
  </si>
  <si>
    <t>底(买一层送二层)</t>
  </si>
  <si>
    <t>7#楼7+1洋房</t>
  </si>
  <si>
    <t>8#楼7+1洋房</t>
  </si>
  <si>
    <t>9#楼7+1洋房</t>
  </si>
  <si>
    <t>11#楼7+1洋房</t>
  </si>
  <si>
    <t>12#楼7+1洋房</t>
  </si>
  <si>
    <t>1#楼17层高层</t>
  </si>
  <si>
    <t>底复(买一层送一层)</t>
  </si>
  <si>
    <t>5#楼17层高层</t>
  </si>
  <si>
    <t>10#楼10+1小高层</t>
  </si>
  <si>
    <t>13#楼17层高层</t>
  </si>
  <si>
    <t>15#楼17层高层</t>
  </si>
  <si>
    <t>底复小计</t>
  </si>
  <si>
    <t>标准层小计</t>
  </si>
  <si>
    <t>顶复小计</t>
  </si>
  <si>
    <t>可售计容面积总计</t>
  </si>
  <si>
    <t>用于抵押的底复小计</t>
  </si>
  <si>
    <t>用于抵押的标准层小计</t>
  </si>
  <si>
    <t>用于抵押的顶复小计</t>
  </si>
  <si>
    <t>用于抵押可售合计</t>
  </si>
  <si>
    <t>配套门房</t>
  </si>
  <si>
    <t>配电房</t>
  </si>
  <si>
    <t>配套小计</t>
  </si>
  <si>
    <t>高层</t>
    <phoneticPr fontId="3" type="noConversion"/>
  </si>
  <si>
    <t>小高层</t>
    <phoneticPr fontId="3" type="noConversion"/>
  </si>
  <si>
    <t>地下</t>
  </si>
  <si>
    <t>车库</t>
  </si>
  <si>
    <t>小高层住宅</t>
  </si>
  <si>
    <t>是</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</si>
  <si>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</si>
  <si>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</si>
  <si>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</si>
  <si>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</si>
  <si>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</si>
  <si>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</si>
  <si>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</si>
  <si>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</si>
  <si>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</si>
  <si>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</si>
  <si>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</si>
  <si>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</si>
  <si>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</si>
  <si>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</si>
  <si>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</si>
  <si>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</si>
  <si>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</si>
  <si>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</si>
  <si>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</si>
  <si>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</si>
  <si>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</si>
  <si>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</si>
  <si>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</si>
  <si>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</si>
  <si>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</si>
  <si>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</si>
  <si>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</si>
  <si>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</si>
  <si>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</si>
  <si>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</si>
  <si>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</si>
  <si>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</si>
  <si>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</si>
  <si>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</si>
  <si>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</si>
  <si>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</si>
  <si>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</si>
  <si>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</si>
  <si>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</si>
  <si>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</si>
  <si>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</si>
  <si>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</si>
  <si>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</si>
  <si>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</si>
  <si>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挂牌</t>
  </si>
  <si>
    <t>已成交</t>
  </si>
  <si>
    <t>车库</t>
    <phoneticPr fontId="3" type="noConversion"/>
  </si>
  <si>
    <t>配电房</t>
    <phoneticPr fontId="3" type="noConversion"/>
  </si>
  <si>
    <t>1#</t>
  </si>
  <si>
    <t>6#</t>
  </si>
  <si>
    <t>8#</t>
  </si>
  <si>
    <t>9#</t>
  </si>
  <si>
    <t>10#</t>
  </si>
  <si>
    <t>11#</t>
  </si>
  <si>
    <t>12#</t>
  </si>
  <si>
    <t>13#</t>
  </si>
  <si>
    <t>15#</t>
  </si>
  <si>
    <r>
      <rPr>
        <sz val="11"/>
        <color theme="1"/>
        <rFont val="宋体"/>
        <family val="3"/>
        <charset val="134"/>
      </rPr>
      <t>住宅</t>
    </r>
  </si>
  <si>
    <r>
      <rPr>
        <sz val="11"/>
        <color theme="1"/>
        <rFont val="宋体"/>
        <family val="3"/>
        <charset val="134"/>
      </rPr>
      <t>地上车库及仓储</t>
    </r>
  </si>
  <si>
    <r>
      <rPr>
        <sz val="11"/>
        <color theme="1"/>
        <rFont val="宋体"/>
        <family val="3"/>
        <charset val="134"/>
      </rPr>
      <t>地下储藏室</t>
    </r>
  </si>
  <si>
    <r>
      <rPr>
        <sz val="11"/>
        <color theme="1"/>
        <rFont val="宋体"/>
        <family val="3"/>
        <charset val="134"/>
      </rPr>
      <t>合计</t>
    </r>
  </si>
  <si>
    <r>
      <rPr>
        <sz val="11"/>
        <color theme="1"/>
        <rFont val="宋体"/>
        <family val="3"/>
        <charset val="134"/>
      </rPr>
      <t>楼层</t>
    </r>
    <phoneticPr fontId="3" type="noConversion"/>
  </si>
  <si>
    <t>成交地面价</t>
    <phoneticPr fontId="3" type="noConversion"/>
  </si>
  <si>
    <t>正阳组团嘉华城以南、检察四分院以北、正舟路东侧</t>
  </si>
  <si>
    <t>重庆市</t>
  </si>
  <si>
    <t>商业/办公用地</t>
  </si>
  <si>
    <t>黔江区</t>
  </si>
  <si>
    <t>ZY-A4-1/01地块</t>
  </si>
  <si>
    <t>其他商服用地</t>
  </si>
  <si>
    <t>≤1</t>
  </si>
  <si>
    <t>≤25%</t>
  </si>
  <si>
    <t>≤15米</t>
  </si>
  <si>
    <t>未开工</t>
  </si>
  <si>
    <t>2018-07-18</t>
  </si>
  <si>
    <t>2018-08-06</t>
  </si>
  <si>
    <t>2018-08-15</t>
  </si>
  <si>
    <t>黔国土房管[2018]3号-9</t>
  </si>
  <si>
    <t>重庆市黔江区湘星商贸有限公司</t>
  </si>
  <si>
    <t>40年</t>
  </si>
  <si>
    <t>正阳组团武陵大道与规划路交叉口东南侧</t>
  </si>
  <si>
    <t>ZY-B2-4/01地块</t>
  </si>
  <si>
    <t>≤24米</t>
  </si>
  <si>
    <t>黔国土房管[2018]3号-10</t>
  </si>
  <si>
    <t>中国石化销售有限公司重庆黔江石油分公司</t>
  </si>
  <si>
    <t>舟白街道机场北二路与小南海路交叉处东南侧</t>
  </si>
  <si>
    <t>ZB-C13-2/01地块</t>
  </si>
  <si>
    <t>≤0.3</t>
  </si>
  <si>
    <t>≤30%</t>
  </si>
  <si>
    <t>≤10米</t>
  </si>
  <si>
    <t>黔国土房管[2018]3号-8</t>
  </si>
  <si>
    <t>中国石油天然气股份有限公司重庆黔江销售分公司</t>
  </si>
  <si>
    <t>体育场</t>
  </si>
  <si>
    <t>押一</t>
  </si>
  <si>
    <t>较好</t>
  </si>
  <si>
    <t>一般</t>
  </si>
  <si>
    <t>差</t>
  </si>
  <si>
    <t>较差</t>
  </si>
  <si>
    <t>单位面积地价</t>
  </si>
  <si>
    <t>收益法</t>
  </si>
  <si>
    <t>按租金收入计税</t>
  </si>
  <si>
    <t>钢混</t>
  </si>
  <si>
    <t>非生产用房</t>
  </si>
  <si>
    <t>成新度</t>
  </si>
  <si>
    <t>未包含在土地购买价格中</t>
  </si>
  <si>
    <t>全部缴纳</t>
  </si>
  <si>
    <t>好</t>
  </si>
  <si>
    <t>七通</t>
  </si>
  <si>
    <t>六通</t>
  </si>
  <si>
    <t>五通</t>
  </si>
  <si>
    <t>四通</t>
  </si>
  <si>
    <t>三通</t>
  </si>
  <si>
    <t>成本法</t>
  </si>
  <si>
    <t>现房</t>
  </si>
  <si>
    <t>成本比率</t>
  </si>
  <si>
    <t xml:space="preserve"> </t>
    <phoneticPr fontId="8" type="noConversion"/>
  </si>
  <si>
    <t>场地租金</t>
    <phoneticPr fontId="143" type="noConversion"/>
  </si>
  <si>
    <t>每日租金</t>
    <phoneticPr fontId="143" type="noConversion"/>
  </si>
  <si>
    <t>全年</t>
    <phoneticPr fontId="143" type="noConversion"/>
  </si>
  <si>
    <t>空置率</t>
    <phoneticPr fontId="143" type="noConversion"/>
  </si>
  <si>
    <t>场地年租金</t>
    <phoneticPr fontId="143" type="noConversion"/>
  </si>
  <si>
    <t>补全用途</t>
    <phoneticPr fontId="31" type="noConversion"/>
  </si>
  <si>
    <t>补全区域基础设施</t>
    <phoneticPr fontId="31" type="noConversion"/>
  </si>
  <si>
    <t>已包含在土地取得成本中</t>
  </si>
  <si>
    <t>商业</t>
    <phoneticPr fontId="31" type="noConversion"/>
  </si>
  <si>
    <t>已出租部分租金</t>
    <phoneticPr fontId="143" type="noConversion"/>
  </si>
  <si>
    <t>未出租部分租金</t>
    <phoneticPr fontId="143" type="noConversion"/>
  </si>
  <si>
    <t>山东省</t>
    <phoneticPr fontId="6" type="noConversion"/>
  </si>
  <si>
    <t>办公用房</t>
  </si>
  <si>
    <t>办公用房</t>
    <phoneticPr fontId="3" type="noConversion"/>
  </si>
  <si>
    <t>办公楼</t>
  </si>
  <si>
    <t>办公用房</t>
    <phoneticPr fontId="7" type="noConversion"/>
  </si>
  <si>
    <t>30-40（含）</t>
  </si>
  <si>
    <t>高层</t>
  </si>
  <si>
    <t>高层</t>
    <phoneticPr fontId="32" type="noConversion"/>
  </si>
  <si>
    <t>钢混</t>
    <phoneticPr fontId="32" type="noConversion"/>
  </si>
  <si>
    <t>精装修</t>
  </si>
  <si>
    <t>普通装修</t>
  </si>
  <si>
    <t>简装</t>
  </si>
  <si>
    <t>毛坯</t>
  </si>
  <si>
    <t>专业</t>
  </si>
  <si>
    <t>普通</t>
  </si>
  <si>
    <t>高速</t>
  </si>
  <si>
    <t>快速</t>
  </si>
  <si>
    <t>主</t>
  </si>
  <si>
    <t>次</t>
  </si>
  <si>
    <t>支路</t>
  </si>
  <si>
    <t>比较法-办公</t>
  </si>
  <si>
    <t>售价</t>
  </si>
  <si>
    <t>序号</t>
    <phoneticPr fontId="143" type="noConversion"/>
  </si>
  <si>
    <t>坐落</t>
    <phoneticPr fontId="143" type="noConversion"/>
  </si>
  <si>
    <r>
      <t>唐冶西路868号</t>
    </r>
    <r>
      <rPr>
        <sz val="11"/>
        <color theme="1"/>
        <rFont val="宋体"/>
        <family val="3"/>
        <charset val="134"/>
        <scheme val="minor"/>
      </rPr>
      <t>4-26层</t>
    </r>
    <phoneticPr fontId="143" type="noConversion"/>
  </si>
  <si>
    <t>房地产类型</t>
    <phoneticPr fontId="143" type="noConversion"/>
  </si>
  <si>
    <t>办公</t>
    <phoneticPr fontId="143" type="noConversion"/>
  </si>
  <si>
    <t>面积</t>
    <phoneticPr fontId="143" type="noConversion"/>
  </si>
  <si>
    <t>单价</t>
    <phoneticPr fontId="143" type="noConversion"/>
  </si>
  <si>
    <t>总价</t>
    <phoneticPr fontId="143" type="noConversion"/>
  </si>
  <si>
    <r>
      <t>唐冶西路868号</t>
    </r>
    <r>
      <rPr>
        <sz val="11"/>
        <color theme="1"/>
        <rFont val="宋体"/>
        <family val="3"/>
        <charset val="134"/>
        <scheme val="minor"/>
      </rPr>
      <t>1-4</t>
    </r>
    <r>
      <rPr>
        <sz val="11"/>
        <color theme="1"/>
        <rFont val="宋体"/>
        <family val="3"/>
        <charset val="134"/>
        <scheme val="minor"/>
      </rPr>
      <t>层</t>
    </r>
    <phoneticPr fontId="143" type="noConversion"/>
  </si>
  <si>
    <t>商业</t>
    <phoneticPr fontId="143" type="noConversion"/>
  </si>
  <si>
    <t>唐冶西路868号地下车位</t>
    <phoneticPr fontId="143" type="noConversion"/>
  </si>
  <si>
    <t>其他</t>
    <phoneticPr fontId="143" type="noConversion"/>
  </si>
  <si>
    <t>华信路1号</t>
    <phoneticPr fontId="143" type="noConversion"/>
  </si>
  <si>
    <t>华信路1号地下车位</t>
    <phoneticPr fontId="143" type="noConversion"/>
  </si>
  <si>
    <t>小计</t>
    <phoneticPr fontId="143" type="noConversion"/>
  </si>
  <si>
    <t>中信信托</t>
    <phoneticPr fontId="6" type="noConversion"/>
  </si>
  <si>
    <t>山东省济南市历城区国资运营公司</t>
    <phoneticPr fontId="6" type="noConversion"/>
  </si>
  <si>
    <t>挂牌</t>
    <phoneticPr fontId="32" type="noConversion"/>
  </si>
  <si>
    <t>山东省济南市历城区唐冶西路868号A7-1整幢办公商业及地下车位</t>
    <phoneticPr fontId="6" type="noConversion"/>
  </si>
  <si>
    <t>和润尚东企业公馆</t>
    <phoneticPr fontId="3" type="noConversion"/>
  </si>
  <si>
    <t>鲁商凤凰广场</t>
    <phoneticPr fontId="3" type="noConversion"/>
  </si>
  <si>
    <t>帝华国际广场</t>
    <phoneticPr fontId="3" type="noConversion"/>
  </si>
  <si>
    <t>楼层</t>
    <phoneticPr fontId="32" type="noConversion"/>
  </si>
  <si>
    <t>经电话调查估价对象周边相关配套较少，停车位紧张，结合地下车位造价成本，确定车位价格在8万/个左右</t>
    <phoneticPr fontId="143" type="noConversion"/>
  </si>
  <si>
    <r>
      <t>办公租金均价在1</t>
    </r>
    <r>
      <rPr>
        <sz val="11"/>
        <color theme="1"/>
        <rFont val="宋体"/>
        <family val="3"/>
        <charset val="134"/>
        <scheme val="minor"/>
      </rPr>
      <t>.5元左右</t>
    </r>
    <phoneticPr fontId="143" type="noConversion"/>
  </si>
  <si>
    <t>商业底层租金约3.5元，1-3层租金均价2.1元，收益法单价1.2万</t>
    <phoneticPr fontId="143" type="noConversion"/>
  </si>
</sst>
</file>

<file path=xl/styles.xml><?xml version="1.0" encoding="utf-8"?>
<styleSheet xmlns="http://schemas.openxmlformats.org/spreadsheetml/2006/main">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rgb="FF000000"/>
      <name val="宋体"/>
      <family val="3"/>
      <charset val="134"/>
    </font>
    <font>
      <b/>
      <sz val="11"/>
      <color rgb="FF000000"/>
      <name val="宋体"/>
      <family val="3"/>
      <charset val="134"/>
    </font>
    <font>
      <sz val="12"/>
      <color indexed="8"/>
      <name val="仿宋_GB2312"/>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37" fillId="0" borderId="0">
      <alignment vertical="center"/>
    </xf>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5" fillId="13" borderId="82" xfId="0" applyFont="1" applyFill="1" applyBorder="1" applyAlignment="1">
      <alignment horizontal="center" vertical="center"/>
    </xf>
    <xf numFmtId="0" fontId="256" fillId="13" borderId="65" xfId="0" applyFont="1" applyFill="1" applyBorder="1" applyAlignment="1">
      <alignment horizontal="center" vertical="center"/>
    </xf>
    <xf numFmtId="0" fontId="255" fillId="13" borderId="43" xfId="0" applyFont="1" applyFill="1" applyBorder="1" applyAlignment="1">
      <alignment horizontal="center" vertical="center"/>
    </xf>
    <xf numFmtId="4" fontId="255" fillId="13" borderId="43" xfId="0" applyNumberFormat="1" applyFont="1" applyFill="1" applyBorder="1" applyAlignment="1">
      <alignment horizontal="center" vertical="center"/>
    </xf>
    <xf numFmtId="0" fontId="255" fillId="13" borderId="81" xfId="0" applyFont="1" applyFill="1" applyBorder="1" applyAlignment="1">
      <alignment horizontal="center" vertical="center"/>
    </xf>
    <xf numFmtId="0" fontId="256" fillId="13" borderId="43" xfId="0" applyFont="1" applyFill="1" applyBorder="1" applyAlignment="1">
      <alignment horizontal="left" vertical="center"/>
    </xf>
    <xf numFmtId="0" fontId="256" fillId="13" borderId="43" xfId="0" applyFont="1" applyFill="1" applyBorder="1" applyAlignment="1">
      <alignment horizontal="center" vertical="center"/>
    </xf>
    <xf numFmtId="4" fontId="256" fillId="13" borderId="43" xfId="0" applyNumberFormat="1" applyFont="1" applyFill="1" applyBorder="1" applyAlignment="1">
      <alignment horizontal="center" vertical="center"/>
    </xf>
    <xf numFmtId="0" fontId="196" fillId="13" borderId="43" xfId="0" applyFont="1" applyFill="1" applyBorder="1" applyAlignment="1">
      <alignment horizontal="center" vertical="center"/>
    </xf>
    <xf numFmtId="176" fontId="80" fillId="0" borderId="1" xfId="0" applyNumberFormat="1"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pplyAlignment="1"/>
    <xf numFmtId="176" fontId="50" fillId="0" borderId="15" xfId="0" applyNumberFormat="1" applyFont="1" applyFill="1" applyBorder="1" applyAlignment="1" applyProtection="1">
      <alignment vertical="center" wrapText="1"/>
      <protection locked="0"/>
    </xf>
    <xf numFmtId="0" fontId="104" fillId="0" borderId="1" xfId="0" applyFont="1" applyBorder="1" applyAlignment="1">
      <alignment horizontal="center" vertical="center"/>
    </xf>
    <xf numFmtId="197" fontId="104" fillId="0" borderId="1" xfId="0" applyNumberFormat="1" applyFont="1" applyBorder="1" applyAlignment="1">
      <alignment horizontal="center" vertical="center"/>
    </xf>
    <xf numFmtId="0" fontId="104" fillId="0" borderId="15" xfId="0" applyFont="1" applyFill="1" applyBorder="1" applyAlignment="1">
      <alignment horizontal="center" vertical="center"/>
    </xf>
    <xf numFmtId="197" fontId="104" fillId="0" borderId="15" xfId="0" applyNumberFormat="1" applyFont="1" applyFill="1" applyBorder="1" applyAlignment="1">
      <alignment horizontal="center" vertical="center"/>
    </xf>
    <xf numFmtId="0" fontId="104" fillId="17" borderId="1" xfId="0" applyFont="1" applyFill="1" applyBorder="1" applyAlignment="1">
      <alignment horizontal="center" vertical="center"/>
    </xf>
    <xf numFmtId="197" fontId="104" fillId="17" borderId="1" xfId="0" applyNumberFormat="1" applyFont="1" applyFill="1" applyBorder="1" applyAlignment="1">
      <alignment horizontal="center" vertical="center"/>
    </xf>
    <xf numFmtId="197" fontId="104" fillId="17" borderId="15" xfId="0" applyNumberFormat="1" applyFont="1" applyFill="1" applyBorder="1" applyAlignment="1">
      <alignment horizontal="center" vertical="center"/>
    </xf>
    <xf numFmtId="2" fontId="47" fillId="0" borderId="1" xfId="0" applyNumberFormat="1" applyFont="1" applyFill="1" applyBorder="1" applyAlignment="1" applyProtection="1">
      <alignment horizontal="center" vertical="center"/>
      <protection locked="0"/>
    </xf>
    <xf numFmtId="2" fontId="47" fillId="0" borderId="23" xfId="0" applyNumberFormat="1" applyFont="1" applyFill="1" applyBorder="1" applyAlignment="1" applyProtection="1">
      <alignment horizontal="center" vertical="center" wrapText="1"/>
      <protection locked="0"/>
    </xf>
    <xf numFmtId="10" fontId="0" fillId="0" borderId="0" xfId="17" applyNumberFormat="1" applyFont="1">
      <alignment vertical="center"/>
    </xf>
    <xf numFmtId="10" fontId="99" fillId="0" borderId="0" xfId="17" applyNumberFormat="1" applyFont="1">
      <alignment vertical="center"/>
    </xf>
    <xf numFmtId="0" fontId="99" fillId="0" borderId="0" xfId="0" applyFont="1">
      <alignment vertical="center"/>
    </xf>
    <xf numFmtId="198" fontId="0" fillId="0" borderId="0" xfId="0" applyNumberFormat="1">
      <alignment vertical="center"/>
    </xf>
    <xf numFmtId="0" fontId="19" fillId="0" borderId="0" xfId="0" applyFont="1" applyAlignment="1"/>
    <xf numFmtId="184" fontId="257" fillId="0" borderId="1" xfId="0" applyNumberFormat="1" applyFont="1" applyFill="1" applyBorder="1" applyAlignment="1" applyProtection="1">
      <alignment horizontal="center" vertical="center" shrinkToFit="1"/>
      <protection locked="0"/>
    </xf>
    <xf numFmtId="0" fontId="11" fillId="0" borderId="1" xfId="0"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9" fontId="47" fillId="0" borderId="1" xfId="0" applyNumberFormat="1" applyFont="1" applyBorder="1" applyAlignment="1" applyProtection="1">
      <alignment horizontal="center" vertical="center"/>
      <protection locked="0"/>
    </xf>
    <xf numFmtId="181" fontId="47" fillId="0" borderId="5" xfId="0" applyNumberFormat="1" applyFont="1" applyBorder="1" applyAlignment="1" applyProtection="1">
      <alignment horizontal="center" vertical="center"/>
      <protection locked="0"/>
    </xf>
    <xf numFmtId="0" fontId="47" fillId="5" borderId="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9" fontId="0" fillId="0" borderId="0" xfId="0" applyNumberFormat="1">
      <alignment vertical="center"/>
    </xf>
    <xf numFmtId="181" fontId="131" fillId="5" borderId="0" xfId="0" applyNumberFormat="1" applyFont="1" applyFill="1" applyBorder="1" applyAlignment="1" applyProtection="1">
      <alignment horizontal="center" vertical="center" wrapText="1"/>
      <protection locked="0"/>
    </xf>
    <xf numFmtId="177" fontId="148" fillId="5" borderId="1" xfId="1" applyNumberFormat="1" applyFont="1" applyFill="1" applyBorder="1" applyAlignment="1" applyProtection="1">
      <alignment horizontal="center"/>
    </xf>
    <xf numFmtId="14" fontId="106" fillId="5" borderId="67" xfId="0" applyNumberFormat="1" applyFont="1" applyFill="1" applyBorder="1" applyAlignment="1" applyProtection="1">
      <alignment horizontal="center"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58" fillId="0" borderId="44" xfId="10" applyNumberFormat="1" applyFont="1" applyFill="1" applyBorder="1" applyAlignment="1" applyProtection="1">
      <alignment horizontal="center" vertical="center" wrapText="1"/>
      <protection locked="0"/>
    </xf>
    <xf numFmtId="0" fontId="0" fillId="0" borderId="1" xfId="0" applyFont="1" applyBorder="1" applyAlignment="1">
      <alignment horizontal="center"/>
    </xf>
    <xf numFmtId="0" fontId="0" fillId="0" borderId="1" xfId="0" applyFont="1" applyFill="1" applyBorder="1" applyAlignment="1">
      <alignment horizontal="center"/>
    </xf>
    <xf numFmtId="0" fontId="0" fillId="0" borderId="5" xfId="0" applyFont="1" applyFill="1" applyBorder="1" applyAlignment="1">
      <alignment horizontal="center"/>
    </xf>
    <xf numFmtId="0" fontId="19" fillId="0" borderId="1" xfId="0" applyNumberFormat="1" applyFont="1" applyBorder="1" applyAlignment="1">
      <alignment horizontal="justify"/>
    </xf>
    <xf numFmtId="0" fontId="0" fillId="0" borderId="3" xfId="0" applyFont="1" applyFill="1" applyBorder="1" applyAlignment="1">
      <alignment horizontal="center"/>
    </xf>
    <xf numFmtId="0" fontId="0" fillId="0" borderId="1" xfId="0" applyBorder="1" applyAlignment="1">
      <alignment horizontal="center"/>
    </xf>
    <xf numFmtId="9" fontId="0" fillId="0" borderId="1" xfId="0" applyNumberFormat="1" applyBorder="1" applyAlignment="1"/>
    <xf numFmtId="179" fontId="0" fillId="0" borderId="1" xfId="0" applyNumberFormat="1" applyBorder="1" applyAlignment="1"/>
    <xf numFmtId="179" fontId="0" fillId="0" borderId="0" xfId="0" applyNumberFormat="1" applyAlignment="1"/>
    <xf numFmtId="49" fontId="137" fillId="2" borderId="26"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13" borderId="27" xfId="0" applyFont="1" applyFill="1" applyBorder="1" applyAlignment="1">
      <alignment horizontal="center" vertical="center"/>
    </xf>
    <xf numFmtId="0" fontId="256" fillId="13" borderId="80" xfId="0" applyFont="1" applyFill="1" applyBorder="1" applyAlignment="1">
      <alignment horizontal="center" vertical="center"/>
    </xf>
    <xf numFmtId="0" fontId="256" fillId="13" borderId="81" xfId="0" applyFont="1" applyFill="1" applyBorder="1" applyAlignment="1">
      <alignment horizontal="center" vertical="center"/>
    </xf>
    <xf numFmtId="0" fontId="255" fillId="13" borderId="27" xfId="0" applyFont="1" applyFill="1" applyBorder="1" applyAlignment="1">
      <alignment horizontal="center" vertical="center"/>
    </xf>
    <xf numFmtId="0" fontId="255" fillId="13" borderId="80" xfId="0" applyFont="1" applyFill="1" applyBorder="1" applyAlignment="1">
      <alignment horizontal="center" vertical="center"/>
    </xf>
    <xf numFmtId="0" fontId="255" fillId="13" borderId="81" xfId="0" applyFont="1" applyFill="1" applyBorder="1" applyAlignment="1">
      <alignment horizontal="center" vertical="center"/>
    </xf>
    <xf numFmtId="0" fontId="99" fillId="0" borderId="0" xfId="0" applyFont="1" applyAlignment="1">
      <alignment horizontal="center" vertical="center" wrapText="1"/>
    </xf>
    <xf numFmtId="0" fontId="0" fillId="0" borderId="0" xfId="0" applyAlignment="1">
      <alignment horizontal="center" vertical="center" wrapText="1"/>
    </xf>
  </cellXfs>
  <cellStyles count="19">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275562</xdr:colOff>
      <xdr:row>18</xdr:row>
      <xdr:rowOff>153900</xdr:rowOff>
    </xdr:to>
    <xdr:pic>
      <xdr:nvPicPr>
        <xdr:cNvPr id="6" name="图片 5" descr="微信截图_20190816090550.png"/>
        <xdr:cNvPicPr>
          <a:picLocks noChangeAspect="1"/>
        </xdr:cNvPicPr>
      </xdr:nvPicPr>
      <xdr:blipFill>
        <a:blip xmlns:r="http://schemas.openxmlformats.org/officeDocument/2006/relationships" r:embed="rId1" cstate="print"/>
        <a:stretch>
          <a:fillRect/>
        </a:stretch>
      </xdr:blipFill>
      <xdr:spPr>
        <a:xfrm>
          <a:off x="1" y="0"/>
          <a:ext cx="6447761" cy="3240000"/>
        </a:xfrm>
        <a:prstGeom prst="rect">
          <a:avLst/>
        </a:prstGeom>
      </xdr:spPr>
    </xdr:pic>
    <xdr:clientData/>
  </xdr:twoCellAnchor>
  <xdr:twoCellAnchor editAs="oneCell">
    <xdr:from>
      <xdr:col>0</xdr:col>
      <xdr:colOff>45226</xdr:colOff>
      <xdr:row>18</xdr:row>
      <xdr:rowOff>169050</xdr:rowOff>
    </xdr:from>
    <xdr:to>
      <xdr:col>9</xdr:col>
      <xdr:colOff>172437</xdr:colOff>
      <xdr:row>37</xdr:row>
      <xdr:rowOff>151500</xdr:rowOff>
    </xdr:to>
    <xdr:pic>
      <xdr:nvPicPr>
        <xdr:cNvPr id="7" name="图片 6" descr="微信截图_20190816090606.png"/>
        <xdr:cNvPicPr>
          <a:picLocks noChangeAspect="1"/>
        </xdr:cNvPicPr>
      </xdr:nvPicPr>
      <xdr:blipFill>
        <a:blip xmlns:r="http://schemas.openxmlformats.org/officeDocument/2006/relationships" r:embed="rId2" cstate="print"/>
        <a:stretch>
          <a:fillRect/>
        </a:stretch>
      </xdr:blipFill>
      <xdr:spPr>
        <a:xfrm>
          <a:off x="45226" y="3255150"/>
          <a:ext cx="6299411" cy="3240000"/>
        </a:xfrm>
        <a:prstGeom prst="rect">
          <a:avLst/>
        </a:prstGeom>
      </xdr:spPr>
    </xdr:pic>
    <xdr:clientData/>
  </xdr:twoCellAnchor>
  <xdr:twoCellAnchor editAs="oneCell">
    <xdr:from>
      <xdr:col>9</xdr:col>
      <xdr:colOff>280950</xdr:colOff>
      <xdr:row>0</xdr:row>
      <xdr:rowOff>23775</xdr:rowOff>
    </xdr:from>
    <xdr:to>
      <xdr:col>18</xdr:col>
      <xdr:colOff>402543</xdr:colOff>
      <xdr:row>19</xdr:row>
      <xdr:rowOff>6225</xdr:rowOff>
    </xdr:to>
    <xdr:pic>
      <xdr:nvPicPr>
        <xdr:cNvPr id="8" name="图片 7" descr="微信截图_20190816090632.png"/>
        <xdr:cNvPicPr>
          <a:picLocks noChangeAspect="1"/>
        </xdr:cNvPicPr>
      </xdr:nvPicPr>
      <xdr:blipFill>
        <a:blip xmlns:r="http://schemas.openxmlformats.org/officeDocument/2006/relationships" r:embed="rId3" cstate="print"/>
        <a:stretch>
          <a:fillRect/>
        </a:stretch>
      </xdr:blipFill>
      <xdr:spPr>
        <a:xfrm>
          <a:off x="6453150" y="23775"/>
          <a:ext cx="6293793" cy="3240000"/>
        </a:xfrm>
        <a:prstGeom prst="rect">
          <a:avLst/>
        </a:prstGeom>
      </xdr:spPr>
    </xdr:pic>
    <xdr:clientData/>
  </xdr:twoCellAnchor>
  <xdr:twoCellAnchor editAs="oneCell">
    <xdr:from>
      <xdr:col>9</xdr:col>
      <xdr:colOff>211875</xdr:colOff>
      <xdr:row>19</xdr:row>
      <xdr:rowOff>11849</xdr:rowOff>
    </xdr:from>
    <xdr:to>
      <xdr:col>19</xdr:col>
      <xdr:colOff>415404</xdr:colOff>
      <xdr:row>45</xdr:row>
      <xdr:rowOff>9524</xdr:rowOff>
    </xdr:to>
    <xdr:pic>
      <xdr:nvPicPr>
        <xdr:cNvPr id="9" name="图片 8" descr="微信截图_20190816090809.png"/>
        <xdr:cNvPicPr>
          <a:picLocks noChangeAspect="1"/>
        </xdr:cNvPicPr>
      </xdr:nvPicPr>
      <xdr:blipFill>
        <a:blip xmlns:r="http://schemas.openxmlformats.org/officeDocument/2006/relationships" r:embed="rId4" cstate="print"/>
        <a:stretch>
          <a:fillRect/>
        </a:stretch>
      </xdr:blipFill>
      <xdr:spPr>
        <a:xfrm>
          <a:off x="6384075" y="3269399"/>
          <a:ext cx="7061529" cy="445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16</xdr:col>
      <xdr:colOff>182563</xdr:colOff>
      <xdr:row>37</xdr:row>
      <xdr:rowOff>10340</xdr:rowOff>
    </xdr:to>
    <xdr:pic>
      <xdr:nvPicPr>
        <xdr:cNvPr id="5" name="图片 4" descr="微信截图_20190816084507.png"/>
        <xdr:cNvPicPr>
          <a:picLocks noChangeAspect="1"/>
        </xdr:cNvPicPr>
      </xdr:nvPicPr>
      <xdr:blipFill>
        <a:blip xmlns:r="http://schemas.openxmlformats.org/officeDocument/2006/relationships" r:embed="rId1" cstate="print"/>
        <a:stretch>
          <a:fillRect/>
        </a:stretch>
      </xdr:blipFill>
      <xdr:spPr>
        <a:xfrm>
          <a:off x="0" y="514350"/>
          <a:ext cx="11374438" cy="58396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28</xdr:row>
      <xdr:rowOff>9525</xdr:rowOff>
    </xdr:from>
    <xdr:to>
      <xdr:col>8</xdr:col>
      <xdr:colOff>124608</xdr:colOff>
      <xdr:row>59</xdr:row>
      <xdr:rowOff>153162</xdr:rowOff>
    </xdr:to>
    <xdr:pic>
      <xdr:nvPicPr>
        <xdr:cNvPr id="2" name="图片 1" descr="微信截图_20190816081306.png"/>
        <xdr:cNvPicPr>
          <a:picLocks noChangeAspect="1"/>
        </xdr:cNvPicPr>
      </xdr:nvPicPr>
      <xdr:blipFill>
        <a:blip xmlns:r="http://schemas.openxmlformats.org/officeDocument/2006/relationships" r:embed="rId1" cstate="print"/>
        <a:stretch>
          <a:fillRect/>
        </a:stretch>
      </xdr:blipFill>
      <xdr:spPr>
        <a:xfrm>
          <a:off x="0" y="4810125"/>
          <a:ext cx="5611008" cy="5458587"/>
        </a:xfrm>
        <a:prstGeom prst="rect">
          <a:avLst/>
        </a:prstGeom>
      </xdr:spPr>
    </xdr:pic>
    <xdr:clientData/>
  </xdr:twoCellAnchor>
  <xdr:twoCellAnchor editAs="oneCell">
    <xdr:from>
      <xdr:col>10</xdr:col>
      <xdr:colOff>330975</xdr:colOff>
      <xdr:row>3</xdr:row>
      <xdr:rowOff>102375</xdr:rowOff>
    </xdr:from>
    <xdr:to>
      <xdr:col>14</xdr:col>
      <xdr:colOff>140831</xdr:colOff>
      <xdr:row>10</xdr:row>
      <xdr:rowOff>93016</xdr:rowOff>
    </xdr:to>
    <xdr:pic>
      <xdr:nvPicPr>
        <xdr:cNvPr id="3" name="图片 2" descr="微信截图_20190816081441.png"/>
        <xdr:cNvPicPr>
          <a:picLocks noChangeAspect="1"/>
        </xdr:cNvPicPr>
      </xdr:nvPicPr>
      <xdr:blipFill>
        <a:blip xmlns:r="http://schemas.openxmlformats.org/officeDocument/2006/relationships" r:embed="rId2" cstate="print"/>
        <a:stretch>
          <a:fillRect/>
        </a:stretch>
      </xdr:blipFill>
      <xdr:spPr>
        <a:xfrm>
          <a:off x="7188975" y="616725"/>
          <a:ext cx="2553056" cy="1190791"/>
        </a:xfrm>
        <a:prstGeom prst="rect">
          <a:avLst/>
        </a:prstGeom>
      </xdr:spPr>
    </xdr:pic>
    <xdr:clientData/>
  </xdr:twoCellAnchor>
  <xdr:twoCellAnchor editAs="oneCell">
    <xdr:from>
      <xdr:col>0</xdr:col>
      <xdr:colOff>0</xdr:colOff>
      <xdr:row>0</xdr:row>
      <xdr:rowOff>23775</xdr:rowOff>
    </xdr:from>
    <xdr:to>
      <xdr:col>9</xdr:col>
      <xdr:colOff>486705</xdr:colOff>
      <xdr:row>27</xdr:row>
      <xdr:rowOff>129211</xdr:rowOff>
    </xdr:to>
    <xdr:pic>
      <xdr:nvPicPr>
        <xdr:cNvPr id="4" name="图片 3" descr="微信截图_20190816081512.png"/>
        <xdr:cNvPicPr>
          <a:picLocks noChangeAspect="1"/>
        </xdr:cNvPicPr>
      </xdr:nvPicPr>
      <xdr:blipFill>
        <a:blip xmlns:r="http://schemas.openxmlformats.org/officeDocument/2006/relationships" r:embed="rId3" cstate="print"/>
        <a:stretch>
          <a:fillRect/>
        </a:stretch>
      </xdr:blipFill>
      <xdr:spPr>
        <a:xfrm>
          <a:off x="0" y="23775"/>
          <a:ext cx="6658905" cy="47345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山东省山东省济南市历城区唐冶西路868号A7-1整幢办公商业及地下车位房地产抵押价值预评估</v>
      </c>
    </row>
    <row r="3" spans="1:2" s="1594" customFormat="1">
      <c r="A3" s="1592" t="s">
        <v>1221</v>
      </c>
      <c r="B3" s="1593" t="str">
        <f>'预评函-封皮'!B40</f>
        <v>中信信托</v>
      </c>
    </row>
    <row r="4" spans="1:2" s="1594" customFormat="1">
      <c r="A4" s="1592" t="s">
        <v>1222</v>
      </c>
      <c r="B4" s="1593" t="str">
        <f ca="1">'预评函-封皮'!B46</f>
        <v>吴薇（注册号：1419970001)、崔锴（注册号：0)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受贵公司委托，我公司对山东省山东省济南市历城区唐冶西路868号A7-1整幢办公商业及地下车位房地产抵押价值进行了预评估。</v>
      </c>
    </row>
    <row r="7" spans="1:2" s="1594" customFormat="1">
      <c r="A7" s="1592" t="s">
        <v>1264</v>
      </c>
      <c r="B7" s="1593" t="str">
        <f>'预评函-1'!A7</f>
        <v>估价对象为山东省山东省济南市历城区唐冶西路868号A7-1整幢办公商业及地下车位房地产，为山东省济南市历城区国资运营公司所有。根据，估价对象（分摊）出让国有建设用地使用权面积为0平方米，建筑面积为25792.44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山东省山东省济南市历城区唐冶西路868号A7-1整幢办公商业及地下车位房地产,属山东省济南市历城区国资运营公司开发建设的居住项目，该项目尚在开发建设中。根据，估价对象（分摊）出让国有建设用地使用权面积为0平方米，规划建筑面积为25792.44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山东省济南市历城区国资运营公司拟使用山东省山东省济南市历城区唐冶西路868号A7-1整幢办公商业及地下车位房地产作为抵押担保物，向中信信托办理贷款手续。中信信托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2019年8月15日（评估专业人员实地查勘之日）</v>
      </c>
    </row>
    <row r="13" spans="1:2" s="1594" customFormat="1">
      <c r="A13" s="1592" t="s">
        <v>1227</v>
      </c>
      <c r="B13" s="1593" t="str">
        <f>'预评函-1'!A18</f>
        <v>本次估价的“房地产价值”是指在正常市场情况下，在价值时点2019年8月15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19592</v>
      </c>
    </row>
    <row r="21" spans="1:2" s="1594" customFormat="1">
      <c r="A21" s="1592" t="s">
        <v>1235</v>
      </c>
      <c r="B21" s="1593">
        <f ca="1">'预评函-2'!D7</f>
        <v>7596</v>
      </c>
    </row>
    <row r="22" spans="1:2" s="1594" customFormat="1">
      <c r="A22" s="1592" t="s">
        <v>1236</v>
      </c>
      <c r="B22" s="1593" t="str">
        <f ca="1">'预评函-2'!D6</f>
        <v>壹亿玖仟伍佰玖拾贰万元整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19592</v>
      </c>
    </row>
    <row r="31" spans="1:2" s="1594" customFormat="1">
      <c r="A31" s="1592" t="s">
        <v>1274</v>
      </c>
      <c r="B31" s="1593">
        <f ca="1">'预评函-2'!D15</f>
        <v>7596</v>
      </c>
    </row>
    <row r="32" spans="1:2" s="1594" customFormat="1">
      <c r="A32" s="1592" t="s">
        <v>1241</v>
      </c>
      <c r="B32" s="1593" t="str">
        <f ca="1">'预评函-2'!D14</f>
        <v>壹亿玖仟伍佰玖拾贰万元整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山东省山东省济南市历城区唐冶西路868号A7-1整幢办公商业及地下车位房地产</v>
      </c>
    </row>
    <row r="42" spans="1:2" s="1594" customFormat="1">
      <c r="A42" s="1592" t="s">
        <v>1288</v>
      </c>
      <c r="B42" s="1593" t="str">
        <f>'预评函-3'!B2</f>
        <v>建筑面积</v>
      </c>
    </row>
    <row r="43" spans="1:2" s="1594" customFormat="1">
      <c r="A43" s="1592" t="s">
        <v>1289</v>
      </c>
      <c r="B43" s="1593">
        <f>'预评函-3'!B4</f>
        <v>25792.44</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#DIV/0!</v>
      </c>
    </row>
    <row r="48" spans="1:2" s="1594" customFormat="1">
      <c r="A48" s="1592" t="s">
        <v>1247</v>
      </c>
      <c r="B48" s="1593" t="e">
        <f ca="1">'预评函-3'!E4</f>
        <v>#DIV/0!</v>
      </c>
    </row>
    <row r="49" spans="1:2" s="1594" customFormat="1">
      <c r="A49" s="1592" t="s">
        <v>1248</v>
      </c>
      <c r="B49" s="1593" t="e">
        <f ca="1">'预评函-3'!D5</f>
        <v>#DIV/0!</v>
      </c>
    </row>
    <row r="50" spans="1:2" s="1594" customFormat="1">
      <c r="A50" s="1592" t="s">
        <v>1272</v>
      </c>
      <c r="B50" s="1593" t="str">
        <f>'预评函-3'!F2</f>
        <v>在建建筑物价值</v>
      </c>
    </row>
    <row r="51" spans="1:2" s="1594" customFormat="1">
      <c r="A51" s="1592" t="s">
        <v>1249</v>
      </c>
      <c r="B51" s="1593" t="e">
        <f ca="1">'预评函-3'!F4</f>
        <v>#DIV/0!</v>
      </c>
    </row>
    <row r="52" spans="1:2" s="1594" customFormat="1">
      <c r="A52" s="1592" t="s">
        <v>1250</v>
      </c>
      <c r="B52" s="1593" t="e">
        <f ca="1">'预评函-3'!G4</f>
        <v>#DIV/0!</v>
      </c>
    </row>
    <row r="53" spans="1:2" s="1594" customFormat="1">
      <c r="A53" s="1592" t="s">
        <v>1278</v>
      </c>
      <c r="B53" s="1593" t="e">
        <f ca="1">'预评函-3'!F5</f>
        <v>#DIV/0!</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吴薇</v>
      </c>
    </row>
    <row r="71" spans="1:2">
      <c r="A71" s="1592" t="s">
        <v>1261</v>
      </c>
      <c r="B71" s="1593">
        <f ca="1">'预评函-4'!B4</f>
        <v>1419970001</v>
      </c>
    </row>
    <row r="72" spans="1:2">
      <c r="A72" s="1592" t="s">
        <v>1262</v>
      </c>
      <c r="B72" s="1601" t="str">
        <f>'预评函-4'!A5</f>
        <v>崔锴</v>
      </c>
    </row>
    <row r="73" spans="1:2" s="1588" customFormat="1" ht="15" thickBot="1">
      <c r="A73" s="1595" t="s">
        <v>1263</v>
      </c>
      <c r="B73" s="1596">
        <f ca="1">'预评函-4'!B5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A24" sqref="A24"/>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8" t="s">
        <v>3072</v>
      </c>
      <c r="B22" s="2015" t="s">
        <v>757</v>
      </c>
      <c r="C22" s="2016"/>
    </row>
    <row r="23" spans="1:3">
      <c r="A23" s="2018" t="s">
        <v>3073</v>
      </c>
      <c r="B23" s="2015" t="s">
        <v>757</v>
      </c>
      <c r="C23" s="2016"/>
    </row>
    <row r="24" spans="1:3">
      <c r="A24" s="2015" t="s">
        <v>1771</v>
      </c>
      <c r="B24" s="2015" t="s">
        <v>757</v>
      </c>
      <c r="C24" s="2016"/>
    </row>
    <row r="25" spans="1:3">
      <c r="A25" s="2015" t="s">
        <v>1772</v>
      </c>
      <c r="B25" s="2015" t="s">
        <v>757</v>
      </c>
      <c r="C25" s="2016"/>
    </row>
    <row r="26" spans="1:3">
      <c r="A26" s="2015" t="s">
        <v>1773</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东省济南市历城区国资运营公司拟使用山东省山东省济南市历城区唐冶西路868号A7-1整幢办公商业及地下车位房地产作为抵押担保物，向中信信托办理贷款手续。中信信托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1"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2023" t="s">
        <v>864</v>
      </c>
      <c r="C54" s="2020" t="s">
        <v>1281</v>
      </c>
    </row>
    <row r="55" spans="1:4">
      <c r="A55" s="3041"/>
      <c r="B55" s="2023" t="s">
        <v>865</v>
      </c>
      <c r="C55" s="2020" t="s">
        <v>1282</v>
      </c>
    </row>
    <row r="56" spans="1:4">
      <c r="A56" s="3041"/>
      <c r="B56" s="2023" t="s">
        <v>866</v>
      </c>
      <c r="C56" s="2020" t="s">
        <v>1286</v>
      </c>
    </row>
    <row r="57" spans="1:4">
      <c r="A57" s="3041"/>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10" zoomScale="90" zoomScaleNormal="100" zoomScaleSheetLayoutView="90" workbookViewId="0">
      <selection activeCell="C17" sqref="C17"/>
    </sheetView>
  </sheetViews>
  <sheetFormatPr defaultColWidth="10" defaultRowHeight="18" customHeight="1"/>
  <cols>
    <col min="1" max="1" width="14.875" style="2033" customWidth="1"/>
    <col min="2" max="2" width="13.875" style="2033" customWidth="1"/>
    <col min="3" max="3" width="11.5" style="2033" customWidth="1"/>
    <col min="4" max="4" width="15.125" style="2033" customWidth="1"/>
    <col min="5"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1774</v>
      </c>
      <c r="B1" s="3050" t="str">
        <f>IF(B10="北京市","北京市",C10)&amp;F10&amp;IF(结果表!G1="在建","出让国有建设用地使用权及在建建筑物",IF(结果表!G1="土地","出让国有建设用地使用权",))&amp;B9&amp;"预评估"</f>
        <v>山东省山东省济南市历城区唐冶西路868号A7-1整幢办公商业及地下车位房地产抵押价值预评估</v>
      </c>
      <c r="C1" s="3051"/>
      <c r="D1" s="3051"/>
      <c r="E1" s="3051"/>
      <c r="F1" s="3051"/>
      <c r="G1" s="3051"/>
      <c r="H1" s="3051"/>
      <c r="I1" s="305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山东省山东省济南市历城区唐冶西路868号A7-1整幢办公商业及地下车位房地产抵押价值</v>
      </c>
    </row>
    <row r="2" spans="1:19" ht="18" customHeight="1">
      <c r="A2" s="2027" t="s">
        <v>1775</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山东省山东省济南市历城区唐冶西路868号A7-1整幢办公商业及地下车位房地产</v>
      </c>
    </row>
    <row r="3" spans="1:19" ht="18" customHeight="1">
      <c r="A3" s="2036" t="s">
        <v>1776</v>
      </c>
      <c r="B3" s="2037">
        <v>43692</v>
      </c>
      <c r="C3" s="2038" t="s">
        <v>1777</v>
      </c>
      <c r="D3" s="2037">
        <f>B3</f>
        <v>43692</v>
      </c>
      <c r="E3" s="2027"/>
      <c r="F3" s="2027"/>
      <c r="G3" s="2027"/>
      <c r="H3" s="2027"/>
      <c r="I3" s="2027"/>
      <c r="J3" s="2027"/>
      <c r="K3" s="2028"/>
      <c r="L3" s="2029"/>
      <c r="M3" s="2029"/>
      <c r="N3" s="2030"/>
      <c r="O3" s="2031"/>
      <c r="P3" s="2030"/>
      <c r="Q3" s="2030"/>
      <c r="R3" s="2030"/>
      <c r="S3" s="2032"/>
    </row>
    <row r="4" spans="1:19" ht="18" customHeight="1" thickBot="1">
      <c r="A4" s="2039" t="s">
        <v>1778</v>
      </c>
      <c r="B4" s="2040" t="s">
        <v>3047</v>
      </c>
      <c r="C4" s="1039">
        <f ca="1">SUMIF(注册房地产估价师,B4,估价师及机构信息!B3:B24)</f>
        <v>1419970001</v>
      </c>
      <c r="D4" s="2040" t="s">
        <v>3048</v>
      </c>
      <c r="E4" s="1040">
        <f ca="1">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吴薇（注册号：1419970001)、崔锴（注册号：0)</v>
      </c>
      <c r="L4" s="2029"/>
      <c r="M4" s="2029"/>
      <c r="N4" s="2030"/>
      <c r="O4" s="2031"/>
      <c r="P4" s="2030"/>
      <c r="Q4" s="2030"/>
      <c r="R4" s="2030"/>
      <c r="S4" s="2032"/>
    </row>
    <row r="5" spans="1:19" ht="18" customHeight="1" thickTop="1" thickBot="1">
      <c r="A5" s="2045" t="s">
        <v>1779</v>
      </c>
      <c r="B5" s="2941" t="s">
        <v>3276</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Top="1">
      <c r="A6" s="2048" t="s">
        <v>1780</v>
      </c>
      <c r="B6" s="2941" t="str">
        <f>B5</f>
        <v>中信信托</v>
      </c>
      <c r="C6" s="2049"/>
      <c r="D6" s="2050"/>
      <c r="E6" s="2035"/>
      <c r="F6" s="2043"/>
      <c r="G6" s="2043"/>
      <c r="H6" s="2043"/>
      <c r="I6" s="2043"/>
      <c r="J6" s="2043"/>
      <c r="K6" s="2051" t="str">
        <f>IF(COUNTIF(B6,"*上海银行*"),"上海银行","")</f>
        <v/>
      </c>
      <c r="L6" s="2029"/>
      <c r="M6" s="2029"/>
      <c r="N6" s="2030"/>
      <c r="O6" s="2031"/>
      <c r="P6" s="2030"/>
      <c r="Q6" s="2030"/>
      <c r="R6" s="2030"/>
    </row>
    <row r="7" spans="1:19" ht="35.25" customHeight="1">
      <c r="A7" s="2048" t="s">
        <v>1781</v>
      </c>
      <c r="B7" s="2942" t="s">
        <v>3277</v>
      </c>
      <c r="C7" s="2049"/>
      <c r="D7" s="2050"/>
      <c r="E7" s="2035"/>
      <c r="F7" s="2043"/>
      <c r="G7" s="2043"/>
      <c r="H7" s="2043"/>
      <c r="I7" s="2043"/>
      <c r="J7" s="2043"/>
      <c r="K7" s="2052"/>
      <c r="L7" s="2029"/>
      <c r="M7" s="2029"/>
      <c r="N7" s="2030"/>
      <c r="O7" s="2031"/>
      <c r="P7" s="2030"/>
      <c r="Q7" s="2030"/>
      <c r="R7" s="2030"/>
    </row>
    <row r="8" spans="1:19" ht="18" customHeight="1">
      <c r="A8" s="2048" t="s">
        <v>1782</v>
      </c>
      <c r="B8" s="2053" t="s">
        <v>3049</v>
      </c>
      <c r="C8" s="2054"/>
      <c r="D8" s="3053" t="s">
        <v>1783</v>
      </c>
      <c r="E8" s="2055" t="s">
        <v>3050</v>
      </c>
      <c r="F8" s="2056"/>
      <c r="G8" s="2027"/>
      <c r="H8" s="2027"/>
      <c r="I8" s="2027"/>
      <c r="J8" s="2043"/>
      <c r="K8" s="2044"/>
      <c r="L8" s="2029"/>
      <c r="M8" s="2029"/>
      <c r="N8" s="2030"/>
      <c r="O8" s="2031"/>
      <c r="P8" s="2030"/>
      <c r="Q8" s="2030"/>
      <c r="R8" s="2030"/>
    </row>
    <row r="9" spans="1:19" ht="18" customHeight="1" thickBot="1">
      <c r="A9" s="2041" t="s">
        <v>1784</v>
      </c>
      <c r="B9" s="2057" t="s">
        <v>3050</v>
      </c>
      <c r="C9" s="2058"/>
      <c r="D9" s="3054"/>
      <c r="E9" s="2057"/>
      <c r="F9" s="2059"/>
      <c r="G9" s="2060"/>
      <c r="H9" s="2060"/>
      <c r="I9" s="2060"/>
      <c r="J9" s="2043"/>
      <c r="K9" s="2052"/>
      <c r="L9" s="2029"/>
      <c r="M9" s="2029"/>
      <c r="N9" s="2030"/>
      <c r="O9" s="2031"/>
      <c r="P9" s="2030"/>
      <c r="Q9" s="2030"/>
      <c r="R9" s="2030"/>
    </row>
    <row r="10" spans="1:19" ht="18" customHeight="1" thickTop="1">
      <c r="A10" s="2061" t="s">
        <v>1785</v>
      </c>
      <c r="B10" s="2062" t="s">
        <v>3051</v>
      </c>
      <c r="C10" s="2943" t="s">
        <v>3239</v>
      </c>
      <c r="D10" s="2047"/>
      <c r="E10" s="2063" t="s">
        <v>1786</v>
      </c>
      <c r="F10" s="2978" t="s">
        <v>3279</v>
      </c>
      <c r="G10" s="2064"/>
      <c r="H10" s="2065"/>
      <c r="I10" s="2047"/>
      <c r="J10" s="2043"/>
      <c r="K10" s="2052"/>
      <c r="L10" s="2029"/>
      <c r="M10" s="2029"/>
      <c r="N10" s="2030"/>
      <c r="O10" s="2031"/>
      <c r="P10" s="2030"/>
      <c r="Q10" s="2030"/>
      <c r="R10" s="2030"/>
    </row>
    <row r="11" spans="1:19" ht="48" customHeight="1">
      <c r="A11" s="2066" t="s">
        <v>1787</v>
      </c>
      <c r="B11" s="2067" t="s">
        <v>3052</v>
      </c>
      <c r="C11" s="2068" t="str">
        <f>B7</f>
        <v>山东省济南市历城区国资运营公司</v>
      </c>
      <c r="D11" s="2069"/>
      <c r="E11" s="2043"/>
      <c r="F11" s="2043"/>
      <c r="G11" s="2043"/>
      <c r="H11" s="2043"/>
      <c r="I11" s="2043"/>
      <c r="J11" s="2043"/>
      <c r="K11" s="2052"/>
      <c r="L11" s="2029"/>
      <c r="M11" s="2029"/>
      <c r="N11" s="2030"/>
      <c r="O11" s="2031"/>
      <c r="P11" s="2030"/>
      <c r="Q11" s="2030"/>
      <c r="R11" s="2030"/>
    </row>
    <row r="12" spans="1:19" ht="18" customHeight="1">
      <c r="A12" s="2070" t="s">
        <v>1788</v>
      </c>
      <c r="B12" s="2067" t="s">
        <v>3053</v>
      </c>
      <c r="C12" s="2071" t="s">
        <v>1789</v>
      </c>
      <c r="D12" s="2072" t="s">
        <v>1790</v>
      </c>
      <c r="E12" s="2072" t="s">
        <v>1791</v>
      </c>
      <c r="F12" s="2072" t="s">
        <v>1792</v>
      </c>
      <c r="G12" s="2072" t="s">
        <v>1793</v>
      </c>
      <c r="H12" s="2072" t="s">
        <v>1794</v>
      </c>
      <c r="I12" s="2072" t="s">
        <v>1795</v>
      </c>
      <c r="J12" s="2043"/>
      <c r="K12" s="2052"/>
      <c r="L12" s="2029"/>
      <c r="M12" s="2029"/>
      <c r="N12" s="2030"/>
      <c r="O12" s="2031"/>
      <c r="P12" s="2030"/>
      <c r="Q12" s="2030"/>
      <c r="R12" s="2030"/>
    </row>
    <row r="13" spans="1:19" ht="18" customHeight="1">
      <c r="A13" s="2073"/>
      <c r="B13" s="2074"/>
      <c r="C13" s="2075" t="s">
        <v>1796</v>
      </c>
      <c r="D13" s="2076"/>
      <c r="E13" s="2972"/>
      <c r="F13" s="2076">
        <v>57572</v>
      </c>
      <c r="G13" s="2076"/>
      <c r="H13" s="2076"/>
      <c r="I13" s="1049"/>
      <c r="J13" s="2043"/>
      <c r="K13" s="2052"/>
      <c r="L13" s="2029"/>
      <c r="M13" s="2029"/>
      <c r="N13" s="2030"/>
      <c r="O13" s="2031"/>
      <c r="P13" s="2030"/>
      <c r="Q13" s="2030"/>
      <c r="R13" s="2030"/>
    </row>
    <row r="14" spans="1:19" ht="18" customHeight="1">
      <c r="A14" s="2073"/>
      <c r="B14" s="2074"/>
      <c r="C14" s="2075" t="s">
        <v>1797</v>
      </c>
      <c r="D14" s="1052">
        <v>70</v>
      </c>
      <c r="E14" s="1052">
        <v>40</v>
      </c>
      <c r="F14" s="1052">
        <v>40</v>
      </c>
      <c r="G14" s="1052">
        <v>50</v>
      </c>
      <c r="H14" s="1052"/>
      <c r="I14" s="1052"/>
      <c r="J14" s="2043"/>
      <c r="K14" s="2077"/>
      <c r="L14" s="2029"/>
      <c r="M14" s="2029"/>
      <c r="N14" s="2030"/>
      <c r="O14" s="2031"/>
      <c r="P14" s="2030"/>
      <c r="Q14" s="2030"/>
      <c r="R14" s="2030"/>
    </row>
    <row r="15" spans="1:19" ht="18" customHeight="1">
      <c r="A15" s="2061"/>
      <c r="B15" s="2078"/>
      <c r="C15" s="2075" t="s">
        <v>1798</v>
      </c>
      <c r="D15" s="1051" t="str">
        <f>IF(B12="出让",IF(D13="","",ROUNDDOWN(MIN((D13-$D$3)/365,D14),2)),D14)</f>
        <v/>
      </c>
      <c r="E15" s="1051" t="str">
        <f>IF(B12="出让",IF(E13="","",ROUNDDOWN(MIN((E13-$D$3)/365,E14),2)),E14)</f>
        <v/>
      </c>
      <c r="F15" s="1051">
        <f>IF(B12="出让",IF(F13="","",ROUNDDOWN(MIN((F13-$D$3)/365,F14),2)),F14)</f>
        <v>38.020000000000003</v>
      </c>
      <c r="G15" s="1051" t="str">
        <f>IF(B12="出让",IF(G13="","",ROUNDDOWN(MIN((G13-$D$3)/365,G14),2)),G14)</f>
        <v/>
      </c>
      <c r="H15" s="1051" t="str">
        <f>IF(B12="出让",IF(H13="","",ROUNDDOWN(MIN((H13-$D$3)/365,H14),2)),H14)</f>
        <v/>
      </c>
      <c r="I15" s="1051" t="str">
        <f>IF(B12="出让",IF(I13="","",ROUNDDOWN(MIN((I13-$D$3)/365,I14),2)),I14)</f>
        <v/>
      </c>
      <c r="J15" s="2043"/>
      <c r="K15" s="2079"/>
      <c r="L15" s="2080"/>
      <c r="M15" s="2080"/>
      <c r="N15" s="2081"/>
      <c r="O15" s="2080"/>
      <c r="P15" s="2081"/>
      <c r="Q15" s="2030"/>
      <c r="R15" s="2030"/>
    </row>
    <row r="16" spans="1:19" ht="30.75" customHeight="1">
      <c r="A16" s="2063" t="s">
        <v>1799</v>
      </c>
      <c r="B16" s="3060"/>
      <c r="C16" s="3061"/>
      <c r="D16" s="3062"/>
      <c r="E16" s="2082" t="s">
        <v>1800</v>
      </c>
      <c r="F16" s="3063"/>
      <c r="G16" s="3064"/>
      <c r="H16" s="3064"/>
      <c r="I16" s="3065"/>
      <c r="J16" s="2030"/>
      <c r="K16" s="2079"/>
      <c r="L16" s="2080"/>
      <c r="M16" s="2080"/>
      <c r="N16" s="2081"/>
      <c r="O16" s="2080"/>
      <c r="P16" s="2081"/>
      <c r="Q16" s="2030"/>
      <c r="R16" s="2030"/>
    </row>
    <row r="17" spans="1:22" ht="18" customHeight="1">
      <c r="A17" s="2083" t="s">
        <v>1801</v>
      </c>
      <c r="B17" s="2036" t="s">
        <v>1802</v>
      </c>
      <c r="C17" s="1056">
        <f>'数据-汇总表'!E3</f>
        <v>25792.44</v>
      </c>
      <c r="D17" s="2084" t="s">
        <v>1803</v>
      </c>
      <c r="E17" s="3066"/>
      <c r="F17" s="3067"/>
      <c r="G17" s="3067"/>
      <c r="H17" s="3067"/>
      <c r="I17" s="3068"/>
      <c r="J17" s="2030"/>
      <c r="K17" s="2085"/>
      <c r="L17" s="2080"/>
      <c r="M17" s="2080"/>
      <c r="N17" s="2081"/>
      <c r="O17" s="2080"/>
      <c r="P17" s="2081"/>
      <c r="Q17" s="2030"/>
      <c r="R17" s="2030"/>
      <c r="S17" s="2030"/>
      <c r="T17" s="2030"/>
      <c r="U17" s="2030"/>
      <c r="V17" s="2030"/>
    </row>
    <row r="18" spans="1:22" ht="36" customHeight="1" thickBot="1">
      <c r="A18" s="2086" t="s">
        <v>1804</v>
      </c>
      <c r="B18" s="2039" t="s">
        <v>1805</v>
      </c>
      <c r="C18" s="1445">
        <f>'数据-汇总表'!D3</f>
        <v>0</v>
      </c>
      <c r="D18" s="2087" t="s">
        <v>1803</v>
      </c>
      <c r="E18" s="3069"/>
      <c r="F18" s="3070"/>
      <c r="G18" s="3070"/>
      <c r="H18" s="3070"/>
      <c r="I18" s="3071"/>
      <c r="J18" s="2030"/>
      <c r="K18" s="2085"/>
      <c r="L18" s="2080"/>
      <c r="M18" s="2080"/>
      <c r="N18" s="2081"/>
      <c r="O18" s="2080"/>
      <c r="P18" s="2081"/>
      <c r="Q18" s="2030"/>
      <c r="R18" s="2030"/>
      <c r="S18" s="2030"/>
      <c r="T18" s="2030"/>
      <c r="U18" s="2030"/>
      <c r="V18" s="2030"/>
    </row>
    <row r="19" spans="1:22" ht="37.5" customHeight="1" thickTop="1" thickBot="1">
      <c r="A19" s="373" t="s">
        <v>1806</v>
      </c>
      <c r="B19" s="352" t="s">
        <v>1807</v>
      </c>
      <c r="C19" s="2088"/>
      <c r="D19" s="2089" t="s">
        <v>1808</v>
      </c>
      <c r="E19" s="2090"/>
      <c r="F19" s="2091" t="str">
        <f>IF(AND(C19="是",E19="否"),"是否提供他项权证或相关说明","")</f>
        <v/>
      </c>
      <c r="G19" s="2092"/>
      <c r="H19" s="2043"/>
      <c r="I19" s="2043"/>
      <c r="J19" s="2043"/>
      <c r="K19" s="2052"/>
      <c r="L19" s="2029"/>
      <c r="M19" s="2029"/>
      <c r="N19" s="2081"/>
      <c r="O19" s="2080"/>
      <c r="P19" s="2081"/>
      <c r="Q19" s="2030"/>
      <c r="R19" s="2030"/>
      <c r="S19" s="2030"/>
      <c r="T19" s="2030"/>
      <c r="U19" s="2030"/>
      <c r="V19" s="2030"/>
    </row>
    <row r="20" spans="1:22" ht="18" customHeight="1">
      <c r="A20" s="2093" t="s">
        <v>1809</v>
      </c>
      <c r="B20" s="3056" t="s">
        <v>1810</v>
      </c>
      <c r="C20" s="3057"/>
      <c r="D20" s="3058" t="s">
        <v>1811</v>
      </c>
      <c r="E20" s="3059"/>
      <c r="F20" s="2094" t="s">
        <v>1812</v>
      </c>
      <c r="G20" s="2043"/>
      <c r="H20" s="2043"/>
      <c r="I20" s="2043"/>
      <c r="J20" s="2043"/>
      <c r="K20" s="3055"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1"/>
      <c r="O20" s="2080"/>
      <c r="P20" s="2081"/>
      <c r="Q20" s="2030"/>
      <c r="R20" s="2030"/>
      <c r="S20" s="2030"/>
      <c r="T20" s="2030"/>
      <c r="U20" s="2030"/>
      <c r="V20" s="2030"/>
    </row>
    <row r="21" spans="1:22" ht="24.75" customHeight="1">
      <c r="A21" s="2093"/>
      <c r="B21" s="2095" t="s">
        <v>1814</v>
      </c>
      <c r="C21" s="2096" t="s">
        <v>1815</v>
      </c>
      <c r="D21" s="2097"/>
      <c r="E21" s="2098" t="s">
        <v>1815</v>
      </c>
      <c r="F21" s="2099"/>
      <c r="G21" s="2043"/>
      <c r="H21" s="2043"/>
      <c r="I21" s="2043"/>
      <c r="J21" s="2043"/>
      <c r="K21" s="305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1"/>
      <c r="O21" s="2080"/>
      <c r="P21" s="2081"/>
      <c r="Q21" s="2030"/>
      <c r="R21" s="2030"/>
      <c r="S21" s="2030"/>
      <c r="T21" s="2030"/>
      <c r="U21" s="2030"/>
      <c r="V21" s="2030"/>
    </row>
    <row r="22" spans="1:22" ht="24.75" customHeight="1" thickBot="1">
      <c r="A22" s="2093"/>
      <c r="B22" s="2100" t="s">
        <v>1816</v>
      </c>
      <c r="C22" s="2096" t="s">
        <v>1817</v>
      </c>
      <c r="D22" s="2027"/>
      <c r="E22" s="2027"/>
      <c r="F22" s="2101"/>
      <c r="G22" s="2043"/>
      <c r="H22" s="2043"/>
      <c r="I22" s="2043"/>
      <c r="J22" s="2043"/>
      <c r="K22" s="305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1818</v>
      </c>
      <c r="B23" s="183" t="s">
        <v>1819</v>
      </c>
      <c r="C23" s="2103"/>
      <c r="D23" s="2104" t="s">
        <v>1819</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1820</v>
      </c>
      <c r="C24" s="2108"/>
      <c r="D24" s="2102" t="s">
        <v>1820</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1821</v>
      </c>
      <c r="C25" s="2108"/>
      <c r="D25" s="2102" t="s">
        <v>1821</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1822</v>
      </c>
      <c r="C26" s="2112"/>
      <c r="D26" s="2113" t="s">
        <v>1823</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43" t="s">
        <v>1824</v>
      </c>
      <c r="B27" s="2061" t="s">
        <v>1825</v>
      </c>
      <c r="C27" s="2116" t="s">
        <v>3055</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43"/>
      <c r="B28" s="2036" t="s">
        <v>1826</v>
      </c>
      <c r="C28" s="2118"/>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43"/>
      <c r="B29" s="2036" t="s">
        <v>1827</v>
      </c>
      <c r="C29" s="2121"/>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44"/>
      <c r="B30" s="2036" t="s">
        <v>1828</v>
      </c>
      <c r="C30" s="3045"/>
      <c r="D30" s="3046"/>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47" t="s">
        <v>1829</v>
      </c>
      <c r="B31" s="2123" t="s">
        <v>3054</v>
      </c>
      <c r="C31" s="2124" t="str">
        <f>IF(B31="现房","成新及维护状况正常否",IF(B31="在建","工程状态是否正常",IF(B31="土地","是否闲置","-")))</f>
        <v>工程状态是否正常</v>
      </c>
      <c r="D31" s="2125"/>
      <c r="E31" s="2126"/>
      <c r="F31" s="2043"/>
      <c r="G31" s="2043"/>
      <c r="H31" s="2043"/>
      <c r="I31" s="2043"/>
      <c r="J31" s="2043"/>
      <c r="K31" s="2051"/>
      <c r="L31" s="2029"/>
      <c r="M31" s="2029"/>
      <c r="N31" s="2030"/>
      <c r="O31" s="2031"/>
      <c r="P31" s="2030"/>
      <c r="Q31" s="2030"/>
      <c r="R31" s="2030"/>
      <c r="S31" s="2030"/>
      <c r="T31" s="2030"/>
      <c r="U31" s="2030"/>
      <c r="V31" s="2030"/>
    </row>
    <row r="32" spans="1:22" ht="18" customHeight="1">
      <c r="A32" s="3048"/>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48"/>
      <c r="B33" s="2127"/>
      <c r="C33" s="2066"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2130"/>
      <c r="C34" s="2130"/>
      <c r="D34" s="2130"/>
      <c r="E34" s="2130"/>
      <c r="F34" s="2130"/>
      <c r="G34" s="2130"/>
      <c r="H34" s="2130"/>
      <c r="I34" s="2043"/>
      <c r="J34" s="2043"/>
      <c r="K34" s="1796">
        <f>COUNTIF(B34:H34,"——")</f>
        <v>0</v>
      </c>
      <c r="L34" s="2071" t="s">
        <v>1831</v>
      </c>
      <c r="M34" s="2071" t="s">
        <v>1832</v>
      </c>
      <c r="N34" s="2071" t="s">
        <v>1833</v>
      </c>
      <c r="O34" s="2071" t="s">
        <v>1834</v>
      </c>
      <c r="P34" s="2071" t="s">
        <v>1835</v>
      </c>
      <c r="Q34" s="2071" t="s">
        <v>1836</v>
      </c>
      <c r="R34" s="2071" t="s">
        <v>1837</v>
      </c>
      <c r="S34" s="3042" t="s">
        <v>1838</v>
      </c>
      <c r="T34" s="2131" t="str">
        <f>NUMBERSTRING(7-K34,1)&amp;"通"</f>
        <v>七通</v>
      </c>
      <c r="U34" s="2030"/>
      <c r="V34" s="2030"/>
    </row>
    <row r="35" spans="1:22" ht="18" customHeight="1">
      <c r="A35" s="2132"/>
      <c r="B35" s="3049" t="s">
        <v>1839</v>
      </c>
      <c r="C35" s="3049"/>
      <c r="D35" s="3049"/>
      <c r="E35" s="3049"/>
      <c r="F35" s="2133" t="str">
        <f>C10</f>
        <v>山东省</v>
      </c>
      <c r="G35" s="2043"/>
      <c r="H35" s="2043"/>
      <c r="I35" s="2043"/>
      <c r="J35" s="2043"/>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30"/>
      <c r="V35" s="2030"/>
    </row>
    <row r="36" spans="1:22" ht="18" customHeight="1">
      <c r="A36" s="2134"/>
      <c r="B36" s="2133" t="s">
        <v>1840</v>
      </c>
      <c r="C36" s="2133" t="s">
        <v>1841</v>
      </c>
      <c r="D36" s="2133" t="s">
        <v>1842</v>
      </c>
      <c r="E36" s="2133" t="s">
        <v>1843</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1844</v>
      </c>
      <c r="B37" s="2137"/>
      <c r="C37" s="2137"/>
      <c r="D37" s="2137"/>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1845</v>
      </c>
      <c r="B38" s="2139"/>
      <c r="C38" s="2139"/>
      <c r="D38" s="2139"/>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5"/>
      <c r="L40" s="2080"/>
      <c r="M40" s="2080"/>
      <c r="N40" s="2081"/>
      <c r="O40" s="2080"/>
      <c r="P40" s="2030"/>
      <c r="Q40" s="2030"/>
      <c r="R40" s="2030"/>
      <c r="S40" s="2030"/>
      <c r="T40" s="2030"/>
      <c r="U40" s="2030"/>
      <c r="V40" s="2030"/>
    </row>
    <row r="41" spans="1:22" ht="18" customHeight="1">
      <c r="A41" s="8" t="s">
        <v>1847</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1848</v>
      </c>
      <c r="B42" s="1796" t="s">
        <v>1849</v>
      </c>
      <c r="C42" s="1796" t="s">
        <v>1850</v>
      </c>
      <c r="D42" s="1796" t="s">
        <v>1851</v>
      </c>
      <c r="E42" s="1796" t="s">
        <v>1852</v>
      </c>
      <c r="F42" s="1796" t="s">
        <v>1853</v>
      </c>
      <c r="G42" s="1796" t="s">
        <v>1854</v>
      </c>
      <c r="H42" s="1796" t="s">
        <v>1855</v>
      </c>
      <c r="I42" s="1796" t="s">
        <v>1856</v>
      </c>
      <c r="J42" s="2149" t="s">
        <v>1857</v>
      </c>
      <c r="K42" s="2072" t="s">
        <v>1858</v>
      </c>
      <c r="L42" s="2072" t="s">
        <v>1859</v>
      </c>
      <c r="M42" s="2072" t="s">
        <v>1860</v>
      </c>
      <c r="N42" s="1796" t="s">
        <v>1861</v>
      </c>
      <c r="O42" s="1796" t="s">
        <v>1862</v>
      </c>
      <c r="P42" s="1796" t="s">
        <v>1863</v>
      </c>
      <c r="Q42" s="2071" t="s">
        <v>1864</v>
      </c>
      <c r="R42" s="2071" t="s">
        <v>1865</v>
      </c>
      <c r="S42" s="2030"/>
      <c r="T42" s="2030"/>
      <c r="U42" s="2030"/>
      <c r="V42" s="2030"/>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1871</v>
      </c>
      <c r="AZ2" s="1271"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0</v>
      </c>
      <c r="B3" s="14">
        <f>IF(C3="否",G5-AT5,G5)</f>
        <v>25792.44</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4"/>
      <c r="C5" s="1804"/>
      <c r="D5" s="1807"/>
      <c r="E5" s="16" t="s">
        <v>1</v>
      </c>
      <c r="F5" s="16">
        <f>SUM(F13:F587)</f>
        <v>0</v>
      </c>
      <c r="G5" s="16">
        <f>SUM(G13:G587)</f>
        <v>25792.44</v>
      </c>
      <c r="H5" s="16">
        <f t="shared" ref="H5:AT5" si="0">SUM(H13:H656)</f>
        <v>25792.44</v>
      </c>
      <c r="I5" s="16">
        <f t="shared" si="0"/>
        <v>25792.44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25792.44</v>
      </c>
      <c r="BA5" s="18">
        <f t="shared" si="1"/>
        <v>25792.44</v>
      </c>
      <c r="BB5" s="18">
        <f t="shared" si="1"/>
        <v>25792.44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1884</v>
      </c>
      <c r="AV7" s="23" t="s">
        <v>1885</v>
      </c>
      <c r="AW7" s="2163" t="s">
        <v>1886</v>
      </c>
      <c r="AX7" s="23" t="s">
        <v>1879</v>
      </c>
      <c r="AY7" s="1804"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9"/>
      <c r="K8" s="1819"/>
      <c r="L8" s="1819"/>
      <c r="M8" s="1819"/>
      <c r="N8" s="1819"/>
      <c r="O8" s="1819"/>
      <c r="P8" s="1819"/>
      <c r="Q8" s="1819"/>
      <c r="R8" s="1819"/>
      <c r="S8" s="1819"/>
      <c r="T8" s="1819"/>
      <c r="U8" s="1819"/>
      <c r="V8" s="2183"/>
      <c r="W8" s="1819"/>
      <c r="X8" s="1819"/>
      <c r="Y8" s="1819"/>
      <c r="Z8" s="1819"/>
      <c r="AA8" s="2183"/>
      <c r="AB8" s="2184"/>
      <c r="AC8" s="983" t="s">
        <v>1890</v>
      </c>
      <c r="AD8" s="2185"/>
      <c r="AE8" s="2177"/>
      <c r="AF8" s="1819"/>
      <c r="AG8" s="1819"/>
      <c r="AH8" s="1819"/>
      <c r="AI8" s="1819"/>
      <c r="AJ8" s="1819"/>
      <c r="AK8" s="1819"/>
      <c r="AL8" s="1819"/>
      <c r="AM8" s="1819"/>
      <c r="AN8" s="1819"/>
      <c r="AO8" s="1819"/>
      <c r="AP8" s="1819"/>
      <c r="AQ8" s="1819"/>
      <c r="AR8" s="1819"/>
      <c r="AS8" s="1819"/>
      <c r="AT8" s="1293" t="s">
        <v>1891</v>
      </c>
      <c r="AU8" s="2179" t="s">
        <v>1892</v>
      </c>
      <c r="AV8" s="1293"/>
      <c r="AW8" s="2162"/>
      <c r="AX8" s="1293"/>
      <c r="AY8" s="2163"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3"/>
      <c r="H9" s="2187" t="s">
        <v>1895</v>
      </c>
      <c r="I9" s="2188" t="s">
        <v>3069</v>
      </c>
      <c r="J9" s="983"/>
      <c r="K9" s="2188" t="s">
        <v>3069</v>
      </c>
      <c r="L9" s="983"/>
      <c r="M9" s="2188" t="s">
        <v>3109</v>
      </c>
      <c r="N9" s="983"/>
      <c r="O9" s="2188"/>
      <c r="P9" s="983"/>
      <c r="Q9" s="2188"/>
      <c r="R9" s="983"/>
      <c r="S9" s="2188"/>
      <c r="T9" s="983"/>
      <c r="U9" s="2188"/>
      <c r="V9" s="983"/>
      <c r="W9" s="2188"/>
      <c r="X9" s="2189"/>
      <c r="Y9" s="2188"/>
      <c r="Z9" s="983"/>
      <c r="AA9" s="2188"/>
      <c r="AB9" s="983"/>
      <c r="AC9" s="2180"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0"/>
      <c r="AT9" s="2179"/>
      <c r="AU9" s="2179" t="s">
        <v>1898</v>
      </c>
      <c r="AV9" s="1293"/>
      <c r="AW9" s="2162"/>
      <c r="AX9" s="1293"/>
      <c r="AY9" s="28"/>
      <c r="AZ9" s="28" t="s">
        <v>1888</v>
      </c>
      <c r="BA9" s="2191" t="s">
        <v>1899</v>
      </c>
      <c r="BB9" s="2192"/>
      <c r="BC9" s="1339"/>
      <c r="BD9" s="1339"/>
      <c r="BE9" s="1339"/>
      <c r="BF9" s="1339"/>
      <c r="BG9" s="1339"/>
      <c r="BH9" s="1339"/>
      <c r="BI9" s="1339"/>
      <c r="BJ9" s="1339"/>
      <c r="BK9" s="2193"/>
      <c r="BL9" s="15" t="s">
        <v>1900</v>
      </c>
      <c r="BM9" s="1819"/>
      <c r="BN9" s="2182"/>
      <c r="BO9" s="1819"/>
      <c r="BP9" s="1819"/>
      <c r="BQ9" s="1819"/>
      <c r="BR9" s="1819"/>
      <c r="BS9" s="1819"/>
      <c r="BT9" s="26"/>
    </row>
    <row r="10" spans="1:72" s="2186" customFormat="1" ht="12.75">
      <c r="A10" s="2179"/>
      <c r="B10" s="2179"/>
      <c r="C10" s="2179"/>
      <c r="D10" s="2179"/>
      <c r="E10" s="2179"/>
      <c r="F10" s="2179"/>
      <c r="G10" s="1293"/>
      <c r="H10" s="28"/>
      <c r="I10" s="2188" t="s">
        <v>27</v>
      </c>
      <c r="J10" s="983"/>
      <c r="K10" s="2188" t="s">
        <v>3070</v>
      </c>
      <c r="L10" s="983"/>
      <c r="M10" s="2194" t="s">
        <v>3110</v>
      </c>
      <c r="N10" s="983"/>
      <c r="O10" s="2194"/>
      <c r="P10" s="983"/>
      <c r="Q10" s="2194"/>
      <c r="R10" s="983"/>
      <c r="S10" s="2194"/>
      <c r="T10" s="983"/>
      <c r="U10" s="2194"/>
      <c r="V10" s="983"/>
      <c r="W10" s="2194"/>
      <c r="X10" s="983"/>
      <c r="Y10" s="2194"/>
      <c r="Z10" s="983"/>
      <c r="AA10" s="2194"/>
      <c r="AB10" s="983"/>
      <c r="AC10" s="1293"/>
      <c r="AD10" s="15" t="s">
        <v>1901</v>
      </c>
      <c r="AE10" s="2195"/>
      <c r="AF10" s="15" t="s">
        <v>1901</v>
      </c>
      <c r="AG10" s="2195"/>
      <c r="AH10" s="15" t="s">
        <v>1902</v>
      </c>
      <c r="AI10" s="2195"/>
      <c r="AJ10" s="15" t="s">
        <v>1902</v>
      </c>
      <c r="AK10" s="2195"/>
      <c r="AL10" s="15" t="s">
        <v>1903</v>
      </c>
      <c r="AM10" s="1299"/>
      <c r="AN10" s="15" t="s">
        <v>1903</v>
      </c>
      <c r="AO10" s="1299"/>
      <c r="AP10" s="15" t="s">
        <v>1904</v>
      </c>
      <c r="AQ10" s="1299"/>
      <c r="AR10" s="15" t="s">
        <v>1904</v>
      </c>
      <c r="AS10" s="1299"/>
      <c r="AT10" s="2179"/>
      <c r="AU10" s="2179"/>
      <c r="AV10" s="1293"/>
      <c r="AW10" s="2162"/>
      <c r="AX10" s="1293"/>
      <c r="AY10" s="28"/>
      <c r="AZ10" s="28"/>
      <c r="BA10" s="2196" t="s">
        <v>1895</v>
      </c>
      <c r="BB10" s="2197"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3"/>
      <c r="H11" s="2196"/>
      <c r="I11" s="2199" t="s">
        <v>3242</v>
      </c>
      <c r="J11" s="2200"/>
      <c r="K11" s="2199" t="s">
        <v>3071</v>
      </c>
      <c r="L11" s="2200"/>
      <c r="M11" s="2199" t="s">
        <v>3110</v>
      </c>
      <c r="N11" s="2200"/>
      <c r="O11" s="2199"/>
      <c r="P11" s="2200"/>
      <c r="Q11" s="2199"/>
      <c r="R11" s="2200"/>
      <c r="S11" s="2199"/>
      <c r="T11" s="2200"/>
      <c r="U11" s="2199"/>
      <c r="V11" s="2200"/>
      <c r="W11" s="2199"/>
      <c r="X11" s="2200"/>
      <c r="Y11" s="2199"/>
      <c r="Z11" s="2200"/>
      <c r="AA11" s="2199"/>
      <c r="AB11" s="2200"/>
      <c r="AC11" s="1293"/>
      <c r="AD11" s="2201" t="s">
        <v>1905</v>
      </c>
      <c r="AE11" s="1820"/>
      <c r="AF11" s="2201" t="s">
        <v>1905</v>
      </c>
      <c r="AG11" s="1820"/>
      <c r="AH11" s="2201" t="s">
        <v>1906</v>
      </c>
      <c r="AI11" s="2202"/>
      <c r="AJ11" s="2201" t="s">
        <v>1906</v>
      </c>
      <c r="AK11" s="1820"/>
      <c r="AL11" s="1818"/>
      <c r="AM11" s="1820"/>
      <c r="AN11" s="1818"/>
      <c r="AO11" s="1820"/>
      <c r="AP11" s="1818"/>
      <c r="AQ11" s="1820"/>
      <c r="AR11" s="1818"/>
      <c r="AS11" s="1820"/>
      <c r="AT11" s="2162"/>
      <c r="AU11" s="2179"/>
      <c r="AV11" s="1293"/>
      <c r="AW11" s="2162"/>
      <c r="AX11" s="1293"/>
      <c r="AY11" s="28"/>
      <c r="AZ11" s="28"/>
      <c r="BA11" s="28"/>
      <c r="BB11" s="2184" t="str">
        <f>I10</f>
        <v>办公</v>
      </c>
      <c r="BC11" s="2184" t="str">
        <f>K10</f>
        <v>住宅</v>
      </c>
      <c r="BD11" s="2184" t="str">
        <f>M10</f>
        <v>车库</v>
      </c>
      <c r="BE11" s="2184">
        <f>O10</f>
        <v>0</v>
      </c>
      <c r="BF11" s="2184">
        <f>Q10</f>
        <v>0</v>
      </c>
      <c r="BG11" s="2184">
        <f>S10</f>
        <v>0</v>
      </c>
      <c r="BH11" s="2184">
        <f>U10</f>
        <v>0</v>
      </c>
      <c r="BI11" s="2184">
        <f>W10</f>
        <v>0</v>
      </c>
      <c r="BJ11" s="2184">
        <f>Y10</f>
        <v>0</v>
      </c>
      <c r="BK11" s="2184">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6"/>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办公楼</v>
      </c>
      <c r="BC12" s="2209" t="str">
        <f>K11</f>
        <v>小高层</v>
      </c>
      <c r="BD12" s="2209" t="str">
        <f>M11</f>
        <v>车库</v>
      </c>
      <c r="BE12" s="2184">
        <f>O11</f>
        <v>0</v>
      </c>
      <c r="BF12" s="2184">
        <f>Q11</f>
        <v>0</v>
      </c>
      <c r="BG12" s="2184">
        <f>S11</f>
        <v>0</v>
      </c>
      <c r="BH12" s="2184">
        <f>U11</f>
        <v>0</v>
      </c>
      <c r="BI12" s="2184">
        <f>W11</f>
        <v>0</v>
      </c>
      <c r="BJ12" s="2184">
        <f>Y11</f>
        <v>0</v>
      </c>
      <c r="BK12" s="2184">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3"/>
      <c r="B13" s="1273"/>
      <c r="C13" s="2973" t="s">
        <v>3241</v>
      </c>
      <c r="D13" s="2210" t="s">
        <v>3112</v>
      </c>
      <c r="E13" s="16">
        <f>IF($C$3="是",ROUND($A$3*G13/$B$3,2),ROUND($A$3*(G13-AT13)/$B$3,2))</f>
        <v>0</v>
      </c>
      <c r="F13" s="32"/>
      <c r="G13" s="33">
        <f>H13+AC13+AT13</f>
        <v>25792.44</v>
      </c>
      <c r="H13" s="20">
        <f>SUMIF(I$12:AB$12,"总值",I13:AB13)</f>
        <v>25792.44</v>
      </c>
      <c r="I13" s="2974">
        <v>25792.44</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办公用房</v>
      </c>
      <c r="AY13" s="1807">
        <f>ROUND($AY$6*AZ13/$AZ$5,2)</f>
        <v>0</v>
      </c>
      <c r="AZ13" s="16">
        <f>BA13+BL13</f>
        <v>25792.44</v>
      </c>
      <c r="BA13" s="16">
        <f>SUM(BB13:BK13)</f>
        <v>25792.44</v>
      </c>
      <c r="BB13" s="16">
        <f>IF($D13="是",I13-J13,0)</f>
        <v>25792.44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3"/>
      <c r="B14" s="1273"/>
      <c r="C14" s="2954"/>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3"/>
      <c r="B15" s="1273"/>
      <c r="C15" s="1273"/>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3">
        <v>0.55000000000000004</v>
      </c>
      <c r="B16" s="1273"/>
      <c r="C16" s="1273"/>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0.55000000000000004</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3">
        <f>A3*A16</f>
        <v>0</v>
      </c>
      <c r="B17" s="1273"/>
      <c r="C17" s="1273"/>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f>A17/I13</f>
        <v>0</v>
      </c>
      <c r="B18" s="1273"/>
      <c r="C18" s="1273"/>
      <c r="D18" s="2210"/>
      <c r="E18" s="35">
        <f t="shared" ref="E18:E112" si="7">IF($C$3="是",ROUND($A$3*G18/$B$3,2),ROUND($A$3*(G18-AT18)/$B$3,2))</f>
        <v>0</v>
      </c>
      <c r="F18" s="36"/>
      <c r="G18" s="37">
        <f t="shared" ref="G18:G109" si="8">H18+AC18+AT18</f>
        <v>0</v>
      </c>
      <c r="H18" s="38">
        <f t="shared" ref="H18:H109" si="9">SUMIF(I$12:AB$12,"总值",I18:AB18)</f>
        <v>0</v>
      </c>
      <c r="I18" s="2211"/>
      <c r="J18" s="2211"/>
      <c r="K18" s="2211"/>
      <c r="L18" s="2211"/>
      <c r="M18" s="2211"/>
      <c r="N18" s="2211"/>
      <c r="O18" s="2211"/>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2212"/>
      <c r="AM18" s="2212"/>
      <c r="AN18" s="2212"/>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v>3.8</v>
      </c>
      <c r="B19" s="1273"/>
      <c r="C19" s="1273"/>
      <c r="D19" s="2210"/>
      <c r="E19" s="35">
        <f t="shared" si="7"/>
        <v>0</v>
      </c>
      <c r="F19" s="36"/>
      <c r="G19" s="37">
        <f t="shared" si="8"/>
        <v>0</v>
      </c>
      <c r="H19" s="38">
        <f t="shared" si="9"/>
        <v>0</v>
      </c>
      <c r="I19" s="2211"/>
      <c r="J19" s="2211"/>
      <c r="K19" s="2211"/>
      <c r="L19" s="2211"/>
      <c r="M19" s="2211"/>
      <c r="N19" s="2211"/>
      <c r="O19" s="2211"/>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2212"/>
      <c r="AM19" s="2212"/>
      <c r="AN19" s="2212"/>
      <c r="AO19" s="40"/>
      <c r="AP19" s="40"/>
      <c r="AQ19" s="40"/>
      <c r="AR19" s="40"/>
      <c r="AS19" s="40"/>
      <c r="AT19" s="41"/>
      <c r="AU19" s="2216"/>
      <c r="AV19" s="1796">
        <f t="shared" si="11"/>
        <v>3.8</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73"/>
      <c r="C20" s="1273"/>
      <c r="D20" s="2210"/>
      <c r="E20" s="35">
        <f t="shared" si="7"/>
        <v>0</v>
      </c>
      <c r="F20" s="36"/>
      <c r="G20" s="37">
        <f t="shared" si="8"/>
        <v>0</v>
      </c>
      <c r="H20" s="38">
        <f t="shared" si="9"/>
        <v>0</v>
      </c>
      <c r="I20" s="2211"/>
      <c r="J20" s="2211"/>
      <c r="K20" s="2211"/>
      <c r="L20" s="2211"/>
      <c r="M20" s="2211"/>
      <c r="N20" s="2211"/>
      <c r="O20" s="2211"/>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2212"/>
      <c r="AM20" s="2212"/>
      <c r="AN20" s="2212"/>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v>2.5</v>
      </c>
      <c r="B21" s="1273"/>
      <c r="C21" s="1273"/>
      <c r="D21" s="2210"/>
      <c r="E21" s="35">
        <f t="shared" si="7"/>
        <v>0</v>
      </c>
      <c r="F21" s="36"/>
      <c r="G21" s="37">
        <f t="shared" si="8"/>
        <v>0</v>
      </c>
      <c r="H21" s="38">
        <f t="shared" si="9"/>
        <v>0</v>
      </c>
      <c r="I21" s="2211"/>
      <c r="J21" s="2211"/>
      <c r="K21" s="2211"/>
      <c r="L21" s="2211"/>
      <c r="M21" s="2211"/>
      <c r="N21" s="2211"/>
      <c r="O21" s="2211"/>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2212"/>
      <c r="AM21" s="2212"/>
      <c r="AN21" s="2212"/>
      <c r="AO21" s="40"/>
      <c r="AP21" s="40"/>
      <c r="AQ21" s="40"/>
      <c r="AR21" s="40"/>
      <c r="AS21" s="40"/>
      <c r="AT21" s="41"/>
      <c r="AU21" s="2216"/>
      <c r="AV21" s="1796">
        <f t="shared" si="11"/>
        <v>2.5</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73"/>
      <c r="C22" s="2954"/>
      <c r="D22" s="2210"/>
      <c r="E22" s="35">
        <f t="shared" si="7"/>
        <v>0</v>
      </c>
      <c r="F22" s="36"/>
      <c r="G22" s="37">
        <f t="shared" si="8"/>
        <v>0</v>
      </c>
      <c r="H22" s="38">
        <f t="shared" si="9"/>
        <v>0</v>
      </c>
      <c r="I22" s="2211"/>
      <c r="J22" s="2211"/>
      <c r="K22" s="2211"/>
      <c r="L22" s="2211"/>
      <c r="M22" s="2211"/>
      <c r="N22" s="2211"/>
      <c r="O22" s="2211"/>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2212"/>
      <c r="AM22" s="2212"/>
      <c r="AN22" s="2212"/>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73"/>
      <c r="C23" s="1273"/>
      <c r="D23" s="2210"/>
      <c r="E23" s="35">
        <f t="shared" si="7"/>
        <v>0</v>
      </c>
      <c r="F23" s="36"/>
      <c r="G23" s="37">
        <f t="shared" si="8"/>
        <v>0</v>
      </c>
      <c r="H23" s="38">
        <f t="shared" si="9"/>
        <v>0</v>
      </c>
      <c r="I23" s="2211"/>
      <c r="J23" s="2211"/>
      <c r="K23" s="2211"/>
      <c r="L23" s="2211"/>
      <c r="M23" s="2211"/>
      <c r="N23" s="2211"/>
      <c r="O23" s="2211"/>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73"/>
      <c r="C24" s="1273"/>
      <c r="D24" s="2210"/>
      <c r="E24" s="35">
        <f t="shared" si="7"/>
        <v>0</v>
      </c>
      <c r="F24" s="36"/>
      <c r="G24" s="37">
        <f t="shared" si="8"/>
        <v>0</v>
      </c>
      <c r="H24" s="38">
        <f t="shared" si="9"/>
        <v>0</v>
      </c>
      <c r="I24" s="2211"/>
      <c r="J24" s="2211"/>
      <c r="K24" s="2211"/>
      <c r="L24" s="2211"/>
      <c r="M24" s="2211"/>
      <c r="N24" s="2211"/>
      <c r="O24" s="2211"/>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73"/>
      <c r="C25" s="1273"/>
      <c r="D25" s="2210"/>
      <c r="E25" s="35">
        <f t="shared" si="7"/>
        <v>0</v>
      </c>
      <c r="F25" s="36"/>
      <c r="G25" s="37">
        <f t="shared" si="8"/>
        <v>0</v>
      </c>
      <c r="H25" s="38">
        <f t="shared" si="9"/>
        <v>0</v>
      </c>
      <c r="I25" s="2211"/>
      <c r="J25" s="2211"/>
      <c r="K25" s="2211"/>
      <c r="L25" s="2211"/>
      <c r="M25" s="2211"/>
      <c r="N25" s="2211"/>
      <c r="O25" s="2211"/>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4"/>
      <c r="D26" s="2210"/>
      <c r="E26" s="35">
        <f t="shared" si="7"/>
        <v>0</v>
      </c>
      <c r="F26" s="36"/>
      <c r="G26" s="37">
        <f t="shared" si="8"/>
        <v>0</v>
      </c>
      <c r="H26" s="38">
        <f t="shared" si="9"/>
        <v>0</v>
      </c>
      <c r="I26" s="2211"/>
      <c r="J26" s="2211"/>
      <c r="K26" s="2211"/>
      <c r="L26" s="2211"/>
      <c r="M26" s="2211"/>
      <c r="N26" s="2211"/>
      <c r="O26" s="2211"/>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4"/>
      <c r="D27" s="2210"/>
      <c r="E27" s="35">
        <f t="shared" si="7"/>
        <v>0</v>
      </c>
      <c r="F27" s="36"/>
      <c r="G27" s="37">
        <f t="shared" si="8"/>
        <v>0</v>
      </c>
      <c r="H27" s="38">
        <f t="shared" si="9"/>
        <v>0</v>
      </c>
      <c r="I27" s="2211"/>
      <c r="J27" s="2211"/>
      <c r="K27" s="2211"/>
      <c r="L27" s="2211"/>
      <c r="M27" s="2211"/>
      <c r="N27" s="2211"/>
      <c r="O27" s="2211"/>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2211"/>
      <c r="J28" s="2211"/>
      <c r="K28" s="2211"/>
      <c r="L28" s="2211"/>
      <c r="M28" s="2211"/>
      <c r="N28" s="2211"/>
      <c r="O28" s="2211"/>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2" t="s">
        <v>0</v>
      </c>
      <c r="B1" s="3072" t="s">
        <v>4</v>
      </c>
      <c r="C1" s="3072" t="s">
        <v>5</v>
      </c>
      <c r="D1" s="3073" t="s">
        <v>53</v>
      </c>
      <c r="E1" s="3073" t="s">
        <v>54</v>
      </c>
      <c r="F1" s="3073"/>
      <c r="G1" s="3073"/>
      <c r="H1" s="3073"/>
      <c r="I1" s="3073"/>
      <c r="J1" s="3073"/>
      <c r="K1" s="3073"/>
      <c r="L1" s="3073"/>
      <c r="M1" s="3073"/>
    </row>
    <row r="2" spans="1:13" ht="27" customHeight="1">
      <c r="A2" s="3072"/>
      <c r="B2" s="3072"/>
      <c r="C2" s="3072"/>
      <c r="D2" s="3073"/>
      <c r="E2" s="3073" t="s">
        <v>37</v>
      </c>
      <c r="F2" s="3073" t="s">
        <v>38</v>
      </c>
      <c r="G2" s="3073"/>
      <c r="H2" s="3073"/>
      <c r="I2" s="3073"/>
      <c r="J2" s="3073" t="s">
        <v>39</v>
      </c>
      <c r="K2" s="3073"/>
      <c r="L2" s="3073"/>
      <c r="M2" s="3073"/>
    </row>
    <row r="3" spans="1:13" ht="28.5">
      <c r="A3" s="3072"/>
      <c r="B3" s="3072"/>
      <c r="C3" s="3072"/>
      <c r="D3" s="3073"/>
      <c r="E3" s="30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3" t="s">
        <v>55</v>
      </c>
      <c r="B9" s="3073"/>
      <c r="C9" s="30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E19" sqref="E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3"/>
      <c r="C1" s="1393"/>
      <c r="D1" s="1393"/>
      <c r="E1" s="1393"/>
      <c r="F1" s="1393"/>
      <c r="G1" s="1393"/>
      <c r="H1" s="1393"/>
      <c r="I1" s="1393"/>
      <c r="J1" s="1393"/>
      <c r="K1" s="1393"/>
      <c r="L1" s="1393"/>
      <c r="M1" s="1393"/>
      <c r="N1" s="1393"/>
      <c r="O1" s="1393"/>
      <c r="P1" s="1393"/>
    </row>
    <row r="2" spans="1:16" ht="15">
      <c r="A2" s="3083" t="s">
        <v>1935</v>
      </c>
      <c r="B2" s="3083"/>
      <c r="C2" s="3083"/>
      <c r="D2" s="969" t="s">
        <v>1911</v>
      </c>
      <c r="E2" s="2224" t="s">
        <v>1912</v>
      </c>
      <c r="F2" s="1393"/>
      <c r="G2" s="2225"/>
      <c r="H2" s="2226"/>
      <c r="I2" s="2227" t="s">
        <v>1936</v>
      </c>
      <c r="J2" s="1393"/>
      <c r="K2" s="1393"/>
      <c r="L2" s="1393"/>
      <c r="M2" s="1393"/>
      <c r="N2" s="1428"/>
      <c r="O2" s="1393"/>
      <c r="P2" s="1393"/>
    </row>
    <row r="3" spans="1:16" ht="15.75" thickBot="1">
      <c r="A3" s="3084" t="s">
        <v>1909</v>
      </c>
      <c r="B3" s="3084"/>
      <c r="C3" s="3084"/>
      <c r="D3" s="46">
        <f>'数据-基础表'!AY6</f>
        <v>0</v>
      </c>
      <c r="E3" s="46">
        <f>'数据-基础表'!AZ5</f>
        <v>25792.44</v>
      </c>
      <c r="F3" s="1393"/>
      <c r="G3" s="1400"/>
      <c r="H3" s="1249" t="s">
        <v>1910</v>
      </c>
      <c r="I3" s="55" t="e">
        <f>ROUND('数据-基础表'!B3/'数据-基础表'!A3,2)</f>
        <v>#DIV/0!</v>
      </c>
      <c r="J3" s="1393"/>
      <c r="K3" s="1393"/>
      <c r="L3" s="1393"/>
      <c r="M3" s="1393"/>
      <c r="N3" s="1428"/>
      <c r="O3" s="1393"/>
      <c r="P3" s="1393"/>
    </row>
    <row r="4" spans="1:16" ht="15">
      <c r="A4" s="3085"/>
      <c r="B4" s="3086"/>
      <c r="C4" s="3087"/>
      <c r="D4" s="2228" t="s">
        <v>1911</v>
      </c>
      <c r="E4" s="2229" t="s">
        <v>1912</v>
      </c>
      <c r="F4" s="1393"/>
      <c r="G4" s="2230" t="s">
        <v>1937</v>
      </c>
      <c r="H4" s="1249" t="s">
        <v>1917</v>
      </c>
      <c r="I4" s="55" t="e">
        <f>ROUND(SUMIF('数据-基础表'!I9:AS9,"地上",'数据-基础表'!I5:AS5)/'数据-基础表'!A3,2)</f>
        <v>#DIV/0!</v>
      </c>
      <c r="J4" s="1393"/>
      <c r="K4" s="1393"/>
      <c r="L4" s="1393"/>
      <c r="M4" s="1393"/>
      <c r="N4" s="1428"/>
      <c r="O4" s="1393"/>
      <c r="P4" s="1393"/>
    </row>
    <row r="5" spans="1:16">
      <c r="A5" s="47" t="s">
        <v>1913</v>
      </c>
      <c r="B5" s="3088" t="s">
        <v>1914</v>
      </c>
      <c r="C5" s="3088"/>
      <c r="D5" s="48">
        <f>ROUND($D$3*E5/$E$3,2)</f>
        <v>0</v>
      </c>
      <c r="E5" s="49">
        <f>SUMIF('数据-基础表'!$11:$11,"住宅",'数据-基础表'!$5:$5)</f>
        <v>0</v>
      </c>
      <c r="F5" s="1393"/>
      <c r="G5" s="1400"/>
      <c r="H5" s="1249" t="s">
        <v>1910</v>
      </c>
      <c r="I5" s="55" t="e">
        <f>ROUND(E31/D31,2)</f>
        <v>#DIV/0!</v>
      </c>
      <c r="J5" s="1393"/>
      <c r="K5" s="1393"/>
      <c r="L5" s="1393"/>
      <c r="M5" s="1393"/>
      <c r="N5" s="1393"/>
      <c r="O5" s="1393"/>
      <c r="P5" s="1393"/>
    </row>
    <row r="6" spans="1:16" ht="15" thickBot="1">
      <c r="A6" s="2231"/>
      <c r="B6" s="3088" t="s">
        <v>1915</v>
      </c>
      <c r="C6" s="3088"/>
      <c r="D6" s="48">
        <f>ROUND($D$3*E6/$E$3,2)</f>
        <v>0</v>
      </c>
      <c r="E6" s="49">
        <f>E3-E5</f>
        <v>25792.44</v>
      </c>
      <c r="F6" s="1393"/>
      <c r="G6" s="2232" t="s">
        <v>1916</v>
      </c>
      <c r="H6" s="1400" t="s">
        <v>1917</v>
      </c>
      <c r="I6" s="941" t="e">
        <f>ROUND(F31/D31,2)</f>
        <v>#DIV/0!</v>
      </c>
      <c r="J6" s="1393"/>
      <c r="K6" s="1393"/>
      <c r="L6" s="1393"/>
      <c r="M6" s="1393"/>
      <c r="N6" s="1393"/>
      <c r="O6" s="1393"/>
      <c r="P6" s="1393"/>
    </row>
    <row r="7" spans="1:16" ht="15">
      <c r="A7" s="3080"/>
      <c r="B7" s="3081"/>
      <c r="C7" s="3082"/>
      <c r="D7" s="2228" t="s">
        <v>1911</v>
      </c>
      <c r="E7" s="2233" t="s">
        <v>1918</v>
      </c>
      <c r="F7" s="1393"/>
      <c r="G7" s="2225" t="s">
        <v>1919</v>
      </c>
      <c r="H7" s="64"/>
      <c r="I7" s="2965" t="e">
        <f>I4</f>
        <v>#DIV/0!</v>
      </c>
      <c r="J7" s="1393"/>
      <c r="K7" s="1393"/>
      <c r="L7" s="1393"/>
      <c r="M7" s="1393"/>
      <c r="N7" s="1393"/>
      <c r="O7" s="1393"/>
      <c r="P7" s="1393"/>
    </row>
    <row r="8" spans="1:16">
      <c r="A8" s="47" t="s">
        <v>1920</v>
      </c>
      <c r="B8" s="50" t="s">
        <v>1921</v>
      </c>
      <c r="C8" s="48" t="s">
        <v>1922</v>
      </c>
      <c r="D8" s="48">
        <f t="shared" ref="D8:D15" si="0">ROUND($D$3*E8/$E$3,2)</f>
        <v>0</v>
      </c>
      <c r="E8" s="51">
        <f>SUMIF('数据-基础表'!BB10:BK10,"地上",'数据-基础表'!BB5:BK5)</f>
        <v>25792.44</v>
      </c>
      <c r="F8" s="1393"/>
      <c r="G8" s="2234"/>
      <c r="H8" s="2234"/>
      <c r="I8" s="1393"/>
      <c r="J8" s="1393"/>
      <c r="K8" s="1393"/>
      <c r="L8" s="1393"/>
      <c r="M8" s="1393"/>
      <c r="N8" s="1393"/>
      <c r="O8" s="1393"/>
      <c r="P8" s="1393"/>
    </row>
    <row r="9" spans="1:16">
      <c r="A9" s="2235"/>
      <c r="B9" s="2236"/>
      <c r="C9" s="48" t="s">
        <v>1923</v>
      </c>
      <c r="D9" s="48">
        <f t="shared" si="0"/>
        <v>0</v>
      </c>
      <c r="E9" s="52">
        <v>0</v>
      </c>
      <c r="F9" s="1393"/>
      <c r="G9" s="2234"/>
      <c r="H9" s="2234"/>
      <c r="I9" s="1393"/>
      <c r="J9" s="1393"/>
      <c r="K9" s="1393"/>
      <c r="L9" s="1393"/>
      <c r="M9" s="1393"/>
      <c r="N9" s="1393"/>
      <c r="O9" s="1393"/>
      <c r="P9" s="1393"/>
    </row>
    <row r="10" spans="1:16">
      <c r="A10" s="2235"/>
      <c r="B10" s="2236"/>
      <c r="C10" s="48" t="s">
        <v>1932</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1924</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1925</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1926</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1938</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1933</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1927</v>
      </c>
      <c r="D16" s="50">
        <f>SUM(D8:D15)</f>
        <v>0</v>
      </c>
      <c r="E16" s="53">
        <f>SUM(E8:E15)</f>
        <v>25792.44</v>
      </c>
      <c r="F16" s="1393"/>
      <c r="G16" s="2234"/>
      <c r="H16" s="2237" t="s">
        <v>1939</v>
      </c>
      <c r="I16" s="2238"/>
      <c r="J16" s="1393"/>
      <c r="K16" s="3077" t="s">
        <v>1939</v>
      </c>
      <c r="L16" s="3078"/>
      <c r="M16" s="3078"/>
      <c r="N16" s="3078"/>
      <c r="O16" s="3078"/>
      <c r="P16" s="3079"/>
    </row>
    <row r="17" spans="1:19" ht="15">
      <c r="A17" s="2239" t="s">
        <v>1940</v>
      </c>
      <c r="B17" s="2240" t="s">
        <v>1941</v>
      </c>
      <c r="C17" s="2241" t="s">
        <v>1942</v>
      </c>
      <c r="D17" s="2242" t="s">
        <v>1930</v>
      </c>
      <c r="E17" s="2243" t="s">
        <v>1931</v>
      </c>
      <c r="F17" s="2244"/>
      <c r="G17" s="2245"/>
      <c r="H17" s="2246" t="s">
        <v>1943</v>
      </c>
      <c r="I17" s="2247" t="s">
        <v>1928</v>
      </c>
      <c r="J17" s="1393"/>
      <c r="K17" s="3074" t="s">
        <v>1944</v>
      </c>
      <c r="L17" s="3075"/>
      <c r="M17" s="3076"/>
      <c r="N17" s="3074" t="s">
        <v>1945</v>
      </c>
      <c r="O17" s="3075"/>
      <c r="P17" s="3076"/>
      <c r="R17" s="2225" t="s">
        <v>1946</v>
      </c>
      <c r="S17" s="64"/>
    </row>
    <row r="18" spans="1:19" ht="15">
      <c r="A18" s="2235"/>
      <c r="B18" s="2248"/>
      <c r="C18" s="2249"/>
      <c r="D18" s="2250"/>
      <c r="E18" s="2251" t="s">
        <v>1947</v>
      </c>
      <c r="F18" s="2252" t="s">
        <v>1948</v>
      </c>
      <c r="G18" s="2253" t="s">
        <v>1949</v>
      </c>
      <c r="H18" s="1264" t="s">
        <v>1950</v>
      </c>
      <c r="I18" s="2254" t="s">
        <v>1951</v>
      </c>
      <c r="J18" s="1393"/>
      <c r="K18" s="1264" t="s">
        <v>1952</v>
      </c>
      <c r="L18" s="2255" t="s">
        <v>1953</v>
      </c>
      <c r="M18" s="1048" t="s">
        <v>1954</v>
      </c>
      <c r="N18" s="1264" t="s">
        <v>1952</v>
      </c>
      <c r="O18" s="2255" t="s">
        <v>1953</v>
      </c>
      <c r="P18" s="1048" t="s">
        <v>1954</v>
      </c>
      <c r="R18" s="1249" t="s">
        <v>1955</v>
      </c>
      <c r="S18" s="1249" t="s">
        <v>1956</v>
      </c>
    </row>
    <row r="19" spans="1:19">
      <c r="A19" s="2256"/>
      <c r="B19" s="50" t="s">
        <v>1929</v>
      </c>
      <c r="C19" s="2955" t="s">
        <v>3243</v>
      </c>
      <c r="D19" s="48">
        <f>ROUND($D$3*E19/$E$3,2)</f>
        <v>0</v>
      </c>
      <c r="E19" s="56">
        <f t="shared" ref="E19:E26" si="1">SUM(F19:G19)</f>
        <v>25792.44</v>
      </c>
      <c r="F19" s="57">
        <f>'数据-基础表'!I5</f>
        <v>25792.44</v>
      </c>
      <c r="G19" s="58"/>
      <c r="H19" s="722">
        <f>ROUND($D$3*I19/$E$3,2)</f>
        <v>0</v>
      </c>
      <c r="I19" s="51">
        <f t="shared" ref="I19:I26" si="2">IF($I$17="自定义",P19,M19)</f>
        <v>0</v>
      </c>
      <c r="J19" s="1393"/>
      <c r="K19" s="1392">
        <f t="shared" ref="K19:K26" si="3">ROUND(E$28*E19/E$27,2)</f>
        <v>0</v>
      </c>
      <c r="L19" s="1249">
        <f t="shared" ref="L19:L26" si="4">ROUND(IF(COUNTIF(C19,"*住宅*")&gt;0,E$29*E19/E$32,0),2)</f>
        <v>0</v>
      </c>
      <c r="M19" s="1404">
        <f>K19+L19</f>
        <v>0</v>
      </c>
      <c r="N19" s="2257"/>
      <c r="O19" s="2258"/>
      <c r="P19" s="1404">
        <f>N19+O19</f>
        <v>0</v>
      </c>
      <c r="R19" s="1249">
        <f t="shared" ref="R19:S26" si="5">D19+H19</f>
        <v>0</v>
      </c>
      <c r="S19" s="1250">
        <f t="shared" si="5"/>
        <v>25792.44</v>
      </c>
    </row>
    <row r="20" spans="1:19">
      <c r="A20" s="2259"/>
      <c r="B20" s="50" t="s">
        <v>1957</v>
      </c>
      <c r="C20" s="2955"/>
      <c r="D20" s="48">
        <f t="shared" ref="D20:D26" si="6">ROUND($D$3*E20/$E$3,2)</f>
        <v>0</v>
      </c>
      <c r="E20" s="56">
        <f t="shared" si="1"/>
        <v>0</v>
      </c>
      <c r="F20" s="57">
        <f>'数据-基础表'!K5</f>
        <v>0</v>
      </c>
      <c r="G20" s="58"/>
      <c r="H20" s="722">
        <f t="shared" ref="H20:H26" si="7">ROUND($D$3*I20/$E$3,2)</f>
        <v>0</v>
      </c>
      <c r="I20" s="51">
        <f t="shared" si="2"/>
        <v>0</v>
      </c>
      <c r="J20" s="1393"/>
      <c r="K20" s="1392">
        <f t="shared" si="3"/>
        <v>0</v>
      </c>
      <c r="L20" s="1249">
        <f t="shared" si="4"/>
        <v>0</v>
      </c>
      <c r="M20" s="1404">
        <f t="shared" ref="M20:M26" si="8">K20+L20</f>
        <v>0</v>
      </c>
      <c r="N20" s="2257"/>
      <c r="O20" s="2258"/>
      <c r="P20" s="1404">
        <f t="shared" ref="P20:P26" si="9">N20+O20</f>
        <v>0</v>
      </c>
      <c r="R20" s="1249">
        <f t="shared" si="5"/>
        <v>0</v>
      </c>
      <c r="S20" s="1250">
        <f t="shared" si="5"/>
        <v>0</v>
      </c>
    </row>
    <row r="21" spans="1:19">
      <c r="A21" s="2259"/>
      <c r="B21" s="50" t="s">
        <v>1957</v>
      </c>
      <c r="C21" s="2955"/>
      <c r="D21" s="48">
        <f t="shared" si="6"/>
        <v>0</v>
      </c>
      <c r="E21" s="56">
        <f t="shared" si="1"/>
        <v>0</v>
      </c>
      <c r="F21" s="57"/>
      <c r="G21" s="58">
        <f>'数据-基础表'!M5</f>
        <v>0</v>
      </c>
      <c r="H21" s="722">
        <f t="shared" si="7"/>
        <v>0</v>
      </c>
      <c r="I21" s="51">
        <f t="shared" si="2"/>
        <v>0</v>
      </c>
      <c r="J21" s="1393"/>
      <c r="K21" s="1392">
        <f t="shared" si="3"/>
        <v>0</v>
      </c>
      <c r="L21" s="1249">
        <f t="shared" si="4"/>
        <v>0</v>
      </c>
      <c r="M21" s="1404">
        <f t="shared" si="8"/>
        <v>0</v>
      </c>
      <c r="N21" s="2257"/>
      <c r="O21" s="2258"/>
      <c r="P21" s="1404">
        <f t="shared" si="9"/>
        <v>0</v>
      </c>
      <c r="R21" s="1249">
        <f t="shared" si="5"/>
        <v>0</v>
      </c>
      <c r="S21" s="1250">
        <f t="shared" si="5"/>
        <v>0</v>
      </c>
    </row>
    <row r="22" spans="1:19">
      <c r="A22" s="2259"/>
      <c r="B22" s="50" t="s">
        <v>1957</v>
      </c>
      <c r="C22" s="60"/>
      <c r="D22" s="48">
        <f t="shared" si="6"/>
        <v>0</v>
      </c>
      <c r="E22" s="56">
        <f t="shared" si="1"/>
        <v>0</v>
      </c>
      <c r="F22" s="61"/>
      <c r="G22" s="62"/>
      <c r="H22" s="722">
        <f t="shared" si="7"/>
        <v>0</v>
      </c>
      <c r="I22" s="51">
        <f t="shared" si="2"/>
        <v>0</v>
      </c>
      <c r="J22" s="1393"/>
      <c r="K22" s="1392">
        <f t="shared" si="3"/>
        <v>0</v>
      </c>
      <c r="L22" s="1249">
        <f t="shared" si="4"/>
        <v>0</v>
      </c>
      <c r="M22" s="1404">
        <f t="shared" si="8"/>
        <v>0</v>
      </c>
      <c r="N22" s="2257"/>
      <c r="O22" s="2258"/>
      <c r="P22" s="1404">
        <f t="shared" si="9"/>
        <v>0</v>
      </c>
      <c r="R22" s="1249">
        <f t="shared" si="5"/>
        <v>0</v>
      </c>
      <c r="S22" s="1250">
        <f t="shared" si="5"/>
        <v>0</v>
      </c>
    </row>
    <row r="23" spans="1:19">
      <c r="A23" s="2259"/>
      <c r="B23" s="50" t="s">
        <v>1957</v>
      </c>
      <c r="C23" s="60"/>
      <c r="D23" s="48">
        <f>ROUND($D$3*E23/$E$3,2)</f>
        <v>0</v>
      </c>
      <c r="E23" s="56">
        <f>SUM(F23:G23)</f>
        <v>0</v>
      </c>
      <c r="F23" s="61"/>
      <c r="G23" s="62"/>
      <c r="H23" s="722">
        <f>ROUND($D$3*I23/$E$3,2)</f>
        <v>0</v>
      </c>
      <c r="I23" s="51">
        <f t="shared" si="2"/>
        <v>0</v>
      </c>
      <c r="J23" s="1393"/>
      <c r="K23" s="1392">
        <f t="shared" si="3"/>
        <v>0</v>
      </c>
      <c r="L23" s="1249">
        <f t="shared" si="4"/>
        <v>0</v>
      </c>
      <c r="M23" s="1404">
        <f t="shared" si="8"/>
        <v>0</v>
      </c>
      <c r="N23" s="2257"/>
      <c r="O23" s="2258"/>
      <c r="P23" s="1404">
        <f t="shared" si="9"/>
        <v>0</v>
      </c>
      <c r="R23" s="1249">
        <f t="shared" si="5"/>
        <v>0</v>
      </c>
      <c r="S23" s="1250">
        <f t="shared" si="5"/>
        <v>0</v>
      </c>
    </row>
    <row r="24" spans="1:19">
      <c r="A24" s="2259"/>
      <c r="B24" s="50" t="s">
        <v>1957</v>
      </c>
      <c r="C24" s="60"/>
      <c r="D24" s="48">
        <f>ROUND($D$3*E24/$E$3,2)</f>
        <v>0</v>
      </c>
      <c r="E24" s="56">
        <f>SUM(F24:G24)</f>
        <v>0</v>
      </c>
      <c r="F24" s="61"/>
      <c r="G24" s="62"/>
      <c r="H24" s="722">
        <f>ROUND($D$3*I24/$E$3,2)</f>
        <v>0</v>
      </c>
      <c r="I24" s="51">
        <f t="shared" si="2"/>
        <v>0</v>
      </c>
      <c r="J24" s="1393"/>
      <c r="K24" s="1392">
        <f t="shared" si="3"/>
        <v>0</v>
      </c>
      <c r="L24" s="1249">
        <f t="shared" si="4"/>
        <v>0</v>
      </c>
      <c r="M24" s="1404">
        <f t="shared" si="8"/>
        <v>0</v>
      </c>
      <c r="N24" s="2257"/>
      <c r="O24" s="2258"/>
      <c r="P24" s="1404">
        <f t="shared" si="9"/>
        <v>0</v>
      </c>
      <c r="R24" s="1249">
        <f t="shared" si="5"/>
        <v>0</v>
      </c>
      <c r="S24" s="1250">
        <f t="shared" si="5"/>
        <v>0</v>
      </c>
    </row>
    <row r="25" spans="1:19">
      <c r="A25" s="2259"/>
      <c r="B25" s="50" t="s">
        <v>1957</v>
      </c>
      <c r="C25" s="60"/>
      <c r="D25" s="48">
        <f t="shared" si="6"/>
        <v>0</v>
      </c>
      <c r="E25" s="56">
        <f t="shared" si="1"/>
        <v>0</v>
      </c>
      <c r="F25" s="61"/>
      <c r="G25" s="62"/>
      <c r="H25" s="47">
        <f t="shared" si="7"/>
        <v>0</v>
      </c>
      <c r="I25" s="51">
        <f t="shared" si="2"/>
        <v>0</v>
      </c>
      <c r="J25" s="1393"/>
      <c r="K25" s="1392">
        <f t="shared" si="3"/>
        <v>0</v>
      </c>
      <c r="L25" s="1249">
        <f t="shared" si="4"/>
        <v>0</v>
      </c>
      <c r="M25" s="1404">
        <f t="shared" si="8"/>
        <v>0</v>
      </c>
      <c r="N25" s="2257"/>
      <c r="O25" s="2258"/>
      <c r="P25" s="1404">
        <f t="shared" si="9"/>
        <v>0</v>
      </c>
      <c r="R25" s="1249">
        <f t="shared" si="5"/>
        <v>0</v>
      </c>
      <c r="S25" s="1250">
        <f t="shared" si="5"/>
        <v>0</v>
      </c>
    </row>
    <row r="26" spans="1:19">
      <c r="A26" s="2259"/>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9">
        <f t="shared" si="5"/>
        <v>0</v>
      </c>
      <c r="S26" s="1250">
        <f t="shared" si="5"/>
        <v>0</v>
      </c>
    </row>
    <row r="27" spans="1:19" ht="15.75" thickBot="1">
      <c r="A27" s="2259"/>
      <c r="B27" s="48"/>
      <c r="C27" s="2262" t="s">
        <v>1958</v>
      </c>
      <c r="D27" s="1394">
        <f>SUM(D19:D26)</f>
        <v>0</v>
      </c>
      <c r="E27" s="1395">
        <f>IF(SUM(E19:E26)='数据-基础表'!BA5,SUM(E19:E26),IF(F27="地上面积有误","面积有误","地下面积有误"))</f>
        <v>25792.44</v>
      </c>
      <c r="F27" s="1394">
        <f>IF(SUM(F19:F26)=E8,SUM(F19:F26),"地上面积有误")</f>
        <v>25792.44</v>
      </c>
      <c r="G27" s="1396">
        <f>SUM(G19:G26)</f>
        <v>0</v>
      </c>
      <c r="H27" s="1397">
        <f>SUM(H19:H26)</f>
        <v>0</v>
      </c>
      <c r="I27" s="1398">
        <f>SUM(I19:I26)</f>
        <v>0</v>
      </c>
      <c r="J27" s="1393"/>
      <c r="K27" s="1401">
        <f t="shared" ref="K27:P27" si="10">SUM(K19:K26)</f>
        <v>0</v>
      </c>
      <c r="L27" s="1402">
        <f t="shared" si="10"/>
        <v>0</v>
      </c>
      <c r="M27" s="1405">
        <f t="shared" si="10"/>
        <v>0</v>
      </c>
      <c r="N27" s="1401">
        <f t="shared" si="10"/>
        <v>0</v>
      </c>
      <c r="O27" s="1402">
        <f t="shared" si="10"/>
        <v>0</v>
      </c>
      <c r="P27" s="1403">
        <f t="shared" si="10"/>
        <v>0</v>
      </c>
      <c r="R27" s="1251">
        <f>IF(SUM(R19:R26)=$D$3,SUM(R19:R26),SUM(R19:R26)&amp;"误差"&amp;ROUND(SUM(R19:R26)-$D$3,2))</f>
        <v>0</v>
      </c>
      <c r="S27" s="1249">
        <f>IF(SUM(S19:S26)=$E$3,SUM(S19:S26),SUM(S19:S26)&amp;"误差"&amp;ROUND(SUM(S19:S26)-E3,2))</f>
        <v>25792.44</v>
      </c>
    </row>
    <row r="28" spans="1:19">
      <c r="A28" s="2259"/>
      <c r="B28" s="50" t="s">
        <v>1959</v>
      </c>
      <c r="C28" s="1261"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1959</v>
      </c>
      <c r="C29" s="2263"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1958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9" t="s">
        <v>1962</v>
      </c>
      <c r="D31" s="728">
        <f>D27+D30</f>
        <v>0</v>
      </c>
      <c r="E31" s="728">
        <f>E27+E30</f>
        <v>25792.44</v>
      </c>
      <c r="F31" s="729">
        <f>F27+F30</f>
        <v>25792.44</v>
      </c>
      <c r="G31" s="730">
        <f>G27+G30</f>
        <v>0</v>
      </c>
      <c r="H31" s="1393"/>
      <c r="I31" s="1393"/>
      <c r="J31" s="1393"/>
      <c r="K31" s="1393"/>
      <c r="L31" s="1393"/>
      <c r="M31" s="1393"/>
      <c r="N31" s="1393"/>
      <c r="O31" s="1393"/>
      <c r="P31" s="1393"/>
    </row>
    <row r="32" spans="1:19">
      <c r="A32" s="2230"/>
      <c r="B32" s="2230" t="s">
        <v>1963</v>
      </c>
      <c r="C32" s="2230"/>
      <c r="D32" s="2230"/>
      <c r="E32" s="1275">
        <f>SUMIF(C19:C26,"*住宅*",E19:E26)</f>
        <v>0</v>
      </c>
      <c r="F32" s="2230"/>
      <c r="G32" s="2230"/>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0" priority="1" stopIfTrue="1" operator="containsText" text="面积有误">
      <formula>NOT(ISERROR(SEARCH("面积有误",E27)))</formula>
    </cfRule>
    <cfRule type="cellIs" dxfId="129" priority="3" stopIfTrue="1" operator="equal">
      <formula>"地下面积有误"</formula>
    </cfRule>
  </conditionalFormatting>
  <conditionalFormatting sqref="F27">
    <cfRule type="cellIs" dxfId="12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tabSelected="1"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8.625" style="2271" bestFit="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1964</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1965</v>
      </c>
      <c r="B2" s="2982">
        <f>项目基本情况!D3</f>
        <v>43692</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1966</v>
      </c>
      <c r="B4" s="2277"/>
      <c r="C4" s="2278"/>
      <c r="D4" s="2279"/>
      <c r="E4" s="2278" t="s">
        <v>1967</v>
      </c>
      <c r="F4" s="2278"/>
      <c r="G4" s="2278"/>
      <c r="H4" s="2278"/>
      <c r="I4" s="2278"/>
      <c r="J4" s="2280"/>
      <c r="K4" s="2281"/>
      <c r="L4" s="2282"/>
      <c r="M4" s="2278"/>
      <c r="N4" s="2278" t="s">
        <v>1968</v>
      </c>
      <c r="O4" s="2278"/>
      <c r="P4" s="2278"/>
      <c r="Q4" s="2278"/>
      <c r="R4" s="2278"/>
      <c r="S4" s="2280"/>
      <c r="T4" s="2283" t="str">
        <f>'数据-汇总表'!I17</f>
        <v>按面积比例</v>
      </c>
      <c r="U4" s="2277" t="s">
        <v>1969</v>
      </c>
      <c r="V4" s="2278"/>
      <c r="W4" s="2278"/>
      <c r="X4" s="2278"/>
      <c r="Y4" s="2280"/>
      <c r="Z4" s="2241" t="s">
        <v>1970</v>
      </c>
      <c r="AA4" s="2241"/>
      <c r="AB4" s="2241"/>
      <c r="AC4" s="2241"/>
      <c r="AD4" s="2241"/>
      <c r="AE4" s="2239" t="s">
        <v>1971</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1972</v>
      </c>
      <c r="B5" s="2286" t="s">
        <v>1973</v>
      </c>
      <c r="C5" s="2287" t="s">
        <v>1974</v>
      </c>
      <c r="D5" s="2288" t="s">
        <v>1975</v>
      </c>
      <c r="E5" s="1269" t="s">
        <v>1976</v>
      </c>
      <c r="F5" s="2289" t="s">
        <v>1977</v>
      </c>
      <c r="G5" s="1269" t="s">
        <v>1978</v>
      </c>
      <c r="H5" s="1269" t="s">
        <v>1979</v>
      </c>
      <c r="I5" s="1269" t="s">
        <v>1980</v>
      </c>
      <c r="J5" s="2290" t="s">
        <v>1981</v>
      </c>
      <c r="K5" s="2291" t="s">
        <v>1982</v>
      </c>
      <c r="L5" s="2292" t="s">
        <v>1983</v>
      </c>
      <c r="M5" s="2293" t="s">
        <v>1984</v>
      </c>
      <c r="N5" s="2294" t="s">
        <v>3215</v>
      </c>
      <c r="O5" s="2292" t="s">
        <v>1985</v>
      </c>
      <c r="P5" s="2295" t="s">
        <v>1986</v>
      </c>
      <c r="Q5" s="69" t="s">
        <v>1987</v>
      </c>
      <c r="R5" s="2296" t="s">
        <v>1988</v>
      </c>
      <c r="S5" s="2297" t="s">
        <v>1989</v>
      </c>
      <c r="T5" s="2298" t="s">
        <v>1990</v>
      </c>
      <c r="U5" s="1268" t="s">
        <v>1991</v>
      </c>
      <c r="V5" s="1269" t="s">
        <v>1992</v>
      </c>
      <c r="W5" s="1269" t="s">
        <v>1993</v>
      </c>
      <c r="X5" s="71"/>
      <c r="Y5" s="70" t="s">
        <v>1994</v>
      </c>
      <c r="Z5" s="2299" t="s">
        <v>1991</v>
      </c>
      <c r="AA5" s="1269" t="s">
        <v>1992</v>
      </c>
      <c r="AB5" s="1269" t="s">
        <v>1993</v>
      </c>
      <c r="AC5" s="71"/>
      <c r="AD5" s="71" t="s">
        <v>1994</v>
      </c>
      <c r="AE5" s="1268" t="s">
        <v>1995</v>
      </c>
      <c r="AF5" s="1269" t="s">
        <v>1996</v>
      </c>
      <c r="AG5" s="70" t="s">
        <v>1997</v>
      </c>
      <c r="AH5" s="1268" t="s">
        <v>1998</v>
      </c>
      <c r="AI5" s="2299" t="s">
        <v>1999</v>
      </c>
      <c r="AJ5" s="2299" t="s">
        <v>2000</v>
      </c>
      <c r="AK5" s="1269" t="s">
        <v>2001</v>
      </c>
      <c r="AL5" s="1269" t="s">
        <v>2002</v>
      </c>
      <c r="AM5" s="70" t="s">
        <v>2003</v>
      </c>
      <c r="AN5" s="2300" t="s">
        <v>2004</v>
      </c>
      <c r="AO5" s="2071" t="s">
        <v>2005</v>
      </c>
      <c r="AP5" s="1251" t="s">
        <v>2006</v>
      </c>
      <c r="AQ5" s="2301" t="s">
        <v>2007</v>
      </c>
      <c r="AR5" s="2301"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办公用房</v>
      </c>
      <c r="B6" s="2303" t="str">
        <f>IF(A6=0,"","经营性")</f>
        <v>经营性</v>
      </c>
      <c r="C6" s="2304" t="s">
        <v>27</v>
      </c>
      <c r="D6" s="1053">
        <f>SUMIF(项目基本情况!D$12:I$12,C6,项目基本情况!D$14:I$14)</f>
        <v>40</v>
      </c>
      <c r="E6" s="1050">
        <f>IF(B6="","",SUMIF(项目基本情况!D$12:I$12,C6,项目基本情况!D$13:I$13))</f>
        <v>57572</v>
      </c>
      <c r="F6" s="72">
        <f>SUMIF(项目基本情况!D$12:I$12,C6,项目基本情况!D$15:I$15)</f>
        <v>38.020000000000003</v>
      </c>
      <c r="G6" s="73">
        <f t="shared" ref="G6:G13" si="0">IF(ISERROR(ROUND(POWER(1+H6,D6-F6)*(POWER(1+H6,F6)-1)/(POWER(1+H6,D6)-1),3)),0,ROUND(POWER(1+H6,D6-F6)*(POWER(1+H6,F6)-1)/(POWER(1+H6,D6)-1),3))</f>
        <v>0.97899999999999998</v>
      </c>
      <c r="H6" s="801">
        <v>0.04</v>
      </c>
      <c r="I6" s="801">
        <v>0.05</v>
      </c>
      <c r="J6" s="74">
        <v>0.08</v>
      </c>
      <c r="K6" s="1253">
        <f>SUMIF('数据-汇总表'!C$19:C$33,A6,'数据-汇总表'!E$19:E$33)</f>
        <v>25792.44</v>
      </c>
      <c r="L6" s="802">
        <v>4500</v>
      </c>
      <c r="M6" s="75">
        <f t="shared" ref="M6:M14" si="1">ROUND(K6*L6/10000,0)</f>
        <v>11607</v>
      </c>
      <c r="N6" s="473">
        <v>1</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4">
        <f>ROUND($L$14*S6/10000,0)</f>
        <v>0</v>
      </c>
      <c r="U6" s="78">
        <v>1.5</v>
      </c>
      <c r="V6" s="79">
        <v>0.03</v>
      </c>
      <c r="W6" s="79">
        <v>0.1</v>
      </c>
      <c r="X6" s="1263"/>
      <c r="Y6" s="80">
        <v>1</v>
      </c>
      <c r="Z6" s="81"/>
      <c r="AA6" s="74"/>
      <c r="AB6" s="74"/>
      <c r="AC6" s="1263"/>
      <c r="AD6" s="82"/>
      <c r="AE6" s="1264">
        <f ca="1">IF(AN6="",0,SUMIF(INDIRECT("'"&amp;AN6&amp;"'"&amp;"!E:E"),$AE$5,INDIRECT("'"&amp;AN6&amp;"'"&amp;"!F:F")))</f>
        <v>38.020000000000003</v>
      </c>
      <c r="AF6" s="1805"/>
      <c r="AG6" s="147">
        <f>IF(AF6="",0,AE6-AF6)</f>
        <v>0</v>
      </c>
      <c r="AH6" s="2975">
        <f>K6</f>
        <v>25792.44</v>
      </c>
      <c r="AI6" s="85">
        <v>365</v>
      </c>
      <c r="AJ6" s="86"/>
      <c r="AK6" s="87">
        <v>1.4999999999999999E-2</v>
      </c>
      <c r="AL6" s="88">
        <v>1.5E-3</v>
      </c>
      <c r="AM6" s="2976">
        <v>0.01</v>
      </c>
      <c r="AN6" s="2977" t="s">
        <v>3211</v>
      </c>
      <c r="AO6" s="55">
        <f ca="1">SUMIF(INDIRECT("'"&amp;AN6&amp;"'"&amp;"!A:A"),"总价",INDIRECT("'"&amp;AN6&amp;"'"&amp;"!B:B"))</f>
        <v>20072</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f>'数据-汇总表'!C20</f>
        <v>0</v>
      </c>
      <c r="B7" s="2303" t="str">
        <f t="shared" ref="B7:B13" si="2">IF(A7=0,"","经营性")</f>
        <v/>
      </c>
      <c r="C7" s="2304"/>
      <c r="D7" s="1053">
        <f>SUMIF(项目基本情况!D$12:I$12,C7,项目基本情况!D$14:I$14)</f>
        <v>0</v>
      </c>
      <c r="E7" s="1050" t="str">
        <f>IF(B7="","",SUMIF(项目基本情况!D$12:I$12,C7,项目基本情况!D$13:I$13))</f>
        <v/>
      </c>
      <c r="F7" s="72">
        <f>SUMIF(项目基本情况!D$12:I$12,C7,项目基本情况!D$15:I$15)</f>
        <v>0</v>
      </c>
      <c r="G7" s="73">
        <f t="shared" si="0"/>
        <v>0</v>
      </c>
      <c r="H7" s="801"/>
      <c r="I7" s="801"/>
      <c r="J7" s="74"/>
      <c r="K7" s="1253">
        <f>SUMIF('数据-汇总表'!C$19:C$33,A7,'数据-汇总表'!E$19:E$33)</f>
        <v>0</v>
      </c>
      <c r="L7" s="802"/>
      <c r="M7" s="75">
        <f t="shared" si="1"/>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f>'数据-汇总表'!C21</f>
        <v>0</v>
      </c>
      <c r="B8" s="2303" t="str">
        <f t="shared" si="2"/>
        <v/>
      </c>
      <c r="C8" s="2304"/>
      <c r="D8" s="1053">
        <f>SUMIF(项目基本情况!D$12:I$12,C8,项目基本情况!D$14:I$14)</f>
        <v>0</v>
      </c>
      <c r="E8" s="1050" t="str">
        <f>IF(B8="","",SUMIF(项目基本情况!D$12:I$12,C8,项目基本情况!D$13:I$13))</f>
        <v/>
      </c>
      <c r="F8" s="72">
        <f>SUMIF(项目基本情况!D$12:I$12,C8,项目基本情况!D$15:I$15)</f>
        <v>0</v>
      </c>
      <c r="G8" s="73">
        <f t="shared" si="0"/>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3"/>
      <c r="Y8" s="806"/>
      <c r="Z8" s="81"/>
      <c r="AA8" s="74"/>
      <c r="AB8" s="74"/>
      <c r="AC8" s="1263"/>
      <c r="AD8" s="82"/>
      <c r="AE8" s="1264">
        <f t="shared" ca="1" si="6"/>
        <v>0</v>
      </c>
      <c r="AF8" s="1805"/>
      <c r="AG8" s="147">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2"/>
        <v/>
      </c>
      <c r="C9" s="2304"/>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2"/>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2"/>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2"/>
        <v/>
      </c>
      <c r="C12" s="2304"/>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2"/>
        <v/>
      </c>
      <c r="C13" s="2304"/>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2009</v>
      </c>
      <c r="B14" s="2303" t="s">
        <v>2010</v>
      </c>
      <c r="C14" s="2308" t="s">
        <v>2009</v>
      </c>
      <c r="D14" s="1053"/>
      <c r="E14" s="1050"/>
      <c r="F14" s="72"/>
      <c r="G14" s="73"/>
      <c r="H14" s="1252"/>
      <c r="I14" s="1252"/>
      <c r="J14" s="1252"/>
      <c r="K14" s="1253">
        <f>SUMIF('数据-汇总表'!C$19:C$33,A14,'数据-汇总表'!E$19:E$33)</f>
        <v>0</v>
      </c>
      <c r="L14" s="91"/>
      <c r="M14" s="75">
        <f t="shared" si="1"/>
        <v>0</v>
      </c>
      <c r="N14" s="92"/>
      <c r="O14" s="75" t="str">
        <f t="shared" si="3"/>
        <v>——</v>
      </c>
      <c r="P14" s="76" t="str">
        <f t="shared" si="4"/>
        <v>——</v>
      </c>
      <c r="Q14" s="1256"/>
      <c r="R14" s="77"/>
      <c r="S14" s="54"/>
      <c r="T14" s="1444"/>
      <c r="U14" s="722"/>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2011</v>
      </c>
      <c r="B15" s="2303" t="s">
        <v>2010</v>
      </c>
      <c r="C15" s="2308" t="s">
        <v>2012</v>
      </c>
      <c r="D15" s="1053"/>
      <c r="E15" s="1050"/>
      <c r="F15" s="72"/>
      <c r="G15" s="73"/>
      <c r="H15" s="1252"/>
      <c r="I15" s="1252"/>
      <c r="J15" s="1252"/>
      <c r="K15" s="1253">
        <f>SUMIF('数据-汇总表'!C$19:C$33,A15,'数据-汇总表'!E$19:E$33)</f>
        <v>0</v>
      </c>
      <c r="L15" s="1254"/>
      <c r="M15" s="75"/>
      <c r="N15" s="1255"/>
      <c r="O15" s="75"/>
      <c r="P15" s="76"/>
      <c r="Q15" s="1256"/>
      <c r="R15" s="77"/>
      <c r="S15" s="54"/>
      <c r="T15" s="1444"/>
      <c r="U15" s="722"/>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2013</v>
      </c>
      <c r="B16" s="97"/>
      <c r="C16" s="1007"/>
      <c r="D16" s="2310"/>
      <c r="E16" s="97"/>
      <c r="F16" s="97"/>
      <c r="G16" s="98">
        <f>ROUND(SUMPRODUCT(G6:G13,K6:K13)/SUMPRODUCT((G6:G13&gt;0)*(K6:K13)),3)</f>
        <v>0.97899999999999998</v>
      </c>
      <c r="H16" s="99">
        <f>ROUND(SUMPRODUCT(H6:H13,K6:K13)/SUMPRODUCT((H6:H13&gt;0)*(K6:K13)),3)</f>
        <v>0.04</v>
      </c>
      <c r="I16" s="100"/>
      <c r="J16" s="100"/>
      <c r="K16" s="101">
        <f>SUM(K6:K15)</f>
        <v>25792.44</v>
      </c>
      <c r="L16" s="102">
        <f>ROUND(M16*10000/SUM(K6:K14),0)</f>
        <v>4500</v>
      </c>
      <c r="M16" s="102">
        <f>SUM(M6:M14)</f>
        <v>11607</v>
      </c>
      <c r="N16" s="103">
        <f>ROUND(SUMPRODUCT(M6:M14,N6:N14)/M16,3)</f>
        <v>1</v>
      </c>
      <c r="O16" s="102">
        <f>SUM(O6:O14)</f>
        <v>0</v>
      </c>
      <c r="P16" s="102">
        <f>SUM(P6:P14)</f>
        <v>0</v>
      </c>
      <c r="Q16" s="104">
        <f>ROUND(SUMPRODUCT(Q6:Q13,K6:K13)/SUMPRODUCT((Q6:Q13&gt;0)*(K6:K13)),2)</f>
        <v>0.15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2015</v>
      </c>
      <c r="B19" s="112">
        <v>0</v>
      </c>
      <c r="C19" s="2273" t="s">
        <v>2016</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2017</v>
      </c>
      <c r="B20" s="113">
        <v>2</v>
      </c>
      <c r="C20" s="2273" t="s">
        <v>2018</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2019</v>
      </c>
      <c r="B21" s="113">
        <v>2</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2020</v>
      </c>
      <c r="B22" s="114">
        <f>B19+B20</f>
        <v>2</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2021</v>
      </c>
      <c r="B23" s="114">
        <f>B19+B21</f>
        <v>2</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2022</v>
      </c>
      <c r="B24" s="115">
        <f>B20-B21</f>
        <v>0</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2023</v>
      </c>
      <c r="B26" s="2316" t="s">
        <v>2024</v>
      </c>
      <c r="C26" s="2317" t="s">
        <v>2025</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2026</v>
      </c>
      <c r="B27" s="116"/>
      <c r="C27" s="1765" t="s">
        <v>2027</v>
      </c>
      <c r="D27" s="2319"/>
      <c r="E27" s="1428"/>
      <c r="F27" s="1428"/>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2028</v>
      </c>
      <c r="B28" s="119">
        <v>230</v>
      </c>
      <c r="C28" s="2322"/>
      <c r="D28" s="2319"/>
      <c r="E28" s="1428"/>
      <c r="F28" s="1428"/>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2029</v>
      </c>
      <c r="B29" s="121">
        <f>ROUND(B28*K16/10000,0)</f>
        <v>593</v>
      </c>
      <c r="C29" s="1765" t="s">
        <v>2030</v>
      </c>
      <c r="D29" s="2319"/>
      <c r="E29" s="1428"/>
      <c r="F29" s="1428"/>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2031</v>
      </c>
      <c r="B30" s="723">
        <v>150</v>
      </c>
      <c r="C30" s="2322"/>
      <c r="D30" s="2319"/>
      <c r="E30" s="1428"/>
      <c r="F30" s="1428"/>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2032</v>
      </c>
      <c r="B31" s="120">
        <f>B30-B32</f>
        <v>150</v>
      </c>
      <c r="C31" s="1765"/>
      <c r="D31" s="2319"/>
      <c r="E31" s="1428"/>
      <c r="F31" s="1428"/>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2033</v>
      </c>
      <c r="B32" s="724">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2034</v>
      </c>
      <c r="B33" s="725">
        <v>0.03</v>
      </c>
      <c r="C33" s="1764" t="s">
        <v>2035</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2036</v>
      </c>
      <c r="B34" s="122">
        <v>0</v>
      </c>
      <c r="C34" s="1764" t="s">
        <v>2037</v>
      </c>
      <c r="D34" s="2274" t="s">
        <v>2038</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2039</v>
      </c>
      <c r="B35" s="119">
        <f>B30</f>
        <v>150</v>
      </c>
      <c r="C35" s="1764" t="s">
        <v>2040</v>
      </c>
      <c r="D35" s="2319"/>
      <c r="E35" s="1428"/>
      <c r="F35" s="1428"/>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2041</v>
      </c>
      <c r="B36" s="123">
        <v>1.4999999999999999E-2</v>
      </c>
      <c r="C36" s="1764" t="s">
        <v>2042</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2043</v>
      </c>
      <c r="B37" s="124">
        <v>0.01</v>
      </c>
      <c r="C37" s="1764" t="s">
        <v>2044</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2045</v>
      </c>
      <c r="B38" s="122">
        <v>0.01</v>
      </c>
      <c r="C38" s="1764" t="s">
        <v>2044</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2046</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2047</v>
      </c>
      <c r="B40" s="1301">
        <f ca="1">存贷款利率!G1</f>
        <v>4.7500000000000001E-2</v>
      </c>
      <c r="C40" s="1764" t="s">
        <v>2048</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2049</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2050</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2051</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2052</v>
      </c>
      <c r="B44" s="128">
        <v>0.05</v>
      </c>
      <c r="C44" s="1764" t="s">
        <v>2053</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2054</v>
      </c>
      <c r="B45" s="126">
        <v>0.03</v>
      </c>
      <c r="C45" s="1765" t="s">
        <v>2055</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2056</v>
      </c>
      <c r="B46" s="126">
        <v>0.02</v>
      </c>
      <c r="C46" s="1765" t="s">
        <v>2057</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2058</v>
      </c>
      <c r="B47" s="129"/>
      <c r="C47" s="1765" t="s">
        <v>2059</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2060</v>
      </c>
      <c r="B48" s="130">
        <v>0.03</v>
      </c>
      <c r="C48" s="1772" t="s">
        <v>2061</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2062</v>
      </c>
      <c r="B49" s="126">
        <v>5.0000000000000001E-4</v>
      </c>
      <c r="C49" s="1772" t="s">
        <v>2063</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2064</v>
      </c>
      <c r="B50" s="131">
        <v>1.2E-2</v>
      </c>
      <c r="C50" s="1428"/>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2065</v>
      </c>
      <c r="B51" s="132">
        <v>0.12</v>
      </c>
      <c r="C51" s="1428"/>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2066</v>
      </c>
      <c r="B52" s="133">
        <f>SUMIF(A54:A63,B53,B54:B63)</f>
        <v>11</v>
      </c>
      <c r="C52" s="1428"/>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2067</v>
      </c>
      <c r="B53" s="2332" t="s">
        <v>442</v>
      </c>
      <c r="C53" s="1428" t="s">
        <v>2068</v>
      </c>
      <c r="D53" s="2333" t="s">
        <v>2069</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2070</v>
      </c>
      <c r="B54" s="84"/>
      <c r="C54" s="1428">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2071</v>
      </c>
      <c r="B55" s="84"/>
      <c r="C55" s="1428">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2072</v>
      </c>
      <c r="B56" s="84">
        <v>11</v>
      </c>
      <c r="C56" s="1428">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2073</v>
      </c>
      <c r="B57" s="84"/>
      <c r="C57" s="1428">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2074</v>
      </c>
      <c r="B58" s="84"/>
      <c r="C58" s="1428">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2075</v>
      </c>
      <c r="B59" s="84"/>
      <c r="C59" s="1428">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2076</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2077</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2078</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2079</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89" t="s">
        <v>2080</v>
      </c>
      <c r="B1" s="3090"/>
      <c r="C1" s="3090"/>
      <c r="D1" s="3090"/>
      <c r="E1" s="3090"/>
      <c r="F1" s="3090"/>
      <c r="G1" s="309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2"/>
      <c r="G2" s="2361" t="s">
        <v>2082</v>
      </c>
      <c r="H2" s="2364"/>
      <c r="I2" s="2364"/>
      <c r="J2" s="2364"/>
      <c r="K2" s="2364"/>
      <c r="L2" s="2364"/>
      <c r="M2" s="2364"/>
      <c r="N2" s="2364"/>
      <c r="O2" s="2364"/>
      <c r="P2" s="2364"/>
      <c r="Q2" s="2364"/>
      <c r="R2" s="2364"/>
    </row>
    <row r="3" spans="1:29" ht="54">
      <c r="A3" s="415" t="s">
        <v>2083</v>
      </c>
      <c r="B3" s="1269" t="s">
        <v>2084</v>
      </c>
      <c r="C3" s="2366" t="s">
        <v>2085</v>
      </c>
      <c r="D3" s="2367"/>
      <c r="E3" s="430" t="s">
        <v>2083</v>
      </c>
      <c r="F3" s="2368" t="s">
        <v>2086</v>
      </c>
      <c r="G3" s="2369" t="s">
        <v>2087</v>
      </c>
      <c r="H3" s="2364"/>
      <c r="I3" s="2364"/>
      <c r="J3" s="2364"/>
      <c r="K3" s="2364"/>
      <c r="L3" s="2364"/>
      <c r="M3" s="2364"/>
      <c r="N3" s="2364"/>
      <c r="O3" s="2364"/>
      <c r="P3" s="2364"/>
      <c r="Q3" s="2364"/>
      <c r="R3" s="2364"/>
    </row>
    <row r="4" spans="1:29" ht="41.25">
      <c r="A4" s="430"/>
      <c r="B4" s="1796" t="s">
        <v>2088</v>
      </c>
      <c r="C4" s="2370" t="s">
        <v>2089</v>
      </c>
      <c r="D4" s="2367"/>
      <c r="E4" s="2371"/>
      <c r="F4" s="42" t="s">
        <v>2090</v>
      </c>
      <c r="G4" s="2372" t="s">
        <v>2091</v>
      </c>
      <c r="H4" s="2364"/>
      <c r="I4" s="2364"/>
      <c r="J4" s="2364"/>
      <c r="K4" s="2364"/>
      <c r="L4" s="2364"/>
      <c r="M4" s="2364"/>
      <c r="N4" s="2364"/>
      <c r="O4" s="2364"/>
      <c r="P4" s="2364"/>
      <c r="Q4" s="2364"/>
      <c r="R4" s="2364"/>
    </row>
    <row r="5" spans="1:29" ht="41.25">
      <c r="A5" s="430"/>
      <c r="B5" s="1796" t="s">
        <v>2092</v>
      </c>
      <c r="C5" s="2370" t="s">
        <v>2093</v>
      </c>
      <c r="D5" s="2367"/>
      <c r="E5" s="2371"/>
      <c r="F5" s="1796" t="s">
        <v>2094</v>
      </c>
      <c r="G5" s="2372" t="s">
        <v>2095</v>
      </c>
      <c r="H5" s="2364"/>
      <c r="I5" s="2364"/>
      <c r="J5" s="2364"/>
      <c r="K5" s="2364"/>
      <c r="L5" s="2364"/>
      <c r="M5" s="2364"/>
      <c r="N5" s="2364"/>
      <c r="O5" s="2364"/>
      <c r="P5" s="2364"/>
      <c r="Q5" s="2364"/>
      <c r="R5" s="2364"/>
    </row>
    <row r="6" spans="1:29" ht="54">
      <c r="A6" s="430"/>
      <c r="B6" s="1796" t="s">
        <v>2096</v>
      </c>
      <c r="C6" s="2372" t="s">
        <v>2091</v>
      </c>
      <c r="D6" s="2367"/>
      <c r="E6" s="2371"/>
      <c r="F6" s="1796" t="s">
        <v>2097</v>
      </c>
      <c r="G6" s="2372" t="s">
        <v>2098</v>
      </c>
      <c r="H6" s="2364"/>
      <c r="I6" s="2364"/>
      <c r="J6" s="2364"/>
      <c r="K6" s="2364"/>
      <c r="L6" s="2364"/>
      <c r="M6" s="2364"/>
      <c r="N6" s="2364"/>
      <c r="O6" s="2364"/>
      <c r="P6" s="2364"/>
      <c r="Q6" s="2364"/>
      <c r="R6" s="2364"/>
    </row>
    <row r="7" spans="1:29" ht="41.25" thickBot="1">
      <c r="A7" s="430"/>
      <c r="B7" s="1796" t="s">
        <v>2094</v>
      </c>
      <c r="C7" s="2372" t="s">
        <v>2095</v>
      </c>
      <c r="D7" s="2373"/>
      <c r="E7" s="2374"/>
      <c r="F7" s="2375" t="s">
        <v>2099</v>
      </c>
      <c r="G7" s="2376" t="s">
        <v>2100</v>
      </c>
      <c r="H7" s="2364"/>
      <c r="I7" s="2364"/>
      <c r="J7" s="2364"/>
      <c r="K7" s="2364"/>
      <c r="L7" s="2364"/>
      <c r="M7" s="2364"/>
      <c r="N7" s="2364"/>
      <c r="O7" s="2364"/>
      <c r="P7" s="2364"/>
      <c r="Q7" s="2364"/>
      <c r="R7" s="2364"/>
    </row>
    <row r="8" spans="1:29" ht="27">
      <c r="A8" s="430"/>
      <c r="B8" s="1796" t="s">
        <v>2097</v>
      </c>
      <c r="C8" s="2372" t="s">
        <v>2098</v>
      </c>
      <c r="D8" s="2373"/>
      <c r="E8" s="2373"/>
      <c r="F8" s="1135"/>
      <c r="G8" s="1135"/>
      <c r="H8" s="2364"/>
      <c r="I8" s="2364"/>
      <c r="J8" s="2364"/>
      <c r="K8" s="2364"/>
      <c r="L8" s="2364"/>
      <c r="M8" s="2364"/>
      <c r="N8" s="2364"/>
      <c r="O8" s="2364"/>
      <c r="P8" s="2364"/>
      <c r="Q8" s="2364"/>
      <c r="R8" s="2364"/>
    </row>
    <row r="9" spans="1:29" ht="27">
      <c r="A9" s="430"/>
      <c r="B9" s="1796" t="s">
        <v>2101</v>
      </c>
      <c r="C9" s="2370" t="s">
        <v>2102</v>
      </c>
      <c r="D9" s="2367"/>
      <c r="E9" s="2373"/>
      <c r="F9" s="1135"/>
      <c r="G9" s="1135"/>
      <c r="H9" s="2364"/>
      <c r="I9" s="2364"/>
      <c r="J9" s="2364"/>
      <c r="K9" s="2364"/>
      <c r="L9" s="2364"/>
      <c r="M9" s="2364"/>
      <c r="N9" s="2364"/>
      <c r="O9" s="2364"/>
      <c r="P9" s="2364"/>
      <c r="Q9" s="2364"/>
      <c r="R9" s="2364"/>
    </row>
    <row r="10" spans="1:29" s="117" customFormat="1" ht="15.75" thickBot="1">
      <c r="A10" s="2377"/>
      <c r="B10" s="2378" t="s">
        <v>2103</v>
      </c>
      <c r="C10" s="2379"/>
      <c r="D10" s="2367"/>
      <c r="E10" s="2367"/>
      <c r="F10" s="1135"/>
      <c r="G10" s="1135"/>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3"/>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3"/>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2104</v>
      </c>
      <c r="B13" s="2384"/>
      <c r="C13" s="2384"/>
      <c r="D13" s="2391"/>
      <c r="E13" s="2384"/>
      <c r="F13" s="2384"/>
      <c r="G13" s="2384"/>
    </row>
    <row r="14" spans="1:29" ht="15.75" thickBot="1">
      <c r="A14" s="2395"/>
      <c r="B14" s="2396"/>
      <c r="C14" s="2397" t="s">
        <v>2105</v>
      </c>
      <c r="D14" s="2367"/>
      <c r="E14" s="2398"/>
      <c r="F14" s="2398"/>
      <c r="G14" s="2361" t="s">
        <v>2106</v>
      </c>
    </row>
    <row r="15" spans="1:29" ht="57">
      <c r="A15" s="68" t="s">
        <v>2107</v>
      </c>
      <c r="B15" s="1268" t="s">
        <v>2084</v>
      </c>
      <c r="C15" s="2399" t="str">
        <f>C3</f>
        <v>估价对象周边居住用地比例、居住小区规模和社区发展完善程度，综合评价居住社区成熟度一般</v>
      </c>
      <c r="D15" s="2367"/>
      <c r="E15" s="2400" t="s">
        <v>2108</v>
      </c>
      <c r="F15" s="1268" t="s">
        <v>2109</v>
      </c>
      <c r="G15" s="135" t="str">
        <f>G3</f>
        <v>估价对象位于XX开发区，园区建设成熟度XX，产业集聚程度XX</v>
      </c>
    </row>
    <row r="16" spans="1:29" ht="42.75">
      <c r="A16" s="644"/>
      <c r="B16" s="2401" t="s">
        <v>2088</v>
      </c>
      <c r="C16" s="2402" t="str">
        <f>C4</f>
        <v>估价对象位于XX商圈，周边商业氛围成熟，人流量大，商业繁华度好</v>
      </c>
      <c r="D16" s="2367"/>
      <c r="E16" s="2403"/>
      <c r="F16" s="2404" t="s">
        <v>2090</v>
      </c>
      <c r="G16" s="136" t="str">
        <f>G4</f>
        <v>估价对象周边道路状况、公共交通通达情况、停车便捷程度，综合评价交通便捷度较好</v>
      </c>
    </row>
    <row r="17" spans="1:18" ht="42.75">
      <c r="A17" s="644"/>
      <c r="B17" s="2401" t="s">
        <v>2092</v>
      </c>
      <c r="C17" s="2402" t="str">
        <f>C5</f>
        <v>估价对象位于XX商圈，周边办公楼项目较多，入驻率高，办公集聚程度较好</v>
      </c>
      <c r="D17" s="2373"/>
      <c r="E17" s="2403"/>
      <c r="F17" s="2404" t="s">
        <v>2110</v>
      </c>
      <c r="G17" s="1570"/>
    </row>
    <row r="18" spans="1:18" ht="57">
      <c r="A18" s="644"/>
      <c r="B18" s="2404" t="s">
        <v>2096</v>
      </c>
      <c r="C18" s="136" t="str">
        <f>C6</f>
        <v>估价对象周边道路状况、公共交通通达情况、停车便捷程度，综合评价交通便捷度较好</v>
      </c>
      <c r="D18" s="2373"/>
      <c r="E18" s="2403"/>
      <c r="F18" s="2404" t="s">
        <v>2099</v>
      </c>
      <c r="G18" s="136" t="str">
        <f>G7</f>
        <v>该园区内是否有污染型企业，绿化情况，卫生条件，整体环境状况判断</v>
      </c>
    </row>
    <row r="19" spans="1:18" ht="28.5">
      <c r="A19" s="644"/>
      <c r="B19" s="2404" t="s">
        <v>2111</v>
      </c>
      <c r="C19" s="1570"/>
      <c r="D19" s="2367"/>
      <c r="E19" s="2403"/>
      <c r="F19" s="1796" t="s">
        <v>2094</v>
      </c>
      <c r="G19" s="136" t="str">
        <f>G5</f>
        <v>估价对象所在区域公共配套设施齐备情况</v>
      </c>
    </row>
    <row r="20" spans="1:18" ht="28.5">
      <c r="A20" s="644"/>
      <c r="B20" s="2404" t="s">
        <v>2112</v>
      </c>
      <c r="C20" s="2402" t="str">
        <f>C9</f>
        <v>区域自然环境：；人文环境；综合评价环境状况一般</v>
      </c>
      <c r="D20" s="2373"/>
      <c r="E20" s="2403"/>
      <c r="F20" s="1796" t="s">
        <v>2113</v>
      </c>
      <c r="G20" s="136" t="str">
        <f>G6</f>
        <v>估价对象所在区域基础设施水平</v>
      </c>
    </row>
    <row r="21" spans="1:18" ht="28.5">
      <c r="A21" s="644"/>
      <c r="B21" s="1796" t="s">
        <v>2094</v>
      </c>
      <c r="C21" s="136" t="str">
        <f>C7</f>
        <v>估价对象所在区域公共配套设施齐备情况</v>
      </c>
      <c r="D21" s="2367"/>
      <c r="E21" s="2403"/>
      <c r="F21" s="2404" t="s">
        <v>2114</v>
      </c>
      <c r="G21" s="2405"/>
    </row>
    <row r="22" spans="1:18" ht="13.5" customHeight="1">
      <c r="A22" s="644"/>
      <c r="B22" s="1796" t="s">
        <v>2097</v>
      </c>
      <c r="C22" s="136" t="str">
        <f>C8</f>
        <v>估价对象所在区域基础设施水平</v>
      </c>
      <c r="D22" s="2367"/>
      <c r="E22" s="2403"/>
      <c r="F22" s="2404" t="s">
        <v>2103</v>
      </c>
      <c r="G22" s="1570"/>
    </row>
    <row r="23" spans="1:18" s="2364" customFormat="1" ht="15.75" thickBot="1">
      <c r="A23" s="644"/>
      <c r="B23" s="2404" t="s">
        <v>2114</v>
      </c>
      <c r="C23" s="2405"/>
      <c r="D23" s="2392"/>
      <c r="E23" s="2406"/>
      <c r="F23" s="2407" t="s">
        <v>2115</v>
      </c>
      <c r="G23" s="2408"/>
      <c r="H23" s="2392"/>
      <c r="I23" s="2393"/>
      <c r="J23" s="2392"/>
      <c r="K23" s="2392"/>
      <c r="L23" s="2393"/>
      <c r="M23" s="2392"/>
      <c r="N23" s="2392"/>
      <c r="O23" s="2393"/>
      <c r="P23" s="2392"/>
      <c r="Q23" s="2392"/>
      <c r="R23" s="2394"/>
    </row>
    <row r="24" spans="1:18" s="2364" customFormat="1" ht="15.75" thickBot="1">
      <c r="A24" s="2409"/>
      <c r="B24" s="2407" t="s">
        <v>2116</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25792.44</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43692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19592</v>
      </c>
      <c r="C5" s="1744">
        <f ca="1">ROUND(B5*10000/$B$1,0)</f>
        <v>7596</v>
      </c>
      <c r="D5" s="1744" t="e">
        <f ca="1">ROUND(B5*10000/$B$2,0)</f>
        <v>#DIV/0!</v>
      </c>
      <c r="E5" s="1743"/>
      <c r="F5" s="1741"/>
      <c r="G5" s="1741"/>
    </row>
    <row r="6" spans="1:10" ht="16.5">
      <c r="A6" s="1744" t="s">
        <v>1356</v>
      </c>
      <c r="B6" s="1744">
        <f ca="1">SUM(G14:G23)</f>
        <v>19592</v>
      </c>
      <c r="C6" s="1744">
        <f ca="1">ROUND(B6*10000/$B$1,0)</f>
        <v>7596</v>
      </c>
      <c r="D6" s="1744" t="e">
        <f ca="1">ROUND(B6*10000/$B$2,0)</f>
        <v>#DIV/0!</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25792.44</v>
      </c>
      <c r="C14" s="1742">
        <f>结果表!C118</f>
        <v>0</v>
      </c>
      <c r="D14" s="1742">
        <f ca="1">结果表!H118</f>
        <v>19592</v>
      </c>
      <c r="E14" s="1742">
        <f ca="1">ROUND(D14*10000/B14,0)</f>
        <v>7596</v>
      </c>
      <c r="F14" s="1742" t="e">
        <f ca="1">ROUND(D14*10000/C14,0)</f>
        <v>#DIV/0!</v>
      </c>
      <c r="G14" s="1742">
        <f ca="1">结果表!D122</f>
        <v>19592</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2" t="s">
        <v>2117</v>
      </c>
      <c r="B1" s="2415"/>
      <c r="C1" s="2416"/>
      <c r="D1" s="2415"/>
      <c r="E1" s="2415"/>
      <c r="F1" s="2417" t="s">
        <v>2118</v>
      </c>
      <c r="G1" s="2067" t="s">
        <v>3225</v>
      </c>
      <c r="H1" s="2418" t="str">
        <f>IF(G1="现房","——","估价对象范围")</f>
        <v>——</v>
      </c>
      <c r="I1" s="2419"/>
    </row>
    <row r="2" spans="1:12" ht="21.75" customHeight="1" thickBot="1">
      <c r="A2" s="3124" t="str">
        <f>项目基本情况!S2</f>
        <v>山东省山东省济南市历城区唐冶西路868号A7-1整幢办公商业及地下车位房地产</v>
      </c>
      <c r="B2" s="3125"/>
      <c r="C2" s="3125"/>
      <c r="D2" s="3125"/>
      <c r="E2" s="3125"/>
      <c r="F2" s="3125"/>
      <c r="G2" s="3125"/>
      <c r="H2" s="3125"/>
      <c r="I2" s="3126"/>
    </row>
    <row r="3" spans="1:12" ht="12.75">
      <c r="A3" s="3128" t="s">
        <v>2119</v>
      </c>
      <c r="B3" s="3129"/>
      <c r="C3" s="3129"/>
      <c r="D3" s="3129"/>
      <c r="E3" s="3129"/>
      <c r="F3" s="3129"/>
      <c r="G3" s="3129"/>
      <c r="H3" s="3129"/>
      <c r="I3" s="3129"/>
    </row>
    <row r="4" spans="1:12" ht="14.25">
      <c r="A4" s="2422" t="s">
        <v>2120</v>
      </c>
      <c r="B4" s="2423" t="s">
        <v>2121</v>
      </c>
      <c r="C4" s="2424" t="s">
        <v>3259</v>
      </c>
      <c r="D4" s="2424" t="s">
        <v>3211</v>
      </c>
      <c r="E4" s="3121" t="s">
        <v>2122</v>
      </c>
      <c r="F4" s="3122"/>
      <c r="G4" s="3122"/>
      <c r="H4" s="3122"/>
      <c r="I4" s="3130"/>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4" t="s">
        <v>2123</v>
      </c>
      <c r="B5" s="3042">
        <v>25</v>
      </c>
      <c r="C5" s="3107"/>
      <c r="D5" s="3127"/>
      <c r="E5" s="140" t="s">
        <v>2124</v>
      </c>
      <c r="F5" s="2426"/>
      <c r="G5" s="2426"/>
      <c r="H5" s="2426"/>
      <c r="I5" s="1832"/>
    </row>
    <row r="6" spans="1:12" ht="12.75">
      <c r="A6" s="3104"/>
      <c r="B6" s="3042"/>
      <c r="C6" s="3108"/>
      <c r="D6" s="3127"/>
      <c r="E6" s="140" t="s">
        <v>2125</v>
      </c>
      <c r="F6" s="2426"/>
      <c r="G6" s="2426"/>
      <c r="H6" s="2426"/>
      <c r="I6" s="1832"/>
    </row>
    <row r="7" spans="1:12" ht="12.75">
      <c r="A7" s="3104"/>
      <c r="B7" s="3042"/>
      <c r="C7" s="3109"/>
      <c r="D7" s="3127"/>
      <c r="E7" s="140" t="s">
        <v>2126</v>
      </c>
      <c r="F7" s="2426"/>
      <c r="G7" s="2426"/>
      <c r="H7" s="2426"/>
      <c r="I7" s="1832"/>
    </row>
    <row r="8" spans="1:12" ht="12.75">
      <c r="A8" s="3104" t="s">
        <v>2127</v>
      </c>
      <c r="B8" s="3042">
        <v>15</v>
      </c>
      <c r="C8" s="3107"/>
      <c r="D8" s="3127"/>
      <c r="E8" s="140" t="s">
        <v>2128</v>
      </c>
      <c r="F8" s="2426"/>
      <c r="G8" s="2426"/>
      <c r="H8" s="2426"/>
      <c r="I8" s="1832"/>
    </row>
    <row r="9" spans="1:12" ht="12.75">
      <c r="A9" s="3104"/>
      <c r="B9" s="3042"/>
      <c r="C9" s="3109"/>
      <c r="D9" s="3127"/>
      <c r="E9" s="140" t="s">
        <v>2129</v>
      </c>
      <c r="F9" s="2426"/>
      <c r="G9" s="2426"/>
      <c r="H9" s="2426"/>
      <c r="I9" s="1832"/>
    </row>
    <row r="10" spans="1:12" ht="12.75">
      <c r="A10" s="3104" t="s">
        <v>2130</v>
      </c>
      <c r="B10" s="3042">
        <v>15</v>
      </c>
      <c r="C10" s="3107"/>
      <c r="D10" s="3127"/>
      <c r="E10" s="140" t="s">
        <v>2131</v>
      </c>
      <c r="F10" s="2426"/>
      <c r="G10" s="2426"/>
      <c r="H10" s="2426"/>
      <c r="I10" s="1832"/>
    </row>
    <row r="11" spans="1:12" ht="12.75">
      <c r="A11" s="3104"/>
      <c r="B11" s="3042"/>
      <c r="C11" s="3109"/>
      <c r="D11" s="3127"/>
      <c r="E11" s="140" t="s">
        <v>2132</v>
      </c>
      <c r="F11" s="2426"/>
      <c r="G11" s="2426"/>
      <c r="H11" s="2426"/>
      <c r="I11" s="1832"/>
    </row>
    <row r="12" spans="1:12" ht="12.75">
      <c r="A12" s="3104" t="s">
        <v>2133</v>
      </c>
      <c r="B12" s="3042">
        <v>15</v>
      </c>
      <c r="C12" s="3107"/>
      <c r="D12" s="3127"/>
      <c r="E12" s="140" t="s">
        <v>2134</v>
      </c>
      <c r="F12" s="2426"/>
      <c r="G12" s="2426"/>
      <c r="H12" s="2426"/>
      <c r="I12" s="1832"/>
    </row>
    <row r="13" spans="1:12" ht="12.75">
      <c r="A13" s="3104"/>
      <c r="B13" s="3042"/>
      <c r="C13" s="3109"/>
      <c r="D13" s="3127"/>
      <c r="E13" s="140" t="s">
        <v>2135</v>
      </c>
      <c r="F13" s="2426"/>
      <c r="G13" s="2426"/>
      <c r="H13" s="2426"/>
      <c r="I13" s="1832"/>
    </row>
    <row r="14" spans="1:12" ht="12.75">
      <c r="A14" s="3104" t="s">
        <v>2136</v>
      </c>
      <c r="B14" s="3042">
        <v>30</v>
      </c>
      <c r="C14" s="3107">
        <v>5</v>
      </c>
      <c r="D14" s="3127">
        <v>5</v>
      </c>
      <c r="E14" s="140" t="s">
        <v>2137</v>
      </c>
      <c r="F14" s="2426"/>
      <c r="G14" s="2426"/>
      <c r="H14" s="2426"/>
      <c r="I14" s="1832"/>
    </row>
    <row r="15" spans="1:12" ht="12.75">
      <c r="A15" s="3104"/>
      <c r="B15" s="3042"/>
      <c r="C15" s="3108"/>
      <c r="D15" s="3127"/>
      <c r="E15" s="140" t="s">
        <v>2138</v>
      </c>
      <c r="F15" s="2426"/>
      <c r="G15" s="2426"/>
      <c r="H15" s="2426"/>
      <c r="I15" s="1832"/>
    </row>
    <row r="16" spans="1:12" ht="12.75">
      <c r="A16" s="3104"/>
      <c r="B16" s="3042"/>
      <c r="C16" s="3109"/>
      <c r="D16" s="3127"/>
      <c r="E16" s="140" t="s">
        <v>2139</v>
      </c>
      <c r="F16" s="2426"/>
      <c r="G16" s="2426"/>
      <c r="H16" s="2426"/>
      <c r="I16" s="1832"/>
    </row>
    <row r="17" spans="1:35" ht="15">
      <c r="A17" s="2427" t="s">
        <v>2140</v>
      </c>
      <c r="B17" s="64"/>
      <c r="C17" s="141">
        <f>SUM(C5:C16)</f>
        <v>5</v>
      </c>
      <c r="D17" s="141">
        <f>SUM(D5:D16)</f>
        <v>5</v>
      </c>
      <c r="E17" s="138"/>
      <c r="F17" s="138"/>
      <c r="G17" s="138"/>
      <c r="H17" s="138"/>
      <c r="I17" s="138"/>
      <c r="K17" s="2425"/>
      <c r="L17" s="2428" t="s">
        <v>2141</v>
      </c>
      <c r="M17" s="2428" t="s">
        <v>2142</v>
      </c>
    </row>
    <row r="18" spans="1:35" ht="15.75" thickBot="1">
      <c r="A18" s="2429" t="s">
        <v>2143</v>
      </c>
      <c r="B18" s="2430"/>
      <c r="C18" s="142">
        <f>ROUND(C17/SUM(C17:D17),2)</f>
        <v>0.5</v>
      </c>
      <c r="D18" s="142">
        <f>1-C18</f>
        <v>0.5</v>
      </c>
      <c r="E18" s="138"/>
      <c r="F18" s="138"/>
      <c r="G18" s="138"/>
      <c r="H18" s="138"/>
      <c r="I18" s="138"/>
      <c r="K18" s="2425" t="s">
        <v>2144</v>
      </c>
      <c r="L18" s="2425">
        <f>IF(C1="",'数据-汇总表'!E3,SUMIF(项目类型,C1,'数据-汇总表'!E17:E26)+SUMIF(项目类型,C1,'数据-汇总表'!I17:I26))</f>
        <v>25792.44</v>
      </c>
      <c r="M18" s="2425">
        <f>IF(C1="",'数据-汇总表'!E3,SUMIF(项目类型,C1,'数据-汇总表'!E17:E26))</f>
        <v>25792.44</v>
      </c>
    </row>
    <row r="19" spans="1:35" ht="15">
      <c r="A19" s="2431" t="s">
        <v>2145</v>
      </c>
      <c r="B19" s="2432" t="s">
        <v>2146</v>
      </c>
      <c r="C19" s="143">
        <f ca="1">SUMIF(INDIRECT("'"&amp;C4&amp;"'"&amp;"!A:A"),结果表!B19,INDIRECT("'"&amp;C4&amp;"'"&amp;"!B:B"))</f>
        <v>19112</v>
      </c>
      <c r="D19" s="144">
        <f ca="1">SUMIF(INDIRECT("'"&amp;D4&amp;"'"&amp;"!A:A"),结果表!B19,INDIRECT("'"&amp;D4&amp;"'"&amp;"!B:B"))</f>
        <v>20072</v>
      </c>
      <c r="E19" s="2431" t="s">
        <v>2147</v>
      </c>
      <c r="F19" s="2432" t="s">
        <v>2146</v>
      </c>
      <c r="G19" s="145">
        <f ca="1">ROUND(C19*$C$18+D19*$D$18,0)</f>
        <v>19592</v>
      </c>
      <c r="H19" s="2433" t="s">
        <v>2148</v>
      </c>
      <c r="I19" s="138"/>
      <c r="K19" s="2425" t="s">
        <v>2149</v>
      </c>
      <c r="L19" s="2425">
        <f>IF(C1="",'数据-汇总表'!D3,SUMIF(项目类型,C1,'数据-汇总表'!D17:D26)+SUMIF(项目类型,C1,'数据-汇总表'!H17:H27))</f>
        <v>0</v>
      </c>
      <c r="M19" s="2425">
        <f>IF(C1="",'数据-汇总表'!D3,SUMIF(项目类型,C1,'数据-汇总表'!D17:D26))</f>
        <v>0</v>
      </c>
    </row>
    <row r="20" spans="1:35" ht="15">
      <c r="A20" s="2434"/>
      <c r="B20" s="1249" t="s">
        <v>2150</v>
      </c>
      <c r="C20" s="146">
        <f ca="1">SUMIF(INDIRECT("'"&amp;C4&amp;"'"&amp;"!A:A"),结果表!B20,INDIRECT("'"&amp;C4&amp;"'"&amp;"!B:B"))</f>
        <v>7410</v>
      </c>
      <c r="D20" s="147">
        <f ca="1">SUMIF(INDIRECT("'"&amp;D4&amp;"'"&amp;"!A:A"),结果表!B20,INDIRECT("'"&amp;D4&amp;"'"&amp;"!B:B"))</f>
        <v>7782</v>
      </c>
      <c r="E20" s="2434"/>
      <c r="F20" s="1249" t="s">
        <v>2150</v>
      </c>
      <c r="G20" s="148">
        <f ca="1">ROUND(C20*$C$18+D20*$D$18,0)</f>
        <v>7596</v>
      </c>
      <c r="H20" s="982" t="s">
        <v>2151</v>
      </c>
      <c r="I20" s="138"/>
    </row>
    <row r="21" spans="1:35" ht="15" customHeight="1" thickBot="1">
      <c r="A21" s="1002"/>
      <c r="B21" s="2435" t="s">
        <v>2152</v>
      </c>
      <c r="C21" s="788" t="e">
        <f ca="1">ROUND(C19*10000/L19,0)</f>
        <v>#DIV/0!</v>
      </c>
      <c r="D21" s="789" t="e">
        <f ca="1">ROUND(D19*10000/L19,0)</f>
        <v>#DIV/0!</v>
      </c>
      <c r="E21" s="1002"/>
      <c r="F21" s="2435" t="s">
        <v>2152</v>
      </c>
      <c r="G21" s="149" t="e">
        <f ca="1">ROUND(G19*10000/L19,0)</f>
        <v>#DIV/0!</v>
      </c>
      <c r="H21" s="2436" t="s">
        <v>2151</v>
      </c>
      <c r="I21" s="138"/>
    </row>
    <row r="22" spans="1:35" ht="15" thickBot="1">
      <c r="A22" s="2277" t="s">
        <v>2153</v>
      </c>
      <c r="B22" s="2437"/>
      <c r="C22" s="2438"/>
      <c r="D22" s="790">
        <f ca="1">IF(C19&lt;D19,D19/C19-1,C19/D19-1)</f>
        <v>5.0230221850146473E-2</v>
      </c>
      <c r="E22" s="138"/>
      <c r="F22" s="138"/>
      <c r="G22" s="138"/>
      <c r="H22" s="138"/>
      <c r="I22" s="138"/>
    </row>
    <row r="23" spans="1:35" ht="13.5" thickBot="1">
      <c r="A23" s="2415"/>
      <c r="B23" s="2415"/>
      <c r="C23" s="2415"/>
      <c r="D23" s="2415"/>
      <c r="E23" s="138"/>
      <c r="F23" s="138"/>
      <c r="G23" s="138"/>
      <c r="H23" s="138"/>
      <c r="I23" s="138"/>
    </row>
    <row r="24" spans="1:35" ht="14.25">
      <c r="A24" s="3098" t="s">
        <v>2154</v>
      </c>
      <c r="B24" s="2432" t="s">
        <v>2146</v>
      </c>
      <c r="C24" s="145">
        <f>IF(B30=0,0,D30)</f>
        <v>0</v>
      </c>
      <c r="D24" s="2439"/>
      <c r="E24" s="138"/>
      <c r="F24" s="138"/>
      <c r="G24" s="138"/>
      <c r="H24" s="138"/>
      <c r="I24" s="138"/>
    </row>
    <row r="25" spans="1:35" ht="14.25">
      <c r="A25" s="3099"/>
      <c r="B25" s="1249" t="s">
        <v>2150</v>
      </c>
      <c r="C25" s="150">
        <f>IF(B30=0,0,C30)</f>
        <v>0</v>
      </c>
      <c r="D25" s="2440"/>
      <c r="E25" s="138"/>
      <c r="F25" s="138"/>
      <c r="G25" s="138"/>
      <c r="H25" s="138"/>
      <c r="I25" s="138"/>
    </row>
    <row r="26" spans="1:35" ht="13.5" customHeight="1">
      <c r="A26" s="2441" t="s">
        <v>2155</v>
      </c>
      <c r="B26" s="151" t="s">
        <v>2156</v>
      </c>
      <c r="C26" s="151" t="s">
        <v>2157</v>
      </c>
      <c r="D26" s="152" t="s">
        <v>2158</v>
      </c>
      <c r="E26" s="138"/>
      <c r="F26" s="138"/>
      <c r="G26" s="138"/>
      <c r="H26" s="138"/>
      <c r="I26" s="138"/>
    </row>
    <row r="27" spans="1:35" ht="14.25">
      <c r="A27" s="2441"/>
      <c r="B27" s="151">
        <v>0</v>
      </c>
      <c r="C27" s="151">
        <v>0</v>
      </c>
      <c r="D27" s="152">
        <f>ROUND(C27*B27/10000,0)</f>
        <v>0</v>
      </c>
      <c r="E27" s="138"/>
      <c r="F27" s="138"/>
      <c r="G27" s="138"/>
      <c r="H27" s="138"/>
      <c r="I27" s="138"/>
      <c r="J27" s="794" t="s">
        <v>3227</v>
      </c>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2159</v>
      </c>
      <c r="B30" s="151"/>
      <c r="C30" s="151"/>
      <c r="D30" s="151"/>
      <c r="E30" s="2924" t="s">
        <v>3035</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2160</v>
      </c>
      <c r="B32" s="2445"/>
      <c r="C32" s="153">
        <f ca="1">IF(D32="总价",G19-C24,G20-C25)</f>
        <v>19592</v>
      </c>
      <c r="D32" s="2446" t="s">
        <v>2161</v>
      </c>
      <c r="E32" s="138"/>
      <c r="F32" s="138"/>
      <c r="G32" s="138"/>
      <c r="H32" s="138"/>
      <c r="I32" s="138"/>
    </row>
    <row r="33" spans="1:15" ht="15">
      <c r="A33" s="959" t="s">
        <v>2162</v>
      </c>
      <c r="B33" s="2447"/>
      <c r="C33" s="2448" t="s">
        <v>3226</v>
      </c>
      <c r="D33" s="2449" t="s">
        <v>3224</v>
      </c>
      <c r="E33" s="2450" t="s">
        <v>2163</v>
      </c>
      <c r="F33" s="2451" t="str">
        <f>IF(D32="楼面单价","取值（单价）","取值（总价）")</f>
        <v>取值（总价）</v>
      </c>
      <c r="G33" s="138"/>
      <c r="H33" s="138"/>
      <c r="I33" s="138"/>
    </row>
    <row r="34" spans="1:15" ht="15">
      <c r="A34" s="2452"/>
      <c r="B34" s="2453" t="s">
        <v>2164</v>
      </c>
      <c r="C34" s="157" t="e">
        <f ca="1">IF(C33="自定义",F34,C32-C35)</f>
        <v>#DIV/0!</v>
      </c>
      <c r="D34" s="1057" t="e">
        <f ca="1">IF(C33="自定义",ROUND(C34/C32,3),IF(C33="收益比率",SUMIF(INDIRECT("'"&amp;D33&amp;"'"&amp;"!b:b"),"土地收益比率",INDIRECT("'"&amp;D33&amp;"'"&amp;"!c:c")),SUMIF(INDIRECT("'"&amp;D33&amp;"'"&amp;"!b:b"),"土地成本比率",INDIRECT("'"&amp;D33&amp;"'"&amp;"!c:c"))))</f>
        <v>#DIV/0!</v>
      </c>
      <c r="E34" s="2454" t="s">
        <v>2165</v>
      </c>
      <c r="F34" s="1737"/>
      <c r="G34" s="138"/>
      <c r="H34" s="138"/>
      <c r="I34" s="138"/>
    </row>
    <row r="35" spans="1:15" ht="15.75" thickBot="1">
      <c r="A35" s="2455"/>
      <c r="B35" s="2456" t="s">
        <v>2166</v>
      </c>
      <c r="C35" s="1442" t="e">
        <f ca="1">IF(C33="自定义",F35,ROUND(C32*D35,0))</f>
        <v>#DIV/0!</v>
      </c>
      <c r="D35" s="1443" t="e">
        <f ca="1">IF(C33="自定义",ROUND(C35/C32,3),IF(C33="收益比率",SUMIF(INDIRECT("'"&amp;D33&amp;"'"&amp;"!b:b"),"建筑物收益比率",INDIRECT("'"&amp;D33&amp;"'"&amp;"!c:c")),SUMIF(INDIRECT("'"&amp;D33&amp;"'"&amp;"!b:b"),"建筑物成本比率",INDIRECT("'"&amp;D33&amp;"'"&amp;"!c:c"))))</f>
        <v>#DIV/0!</v>
      </c>
      <c r="E35" s="2457" t="s">
        <v>2167</v>
      </c>
      <c r="F35" s="163"/>
      <c r="G35" s="138"/>
      <c r="H35" s="138"/>
      <c r="I35" s="138"/>
    </row>
    <row r="36" spans="1:15" ht="15.75" thickBot="1">
      <c r="A36" s="3116" t="s">
        <v>2168</v>
      </c>
      <c r="B36" s="2458" t="s">
        <v>2169</v>
      </c>
      <c r="C36" s="154"/>
      <c r="D36" s="2459"/>
      <c r="E36" s="2460"/>
      <c r="F36" s="2461"/>
      <c r="G36" s="138"/>
      <c r="H36" s="138"/>
      <c r="I36" s="138"/>
    </row>
    <row r="37" spans="1:15" ht="15.75" thickBot="1">
      <c r="A37" s="3117"/>
      <c r="B37" s="2263" t="s">
        <v>2170</v>
      </c>
      <c r="C37" s="156"/>
      <c r="D37" s="1393"/>
      <c r="E37" s="1393"/>
      <c r="F37" s="2461"/>
      <c r="G37" s="138"/>
      <c r="H37" s="138"/>
      <c r="I37" s="138"/>
    </row>
    <row r="38" spans="1:15" ht="15.75" thickBot="1">
      <c r="A38" s="3118"/>
      <c r="B38" s="2462" t="s">
        <v>2171</v>
      </c>
      <c r="C38" s="726"/>
      <c r="D38" s="2463" t="s">
        <v>2172</v>
      </c>
      <c r="E38" s="1393"/>
      <c r="F38" s="2461"/>
      <c r="G38" s="138"/>
      <c r="H38" s="138"/>
      <c r="I38" s="138"/>
    </row>
    <row r="39" spans="1:15" ht="15">
      <c r="A39" s="2434" t="s">
        <v>2173</v>
      </c>
      <c r="B39" s="2464" t="s">
        <v>2174</v>
      </c>
      <c r="C39" s="2465" t="s">
        <v>2175</v>
      </c>
      <c r="D39" s="2465" t="s">
        <v>2176</v>
      </c>
      <c r="E39" s="2466" t="s">
        <v>2177</v>
      </c>
      <c r="F39" s="2461"/>
      <c r="G39" s="138"/>
      <c r="H39" s="138"/>
      <c r="I39" s="138"/>
    </row>
    <row r="40" spans="1:15" ht="14.25">
      <c r="A40" s="2467" t="s">
        <v>2178</v>
      </c>
      <c r="B40" s="158"/>
      <c r="C40" s="159"/>
      <c r="D40" s="159"/>
      <c r="E40" s="160"/>
      <c r="F40" s="2461"/>
      <c r="G40" s="138"/>
      <c r="H40" s="138"/>
      <c r="I40" s="138"/>
    </row>
    <row r="41" spans="1:15" ht="14.25">
      <c r="A41" s="2467" t="s">
        <v>2179</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2180</v>
      </c>
      <c r="B44" s="2472"/>
      <c r="C44" s="2472"/>
      <c r="D44" s="2473"/>
      <c r="E44" s="2473"/>
      <c r="F44" s="2474"/>
      <c r="G44" s="2474"/>
      <c r="H44" s="2474"/>
      <c r="I44" s="2474"/>
      <c r="J44" s="2475" t="s">
        <v>2181</v>
      </c>
      <c r="K44" s="2476"/>
      <c r="L44" s="2476"/>
      <c r="M44" s="2476"/>
      <c r="N44" s="2476"/>
      <c r="O44" s="2476"/>
    </row>
    <row r="45" spans="1:15" ht="14.25" customHeight="1" thickBot="1">
      <c r="A45" s="3095" t="s">
        <v>2182</v>
      </c>
      <c r="B45" s="3096"/>
      <c r="C45" s="3097"/>
      <c r="D45" s="164">
        <f ca="1">ROUND(H101*F45,0)</f>
        <v>19592</v>
      </c>
      <c r="E45" s="165" t="s">
        <v>2183</v>
      </c>
      <c r="F45" s="166">
        <v>1</v>
      </c>
      <c r="G45" s="167" t="s">
        <v>2184</v>
      </c>
      <c r="H45" s="138"/>
      <c r="I45" s="138"/>
      <c r="J45" s="3155" t="s">
        <v>2185</v>
      </c>
      <c r="K45" s="3155"/>
      <c r="L45" s="3155"/>
      <c r="M45" s="3155"/>
      <c r="N45" s="3155"/>
      <c r="O45" s="3155"/>
    </row>
    <row r="46" spans="1:15" ht="14.25" customHeight="1">
      <c r="A46" s="3092" t="s">
        <v>2186</v>
      </c>
      <c r="B46" s="3093"/>
      <c r="C46" s="3093"/>
      <c r="D46" s="3093"/>
      <c r="E46" s="3093"/>
      <c r="F46" s="3093"/>
      <c r="G46" s="3094"/>
      <c r="H46" s="2477"/>
      <c r="I46" s="168"/>
      <c r="J46" s="1810">
        <v>1</v>
      </c>
      <c r="K46" s="3155" t="s">
        <v>2187</v>
      </c>
      <c r="L46" s="3155"/>
      <c r="M46" s="3175"/>
      <c r="N46" s="3175"/>
      <c r="O46" s="3175"/>
    </row>
    <row r="47" spans="1:15" ht="12" customHeight="1">
      <c r="A47" s="169" t="s">
        <v>2188</v>
      </c>
      <c r="B47" s="170"/>
      <c r="C47" s="171"/>
      <c r="D47" s="172" t="s">
        <v>2189</v>
      </c>
      <c r="E47" s="24" t="s">
        <v>2190</v>
      </c>
      <c r="F47" s="173" t="s">
        <v>2191</v>
      </c>
      <c r="G47" s="174" t="s">
        <v>2192</v>
      </c>
      <c r="H47" s="2477"/>
      <c r="I47" s="168"/>
      <c r="J47" s="1810">
        <v>2</v>
      </c>
      <c r="K47" s="3155" t="s">
        <v>2193</v>
      </c>
      <c r="L47" s="3155"/>
      <c r="M47" s="3176">
        <f>'数据-取费表'!B2</f>
        <v>43692</v>
      </c>
      <c r="N47" s="3176"/>
      <c r="O47" s="3176"/>
    </row>
    <row r="48" spans="1:15" ht="25.5">
      <c r="A48" s="3123" t="s">
        <v>2194</v>
      </c>
      <c r="B48" s="3106"/>
      <c r="C48" s="3106"/>
      <c r="D48" s="140">
        <f>IF(H48="情况1",0,IF(H48="情况2",D52,IF(H48="情况3",D53,IF(H48="情况4",D54))))</f>
        <v>0</v>
      </c>
      <c r="E48" s="1799" t="str">
        <f>IF(H48="情况4","(销售额-原购置价)×税（费）率","销售额×税（费）率")</f>
        <v>销售额×税（费）率</v>
      </c>
      <c r="F48" s="175" t="str">
        <f>IF(H48="情况1","免征",'数据-取费表'!B41)</f>
        <v>免征</v>
      </c>
      <c r="G48" s="2478" t="s">
        <v>2195</v>
      </c>
      <c r="H48" s="2479" t="s">
        <v>2196</v>
      </c>
      <c r="I48" s="2477"/>
      <c r="J48" s="1810">
        <v>3</v>
      </c>
      <c r="K48" s="3155" t="s">
        <v>2197</v>
      </c>
      <c r="L48" s="3155"/>
      <c r="M48" s="3177">
        <f ca="1">H101</f>
        <v>19592</v>
      </c>
      <c r="N48" s="3177"/>
      <c r="O48" s="3177"/>
    </row>
    <row r="49" spans="1:35" ht="25.5" customHeight="1">
      <c r="A49" s="176" t="s">
        <v>2198</v>
      </c>
      <c r="B49" s="3091" t="s">
        <v>2199</v>
      </c>
      <c r="C49" s="3091"/>
      <c r="D49" s="177">
        <v>0</v>
      </c>
      <c r="E49" s="23" t="s">
        <v>2200</v>
      </c>
      <c r="F49" s="28" t="s">
        <v>34</v>
      </c>
      <c r="G49" s="3161"/>
      <c r="H49" s="138"/>
      <c r="I49" s="2480"/>
      <c r="J49" s="1810">
        <v>4</v>
      </c>
      <c r="K49" s="3155" t="str">
        <f>IF(项目基本情况!E8="房地产抵押价值","房地产抵押价值","抵押担保权已注销时的房地产抵押价值")</f>
        <v>房地产抵押价值</v>
      </c>
      <c r="L49" s="3155"/>
      <c r="M49" s="3177">
        <f ca="1">IF(项目基本情况!E8="房地产抵押价值",H107,H109)</f>
        <v>19592</v>
      </c>
      <c r="N49" s="3177"/>
      <c r="O49" s="3177"/>
    </row>
    <row r="50" spans="1:35" ht="25.5" customHeight="1">
      <c r="A50" s="178"/>
      <c r="B50" s="3091" t="s">
        <v>2201</v>
      </c>
      <c r="C50" s="3091"/>
      <c r="D50" s="179"/>
      <c r="E50" s="31"/>
      <c r="F50" s="180"/>
      <c r="G50" s="3162"/>
      <c r="H50" s="138"/>
      <c r="I50" s="2480"/>
      <c r="J50" s="3155" t="s">
        <v>2202</v>
      </c>
      <c r="K50" s="3155"/>
      <c r="L50" s="3155"/>
      <c r="M50" s="3155"/>
      <c r="N50" s="3155"/>
      <c r="O50" s="3155"/>
    </row>
    <row r="51" spans="1:35" ht="12" customHeight="1">
      <c r="A51" s="181"/>
      <c r="B51" s="3091" t="s">
        <v>2203</v>
      </c>
      <c r="C51" s="3091"/>
      <c r="D51" s="182"/>
      <c r="E51" s="30"/>
      <c r="F51" s="180"/>
      <c r="G51" s="3163"/>
      <c r="H51" s="138"/>
      <c r="I51" s="2480"/>
      <c r="J51" s="2481" t="s">
        <v>2204</v>
      </c>
      <c r="K51" s="3155" t="s">
        <v>2205</v>
      </c>
      <c r="L51" s="3155"/>
      <c r="M51" s="2481" t="s">
        <v>2206</v>
      </c>
      <c r="N51" s="2481" t="s">
        <v>2207</v>
      </c>
      <c r="O51" s="2481" t="s">
        <v>2208</v>
      </c>
    </row>
    <row r="52" spans="1:35" ht="24" customHeight="1">
      <c r="A52" s="183" t="s">
        <v>2209</v>
      </c>
      <c r="B52" s="3091" t="s">
        <v>2210</v>
      </c>
      <c r="C52" s="3091"/>
      <c r="D52" s="182">
        <f ca="1">ROUND(D45*'数据-取费表'!B41/(1+'数据-取费表'!C42),0)</f>
        <v>1026</v>
      </c>
      <c r="E52" s="11" t="s">
        <v>2211</v>
      </c>
      <c r="F52" s="184">
        <f>'数据-取费表'!B41</f>
        <v>5.5000000000000007E-2</v>
      </c>
      <c r="G52" s="2482"/>
      <c r="H52" s="138"/>
      <c r="I52" s="2480"/>
      <c r="J52" s="1810">
        <v>1</v>
      </c>
      <c r="K52" s="3156" t="s">
        <v>2212</v>
      </c>
      <c r="L52" s="3156"/>
      <c r="M52" s="1752">
        <f>D48</f>
        <v>0</v>
      </c>
      <c r="N52" s="1810" t="str">
        <f>E48</f>
        <v>销售额×税（费）率</v>
      </c>
      <c r="O52" s="1753" t="str">
        <f>F48</f>
        <v>免征</v>
      </c>
    </row>
    <row r="53" spans="1:35" ht="12" customHeight="1">
      <c r="A53" s="183" t="s">
        <v>2213</v>
      </c>
      <c r="B53" s="3114" t="s">
        <v>2214</v>
      </c>
      <c r="C53" s="3115"/>
      <c r="D53" s="182">
        <f ca="1">ROUND(D45*'数据-取费表'!B41/(1+'数据-取费表'!C42),0)</f>
        <v>1026</v>
      </c>
      <c r="E53" s="11" t="s">
        <v>2211</v>
      </c>
      <c r="F53" s="184">
        <f>'数据-取费表'!B41</f>
        <v>5.5000000000000007E-2</v>
      </c>
      <c r="G53" s="2482"/>
      <c r="H53" s="138"/>
      <c r="I53" s="2480"/>
      <c r="J53" s="1810">
        <v>2</v>
      </c>
      <c r="K53" s="3156" t="s">
        <v>2215</v>
      </c>
      <c r="L53" s="3156"/>
      <c r="M53" s="1752">
        <f t="shared" ref="M53:O54" ca="1" si="0">D55</f>
        <v>10</v>
      </c>
      <c r="N53" s="1810" t="str">
        <f t="shared" si="0"/>
        <v>销售额×税（费）率</v>
      </c>
      <c r="O53" s="1753">
        <f t="shared" si="0"/>
        <v>5.0000000000000001E-4</v>
      </c>
    </row>
    <row r="54" spans="1:35" ht="12" customHeight="1">
      <c r="A54" s="183" t="s">
        <v>2216</v>
      </c>
      <c r="B54" s="3114" t="s">
        <v>2217</v>
      </c>
      <c r="C54" s="3115"/>
      <c r="D54" s="182">
        <f ca="1">C68</f>
        <v>1026</v>
      </c>
      <c r="E54" s="30" t="s">
        <v>2218</v>
      </c>
      <c r="F54" s="184">
        <f>'数据-取费表'!B41</f>
        <v>5.5000000000000007E-2</v>
      </c>
      <c r="G54" s="2482"/>
      <c r="H54" s="2483"/>
      <c r="I54" s="2480"/>
      <c r="J54" s="1810">
        <v>3</v>
      </c>
      <c r="K54" s="3156" t="s">
        <v>2219</v>
      </c>
      <c r="L54" s="3156"/>
      <c r="M54" s="1752">
        <f t="shared" ca="1" si="0"/>
        <v>11107</v>
      </c>
      <c r="N54" s="1810" t="str">
        <f t="shared" si="0"/>
        <v>增值额×税（费）率</v>
      </c>
      <c r="O54" s="1754" t="str">
        <f t="shared" si="0"/>
        <v>——</v>
      </c>
    </row>
    <row r="55" spans="1:35" ht="24" customHeight="1">
      <c r="A55" s="3105" t="s">
        <v>2220</v>
      </c>
      <c r="B55" s="3106"/>
      <c r="C55" s="3106"/>
      <c r="D55" s="185">
        <f ca="1">IF(H55="个人住宅",0,ROUND(D45*I55,0))</f>
        <v>10</v>
      </c>
      <c r="E55" s="11" t="s">
        <v>2221</v>
      </c>
      <c r="F55" s="184">
        <f>IF(H55="正常",I55,"免征")</f>
        <v>5.0000000000000001E-4</v>
      </c>
      <c r="G55" s="2482"/>
      <c r="H55" s="2479" t="s">
        <v>2222</v>
      </c>
      <c r="I55" s="186">
        <f>'数据-取费表'!B49</f>
        <v>5.0000000000000001E-4</v>
      </c>
      <c r="J55" s="1810" t="str">
        <f>IF(H59="非个人房产","",4)</f>
        <v/>
      </c>
      <c r="K55" s="3156" t="str">
        <f>IF(H59="非个人房产","——","个人所得税")</f>
        <v>——</v>
      </c>
      <c r="L55" s="3156"/>
      <c r="M55" s="1755" t="str">
        <f>D59</f>
        <v>——</v>
      </c>
      <c r="N55" s="1808" t="str">
        <f>E59</f>
        <v>——</v>
      </c>
      <c r="O55" s="1756" t="str">
        <f>F59</f>
        <v>——</v>
      </c>
    </row>
    <row r="56" spans="1:35" ht="24.75">
      <c r="A56" s="3105" t="s">
        <v>2223</v>
      </c>
      <c r="B56" s="3106"/>
      <c r="C56" s="3106"/>
      <c r="D56" s="185">
        <f ca="1">IF(H56="个人住宅",D57,D58)</f>
        <v>11107</v>
      </c>
      <c r="E56" s="11" t="s">
        <v>2224</v>
      </c>
      <c r="F56" s="184" t="str">
        <f>IF(H56="正常",F58,"免征")</f>
        <v>——</v>
      </c>
      <c r="G56" s="2484" t="s">
        <v>2225</v>
      </c>
      <c r="H56" s="2485" t="s">
        <v>2222</v>
      </c>
      <c r="I56" s="2486"/>
      <c r="J56" s="1810" t="str">
        <f>IF(项目基本情况!K6="上海银行",IF(J55="",4,J55+1),"")</f>
        <v/>
      </c>
      <c r="K56" s="3179" t="str">
        <f>IF(项目基本情况!K6="上海银行","其他处置费用","")</f>
        <v/>
      </c>
      <c r="L56" s="3180"/>
      <c r="M56" s="1752" t="str">
        <f>IF(项目基本情况!K6="上海银行",M69,"")</f>
        <v/>
      </c>
      <c r="N56" s="3182" t="str">
        <f>IF(项目基本情况!K6="上海银行","包含处置中涉及的律师、诉讼、拍卖、评估等费用","")</f>
        <v/>
      </c>
      <c r="O56" s="3183"/>
    </row>
    <row r="57" spans="1:35" ht="12.75">
      <c r="A57" s="183" t="s">
        <v>2198</v>
      </c>
      <c r="B57" s="3121" t="s">
        <v>2226</v>
      </c>
      <c r="C57" s="3130"/>
      <c r="D57" s="187">
        <v>0</v>
      </c>
      <c r="E57" s="23" t="s">
        <v>2200</v>
      </c>
      <c r="F57" s="155"/>
      <c r="G57" s="2482"/>
      <c r="H57" s="2486"/>
      <c r="I57" s="2486"/>
      <c r="J57" s="3156">
        <f>IF(AND(J55="",J56=""),4,IF(项目基本情况!K6="上海银行",结果表!J56+1,结果表!J55+1))</f>
        <v>4</v>
      </c>
      <c r="K57" s="3156" t="s">
        <v>2227</v>
      </c>
      <c r="L57" s="2487" t="s">
        <v>2228</v>
      </c>
      <c r="M57" s="1757"/>
      <c r="N57" s="1758">
        <f ca="1">SUMIF(M52:M56,"&lt;9e307")</f>
        <v>11117</v>
      </c>
      <c r="O57" s="2488"/>
      <c r="P57" s="1751">
        <f ca="1">N57/M49</f>
        <v>0.56742547978766844</v>
      </c>
    </row>
    <row r="58" spans="1:35" ht="24.75">
      <c r="A58" s="183" t="s">
        <v>2209</v>
      </c>
      <c r="B58" s="3121" t="s">
        <v>2229</v>
      </c>
      <c r="C58" s="3122"/>
      <c r="D58" s="185">
        <f ca="1">IF(H58="转让取得",C81,C97)</f>
        <v>11107</v>
      </c>
      <c r="E58" s="11" t="s">
        <v>2224</v>
      </c>
      <c r="F58" s="24" t="s">
        <v>34</v>
      </c>
      <c r="G58" s="2482"/>
      <c r="H58" s="2485" t="s">
        <v>2230</v>
      </c>
      <c r="I58" s="2486"/>
      <c r="J58" s="3156"/>
      <c r="K58" s="3156"/>
      <c r="L58" s="2487" t="s">
        <v>2231</v>
      </c>
      <c r="M58" s="1759"/>
      <c r="N58" s="2489" t="str">
        <f ca="1">NUMBERSTRING(INT(N57*10000),2)&amp;"元整"</f>
        <v>壹亿壹仟壹佰壹拾柒万元整</v>
      </c>
      <c r="O58" s="2490"/>
    </row>
    <row r="59" spans="1:35" ht="24.75" thickBot="1">
      <c r="A59" s="3159" t="s">
        <v>2232</v>
      </c>
      <c r="B59" s="3160"/>
      <c r="C59" s="3160"/>
      <c r="D59" s="188" t="str">
        <f>IF(H59="非个人房产","——",IF(H59="个人住宅",0,ROUND(D45*I59,0)))</f>
        <v>——</v>
      </c>
      <c r="E59" s="189" t="str">
        <f>IF(H59="非个人房产","——","销售额×税（费）率")</f>
        <v>——</v>
      </c>
      <c r="F59" s="190" t="str">
        <f>IF(H59="非个人房产","——",IF(H59="个人住宅","免征",I59))</f>
        <v>——</v>
      </c>
      <c r="G59" s="2491" t="s">
        <v>2225</v>
      </c>
      <c r="H59" s="2485" t="s">
        <v>2233</v>
      </c>
      <c r="I59" s="191">
        <v>0.01</v>
      </c>
      <c r="J59" s="3157">
        <f>J57+1</f>
        <v>5</v>
      </c>
      <c r="K59" s="3156" t="s">
        <v>2234</v>
      </c>
      <c r="L59" s="1810" t="s">
        <v>2228</v>
      </c>
      <c r="M59" s="1760"/>
      <c r="N59" s="1761">
        <f ca="1">M49-N57</f>
        <v>8475</v>
      </c>
      <c r="O59" s="2492"/>
    </row>
    <row r="60" spans="1:35" ht="12" customHeight="1">
      <c r="A60" s="2493"/>
      <c r="B60" s="2415"/>
      <c r="C60" s="2415"/>
      <c r="D60" s="2415"/>
      <c r="E60" s="2163"/>
      <c r="F60" s="2486"/>
      <c r="G60" s="2486"/>
      <c r="H60" s="2494"/>
      <c r="I60" s="138"/>
      <c r="J60" s="3158"/>
      <c r="K60" s="3156"/>
      <c r="L60" s="2487" t="s">
        <v>2231</v>
      </c>
      <c r="M60" s="1759"/>
      <c r="N60" s="2489" t="str">
        <f ca="1">NUMBERSTRING(INT(N59*10000),2)&amp;"元整"</f>
        <v>捌仟肆佰柒拾伍万元整</v>
      </c>
      <c r="O60" s="2490"/>
    </row>
    <row r="61" spans="1:35" ht="13.5" thickBot="1">
      <c r="A61" s="3103" t="s">
        <v>2235</v>
      </c>
      <c r="B61" s="3103"/>
      <c r="C61" s="3103"/>
      <c r="D61" s="3103"/>
      <c r="E61" s="3103"/>
      <c r="F61" s="2486"/>
      <c r="G61" s="2486"/>
      <c r="H61" s="2494"/>
      <c r="I61" s="138"/>
      <c r="J61" s="1810">
        <f>J59+1</f>
        <v>6</v>
      </c>
      <c r="K61" s="3156" t="s">
        <v>2236</v>
      </c>
      <c r="L61" s="3156"/>
      <c r="M61" s="1762"/>
      <c r="N61" s="1763">
        <f ca="1">ROUND(N59*10000/'数据-汇总表'!E3,0)</f>
        <v>3286</v>
      </c>
      <c r="O61" s="2495"/>
    </row>
    <row r="62" spans="1:35" ht="12.75">
      <c r="A62" s="3119" t="s">
        <v>2237</v>
      </c>
      <c r="B62" s="3120"/>
      <c r="C62" s="1802"/>
      <c r="D62" s="1802" t="s">
        <v>2238</v>
      </c>
      <c r="E62" s="192" t="s">
        <v>2239</v>
      </c>
      <c r="F62" s="2486"/>
      <c r="G62" s="2486"/>
      <c r="H62" s="2494"/>
      <c r="I62" s="138"/>
    </row>
    <row r="63" spans="1:35" ht="12.75">
      <c r="A63" s="203" t="s">
        <v>775</v>
      </c>
      <c r="B63" s="193" t="s">
        <v>2240</v>
      </c>
      <c r="C63" s="194">
        <f ca="1">ROUND((C64+C65)/(1+'数据-取费表'!C42),0)</f>
        <v>18659</v>
      </c>
      <c r="D63" s="195"/>
      <c r="E63" s="196"/>
      <c r="F63" s="2486"/>
      <c r="G63" s="2486"/>
      <c r="H63" s="2494"/>
      <c r="I63" s="138"/>
      <c r="J63" s="3181" t="s">
        <v>2241</v>
      </c>
      <c r="K63" s="2496" t="s">
        <v>2242</v>
      </c>
      <c r="L63" s="1750">
        <f ca="1">IF(M49&gt;10000,M49*0.5%,IF(AND(M49&gt;1000,M49&lt;=10000),M49*1%,IF(AND(M49&gt;100,M49&lt;=1000),M49*3%,IF(AND(M49&gt;10,M49&lt;=100),M49*5%,M49*8%))))</f>
        <v>97.960000000000008</v>
      </c>
      <c r="M63" s="24">
        <f ca="1">ROUND(L63,1)</f>
        <v>98</v>
      </c>
      <c r="Z63" s="2420"/>
      <c r="AI63" s="2421"/>
    </row>
    <row r="64" spans="1:35" ht="14.25" customHeight="1">
      <c r="A64" s="197" t="s">
        <v>770</v>
      </c>
      <c r="B64" s="198" t="s">
        <v>2243</v>
      </c>
      <c r="C64" s="199">
        <f ca="1">D45</f>
        <v>19592</v>
      </c>
      <c r="D64" s="200" t="s">
        <v>32</v>
      </c>
      <c r="E64" s="201"/>
      <c r="F64" s="2486"/>
      <c r="G64" s="2486"/>
      <c r="H64" s="2494"/>
      <c r="I64" s="138"/>
      <c r="J64" s="3181"/>
      <c r="K64" s="2496" t="s">
        <v>2244</v>
      </c>
      <c r="L64" s="1750">
        <f ca="1">IF(M49&gt;2000,M49*0.5%,IF(AND(M49&gt;1000,M49&lt;=2000),M49*0.6%,IF(AND(M49&gt;500,M49&lt;=1000),M49*0.7%,IF(AND(M49&gt;200,M49&lt;=500),M49*0.8%,IF(AND(M49&gt;100,M49&lt;=200),M49*0.9%,IF(AND(M49&gt;50,M49&lt;=100),M49*1%,IF(AND(M49&gt;20,M49&lt;=50),M49*1.5%,IF(AND(M49&gt;10,M49&lt;=20),M49*2%,IF(AND(M49&gt;1,M49&lt;=10),M49*2.5%)))))))))</f>
        <v>97.960000000000008</v>
      </c>
      <c r="M64" s="24">
        <f ca="1">ROUND(L64,1)</f>
        <v>98</v>
      </c>
      <c r="N64" s="138" t="s">
        <v>2245</v>
      </c>
      <c r="Z64" s="2420"/>
      <c r="AI64" s="2421"/>
    </row>
    <row r="65" spans="1:35" ht="14.25" customHeight="1">
      <c r="A65" s="197" t="s">
        <v>771</v>
      </c>
      <c r="B65" s="198" t="s">
        <v>2246</v>
      </c>
      <c r="C65" s="202"/>
      <c r="D65" s="200"/>
      <c r="E65" s="201"/>
      <c r="F65" s="2486"/>
      <c r="G65" s="2486"/>
      <c r="H65" s="2494"/>
      <c r="I65" s="138"/>
      <c r="J65" s="3181"/>
      <c r="K65" s="2496" t="s">
        <v>2247</v>
      </c>
      <c r="L65" s="1750">
        <f ca="1">IF(M49&gt;1000,M49*0.1%,IF(AND(M49&gt;500,M49&lt;=1000),M49*0.5%,IF(AND(M49&gt;50,M49&lt;=500),M49*1%,IF(AND(M49&gt;1,M49&lt;=50),M49*1.5%))))</f>
        <v>19.591999999999999</v>
      </c>
      <c r="M65" s="24">
        <f ca="1">ROUND(L65,1)</f>
        <v>19.600000000000001</v>
      </c>
      <c r="N65" s="138" t="s">
        <v>2245</v>
      </c>
      <c r="Z65" s="2420"/>
      <c r="AI65" s="2421"/>
    </row>
    <row r="66" spans="1:35" ht="14.25" customHeight="1">
      <c r="A66" s="203" t="s">
        <v>772</v>
      </c>
      <c r="B66" s="204" t="s">
        <v>2248</v>
      </c>
      <c r="C66" s="205"/>
      <c r="D66" s="206" t="s">
        <v>32</v>
      </c>
      <c r="E66" s="1774" t="s">
        <v>1371</v>
      </c>
      <c r="F66" s="2486"/>
      <c r="G66" s="2486"/>
      <c r="H66" s="2494"/>
      <c r="I66" s="138"/>
      <c r="J66" s="3181"/>
      <c r="K66" s="2496" t="s">
        <v>2249</v>
      </c>
      <c r="L66" s="1750">
        <f ca="1">M49*0.5%</f>
        <v>97.960000000000008</v>
      </c>
      <c r="M66" s="24">
        <f ca="1">IF(L66&gt;0.5,0.5,ROUND(L66,0))</f>
        <v>0.5</v>
      </c>
      <c r="N66" s="138" t="s">
        <v>2250</v>
      </c>
      <c r="Z66" s="2420"/>
      <c r="AI66" s="2421"/>
    </row>
    <row r="67" spans="1:35" ht="14.25" customHeight="1">
      <c r="A67" s="203" t="s">
        <v>773</v>
      </c>
      <c r="B67" s="204" t="s">
        <v>2251</v>
      </c>
      <c r="C67" s="207">
        <f ca="1">C63-C66</f>
        <v>18659</v>
      </c>
      <c r="D67" s="200" t="s">
        <v>32</v>
      </c>
      <c r="E67" s="201"/>
      <c r="F67" s="2486"/>
      <c r="G67" s="2486"/>
      <c r="H67" s="2494"/>
      <c r="I67" s="138"/>
      <c r="J67" s="3181"/>
      <c r="K67" s="2496" t="s">
        <v>2252</v>
      </c>
      <c r="L67" s="1750">
        <f ca="1">IF(M49&gt;=10000,(8.25+(M49-10000)*0.01%),IF(AND(M49&gt;=8000,M49&lt;10000),(7.85+(M49-8000)*0.02%),IF(AND(M49&gt;=5000,M49&lt;8000),(6.65+(M49-5000)*0.04%),IF(AND(M49&gt;=2000,M49&lt;5000),(4.25+(PM49-2000)*0.08%),IF(AND(M49&gt;=1000,M49&lt;2000),(2.75+(M49-1000)*0.15%),IF(AND(M49&gt;=100,M49&lt;1000),(0.5+(M49-100)*0.25%),IF(AND(M49&gt;0,M49&lt;100),M49*0.5%)))))))</f>
        <v>9.2091999999999992</v>
      </c>
      <c r="M67" s="24">
        <f ca="1">ROUND(L67*0.9,1)</f>
        <v>8.3000000000000007</v>
      </c>
      <c r="Z67" s="2420"/>
      <c r="AI67" s="2421"/>
    </row>
    <row r="68" spans="1:35" ht="14.25" customHeight="1" thickBot="1">
      <c r="A68" s="208" t="s">
        <v>774</v>
      </c>
      <c r="B68" s="209" t="s">
        <v>2253</v>
      </c>
      <c r="C68" s="210">
        <f ca="1">IF(C67&lt;=0,0,ROUND(C67*D68,0))</f>
        <v>1026</v>
      </c>
      <c r="D68" s="211">
        <f>'数据-取费表'!B41</f>
        <v>5.5000000000000007E-2</v>
      </c>
      <c r="E68" s="212"/>
      <c r="F68" s="2486"/>
      <c r="G68" s="2486"/>
      <c r="H68" s="2494"/>
      <c r="I68" s="138"/>
      <c r="J68" s="3181"/>
      <c r="K68" s="2496" t="s">
        <v>2254</v>
      </c>
      <c r="L68" s="1750">
        <f ca="1">IF(M49&gt;10000,M49*0.5%,IF(AND(M49&gt;5000,M49&lt;=10000),M49*1%,IF(AND(M49&gt;1000,M49&lt;=5000),M49*2%,IF(AND(M49&gt;200,M49&lt;=1000),M49*3%,M49*5%))))</f>
        <v>97.960000000000008</v>
      </c>
      <c r="M68" s="24">
        <f ca="1">ROUND(L68,1)</f>
        <v>98</v>
      </c>
      <c r="Z68" s="2420"/>
      <c r="AI68" s="2421"/>
    </row>
    <row r="69" spans="1:35" s="2443" customFormat="1" ht="16.5" customHeight="1">
      <c r="A69" s="2497"/>
      <c r="B69" s="2498"/>
      <c r="C69" s="2499"/>
      <c r="D69" s="2500"/>
      <c r="E69" s="2501"/>
      <c r="F69" s="2163"/>
      <c r="G69" s="2163"/>
      <c r="H69" s="2162"/>
      <c r="I69" s="2415"/>
      <c r="J69" s="3181"/>
      <c r="K69" s="2496" t="s">
        <v>2255</v>
      </c>
      <c r="L69" s="2502"/>
      <c r="M69" s="24">
        <f ca="1">ROUND(SUM(M63:M68),0)</f>
        <v>322</v>
      </c>
      <c r="N69" s="1751">
        <f ca="1">M69/M49</f>
        <v>1.6435279706002451E-2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40" t="s">
        <v>2256</v>
      </c>
      <c r="B70" s="3141"/>
      <c r="C70" s="3141"/>
      <c r="D70" s="3141"/>
      <c r="E70" s="3141"/>
      <c r="F70" s="3141"/>
      <c r="G70" s="3141"/>
      <c r="H70" s="314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9" t="s">
        <v>2237</v>
      </c>
      <c r="B71" s="3120"/>
      <c r="C71" s="1802"/>
      <c r="D71" s="1802" t="s">
        <v>2238</v>
      </c>
      <c r="E71" s="213" t="s">
        <v>2239</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2257</v>
      </c>
      <c r="C72" s="207">
        <f ca="1">ROUND(D45/(1+'数据-取费表'!C42),0)</f>
        <v>18659</v>
      </c>
      <c r="D72" s="200" t="s">
        <v>32</v>
      </c>
      <c r="E72" s="1801"/>
      <c r="F72" s="1795"/>
      <c r="G72" s="1795"/>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2258</v>
      </c>
      <c r="C73" s="207">
        <f ca="1">C74+C78</f>
        <v>93</v>
      </c>
      <c r="D73" s="200" t="s">
        <v>32</v>
      </c>
      <c r="E73" s="1801"/>
      <c r="F73" s="1795"/>
      <c r="G73" s="1795"/>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2259</v>
      </c>
      <c r="C74" s="200">
        <f>ROUND(IF(G77="2016年5月1日后购买",C75/(1+'数据-取费表'!C42)+C76+C77,C75+C76+C77),0)</f>
        <v>0</v>
      </c>
      <c r="D74" s="200" t="s">
        <v>32</v>
      </c>
      <c r="E74" s="1801"/>
      <c r="F74" s="1795"/>
      <c r="G74" s="1795"/>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2260</v>
      </c>
      <c r="C75" s="218"/>
      <c r="D75" s="200" t="s">
        <v>32</v>
      </c>
      <c r="E75" s="219" t="s">
        <v>2261</v>
      </c>
      <c r="F75" s="2508" t="s">
        <v>2262</v>
      </c>
      <c r="G75" s="219" t="s">
        <v>2263</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2264</v>
      </c>
      <c r="C76" s="200">
        <f>IF(F75="购房发票",ROUND(C75*H75*D76,0),0)</f>
        <v>0</v>
      </c>
      <c r="D76" s="222">
        <v>0.05</v>
      </c>
      <c r="E76" s="3114" t="s">
        <v>2265</v>
      </c>
      <c r="F76" s="3091"/>
      <c r="G76" s="3091"/>
      <c r="H76" s="313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0" t="s">
        <v>2268</v>
      </c>
      <c r="H77" s="180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2269</v>
      </c>
      <c r="C78" s="225">
        <f ca="1">ROUND(D45*D78/(1+'数据-取费表'!C42),0)</f>
        <v>93</v>
      </c>
      <c r="D78" s="226">
        <f>'数据-取费表'!B43</f>
        <v>5.000000000000001E-3</v>
      </c>
      <c r="E78" s="3100" t="s">
        <v>2270</v>
      </c>
      <c r="F78" s="3101"/>
      <c r="G78" s="3101"/>
      <c r="H78" s="311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2271</v>
      </c>
      <c r="C79" s="207">
        <f ca="1">C72-C73</f>
        <v>18566</v>
      </c>
      <c r="D79" s="200" t="s">
        <v>32</v>
      </c>
      <c r="E79" s="1801"/>
      <c r="F79" s="1795"/>
      <c r="G79" s="1795"/>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2272</v>
      </c>
      <c r="C80" s="227">
        <f ca="1">IF(C79&lt;=0,0,C79/C73)</f>
        <v>199.63440860215053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2273</v>
      </c>
      <c r="C81" s="228">
        <f ca="1">ROUND(IF(C79&lt;=0,0,IF(C80&gt;=200%,C79*60%-C73*35%,IF(C80&gt;=100%,C79*50%-C73*15%,IF(C80&gt;=50%,C79*40%-C73*5%,IF(C80&lt;50%,C79*30%,0))))),0)</f>
        <v>11107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40" t="s">
        <v>2274</v>
      </c>
      <c r="B83" s="3141"/>
      <c r="C83" s="3141"/>
      <c r="D83" s="3141"/>
      <c r="E83" s="3141"/>
      <c r="F83" s="3141"/>
      <c r="G83" s="3141"/>
      <c r="H83" s="314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9" t="s">
        <v>2237</v>
      </c>
      <c r="B84" s="3120"/>
      <c r="C84" s="1802"/>
      <c r="D84" s="1802" t="s">
        <v>2238</v>
      </c>
      <c r="E84" s="213" t="s">
        <v>2239</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2257</v>
      </c>
      <c r="C85" s="207">
        <f ca="1">ROUND(D45/(1+'数据-取费表'!C42),0)</f>
        <v>18659</v>
      </c>
      <c r="D85" s="200" t="s">
        <v>32</v>
      </c>
      <c r="E85" s="1801"/>
      <c r="F85" s="1795"/>
      <c r="G85" s="1795"/>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2258</v>
      </c>
      <c r="C86" s="207">
        <f ca="1">IF(H88="仅含出让金",C87+C90+C91+C92+C93+C94,C87+C91+C92+C93+C94)</f>
        <v>93</v>
      </c>
      <c r="D86" s="235"/>
      <c r="E86" s="1801"/>
      <c r="F86" s="1795"/>
      <c r="G86" s="1795"/>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2275</v>
      </c>
      <c r="C87" s="225">
        <f>C88+C89</f>
        <v>0</v>
      </c>
      <c r="D87" s="226"/>
      <c r="E87" s="1797"/>
      <c r="F87" s="1798"/>
      <c r="G87" s="1798"/>
      <c r="H87" s="180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2276</v>
      </c>
      <c r="C88" s="236"/>
      <c r="D88" s="226"/>
      <c r="E88" s="237" t="s">
        <v>2277</v>
      </c>
      <c r="F88" s="1798"/>
      <c r="G88" s="238" t="s">
        <v>2278</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2266</v>
      </c>
      <c r="C89" s="225">
        <f>ROUND(C88*D89,0)</f>
        <v>0</v>
      </c>
      <c r="D89" s="226">
        <f>'数据-取费表'!B48+'数据-取费表'!B49</f>
        <v>3.0499999999999999E-2</v>
      </c>
      <c r="E89" s="237" t="s">
        <v>2279</v>
      </c>
      <c r="F89" s="1798"/>
      <c r="G89" s="1798"/>
      <c r="H89" s="180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2280</v>
      </c>
      <c r="C90" s="236"/>
      <c r="D90" s="226"/>
      <c r="E90" s="237" t="str">
        <f>IF(H88="-","土地取得成本中已包含该笔费用"," ")</f>
        <v xml:space="preserve"> </v>
      </c>
      <c r="F90" s="1798"/>
      <c r="G90" s="1798"/>
      <c r="H90" s="180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2281</v>
      </c>
      <c r="B91" s="198" t="s">
        <v>2282</v>
      </c>
      <c r="C91" s="225">
        <f>IF(H91="——",成本法!C33,I91)</f>
        <v>0</v>
      </c>
      <c r="D91" s="226"/>
      <c r="E91" s="3100" t="s">
        <v>2283</v>
      </c>
      <c r="F91" s="3101"/>
      <c r="G91" s="3101"/>
      <c r="H91" s="2515" t="s">
        <v>2284</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2285</v>
      </c>
      <c r="B92" s="198" t="s">
        <v>2286</v>
      </c>
      <c r="C92" s="225">
        <f>ROUND((C87+C90+C91)*D92,0)</f>
        <v>0</v>
      </c>
      <c r="D92" s="226">
        <v>0.1</v>
      </c>
      <c r="E92" s="3100" t="s">
        <v>2287</v>
      </c>
      <c r="F92" s="3101"/>
      <c r="G92" s="3101"/>
      <c r="H92" s="311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2288</v>
      </c>
      <c r="B93" s="198" t="s">
        <v>2269</v>
      </c>
      <c r="C93" s="225">
        <f ca="1">ROUND(D45*D93/(1+'数据-取费表'!C42),0)</f>
        <v>93</v>
      </c>
      <c r="D93" s="226">
        <f>'数据-取费表'!B43</f>
        <v>5.000000000000001E-3</v>
      </c>
      <c r="E93" s="3100" t="s">
        <v>2270</v>
      </c>
      <c r="F93" s="3101"/>
      <c r="G93" s="3101"/>
      <c r="H93" s="311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2289</v>
      </c>
      <c r="B94" s="198" t="s">
        <v>2290</v>
      </c>
      <c r="C94" s="236">
        <f>ROUND((C87+C90+C91)*D94,0)</f>
        <v>0</v>
      </c>
      <c r="D94" s="226">
        <v>0.2</v>
      </c>
      <c r="E94" s="3111" t="s">
        <v>2291</v>
      </c>
      <c r="F94" s="3112"/>
      <c r="G94" s="3112"/>
      <c r="H94" s="311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2271</v>
      </c>
      <c r="C95" s="207">
        <f ca="1">ROUND(C85-C86,0)</f>
        <v>18566</v>
      </c>
      <c r="D95" s="200" t="s">
        <v>32</v>
      </c>
      <c r="E95" s="1801"/>
      <c r="F95" s="1795"/>
      <c r="G95" s="1795"/>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2272</v>
      </c>
      <c r="C96" s="227">
        <f ca="1">IF(C95&lt;=0,0,C95/C86)</f>
        <v>199.63440860215053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2273</v>
      </c>
      <c r="C97" s="228">
        <f ca="1">ROUND(IF(C95&lt;=0,0,IF(C96&gt;=200%,C95*60%-C86*35%,IF(C96&gt;=100%,C95*50%-C86*15%,IF(C96&gt;=50%,C95*40%-C86*5%,IF(C96&lt;50%,C95*30%,0))))),0)</f>
        <v>11107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2292</v>
      </c>
      <c r="B99" s="2415"/>
      <c r="C99" s="2415"/>
      <c r="D99" s="2415"/>
      <c r="E99" s="2163"/>
      <c r="F99" s="2163"/>
      <c r="G99" s="2163"/>
      <c r="H99" s="2162"/>
      <c r="I99" s="138"/>
    </row>
    <row r="100" spans="1:35" ht="18.75" customHeight="1">
      <c r="A100" s="3085" t="s">
        <v>2293</v>
      </c>
      <c r="B100" s="3086"/>
      <c r="C100" s="3086"/>
      <c r="D100" s="3102"/>
      <c r="E100" s="3086" t="s">
        <v>2294</v>
      </c>
      <c r="F100" s="3086"/>
      <c r="G100" s="3086"/>
      <c r="H100" s="3102"/>
      <c r="I100" s="138"/>
    </row>
    <row r="101" spans="1:35" ht="18.75" customHeight="1">
      <c r="A101" s="3164" t="s">
        <v>2295</v>
      </c>
      <c r="B101" s="3165"/>
      <c r="C101" s="735" t="str">
        <f>C4</f>
        <v>比较法-办公</v>
      </c>
      <c r="D101" s="736" t="str">
        <f>D4</f>
        <v>收益法</v>
      </c>
      <c r="E101" s="3178" t="s">
        <v>2296</v>
      </c>
      <c r="F101" s="3132"/>
      <c r="G101" s="2517" t="s">
        <v>2297</v>
      </c>
      <c r="H101" s="1047">
        <f ca="1">H118</f>
        <v>19592</v>
      </c>
      <c r="I101" s="138"/>
    </row>
    <row r="102" spans="1:35" ht="18.75" customHeight="1">
      <c r="A102" s="3134" t="s">
        <v>2298</v>
      </c>
      <c r="B102" s="2517" t="s">
        <v>2297</v>
      </c>
      <c r="C102" s="735">
        <f ca="1">C19</f>
        <v>19112</v>
      </c>
      <c r="D102" s="736">
        <f ca="1">D19</f>
        <v>20072</v>
      </c>
      <c r="E102" s="3178"/>
      <c r="F102" s="3132"/>
      <c r="G102" s="2517" t="s">
        <v>2299</v>
      </c>
      <c r="H102" s="371">
        <f ca="1">I118</f>
        <v>7596</v>
      </c>
      <c r="I102" s="138"/>
    </row>
    <row r="103" spans="1:35" ht="42.75" customHeight="1">
      <c r="A103" s="3134"/>
      <c r="B103" s="2517" t="s">
        <v>2299</v>
      </c>
      <c r="C103" s="737">
        <f ca="1">C20</f>
        <v>7410</v>
      </c>
      <c r="D103" s="738">
        <f ca="1">D20</f>
        <v>7782</v>
      </c>
      <c r="E103" s="3173" t="s">
        <v>2300</v>
      </c>
      <c r="F103" s="3174"/>
      <c r="G103" s="2518" t="s">
        <v>2301</v>
      </c>
      <c r="H103" s="1047">
        <f>IF(D36="正常操作",H104+H105+H106,H105+H106)</f>
        <v>0</v>
      </c>
      <c r="I103" s="138"/>
    </row>
    <row r="104" spans="1:35" ht="18.75" customHeight="1">
      <c r="A104" s="3134" t="s">
        <v>2302</v>
      </c>
      <c r="B104" s="2519" t="s">
        <v>2297</v>
      </c>
      <c r="C104" s="739">
        <f ca="1">H118</f>
        <v>19592</v>
      </c>
      <c r="D104" s="740"/>
      <c r="E104" s="2263" t="s">
        <v>2303</v>
      </c>
      <c r="F104" s="2255"/>
      <c r="G104" s="2518" t="s">
        <v>2301</v>
      </c>
      <c r="H104" s="1048">
        <f>IF(D36="同一抵押权人同一抵押物续贷",C36&amp;"（未扣减，详见特别提示）",C36)</f>
        <v>0</v>
      </c>
      <c r="I104" s="138"/>
    </row>
    <row r="105" spans="1:35" ht="18.75" customHeight="1" thickBot="1">
      <c r="A105" s="3135"/>
      <c r="B105" s="2520" t="s">
        <v>2299</v>
      </c>
      <c r="C105" s="741">
        <f ca="1">I118</f>
        <v>7596</v>
      </c>
      <c r="D105" s="742"/>
      <c r="E105" s="2263" t="s">
        <v>2304</v>
      </c>
      <c r="F105" s="2255"/>
      <c r="G105" s="2518" t="s">
        <v>2301</v>
      </c>
      <c r="H105" s="1048">
        <f>C37</f>
        <v>0</v>
      </c>
      <c r="I105" s="138"/>
    </row>
    <row r="106" spans="1:35" ht="18.75" customHeight="1">
      <c r="A106" s="2415" t="s">
        <v>2305</v>
      </c>
      <c r="B106" s="2415"/>
      <c r="C106" s="2415"/>
      <c r="D106" s="2415"/>
      <c r="E106" s="2521" t="s">
        <v>2306</v>
      </c>
      <c r="F106" s="2255"/>
      <c r="G106" s="2518" t="s">
        <v>2301</v>
      </c>
      <c r="H106" s="1048">
        <f>C38</f>
        <v>0</v>
      </c>
      <c r="I106" s="138"/>
    </row>
    <row r="107" spans="1:35" ht="18.75" customHeight="1">
      <c r="A107" s="138"/>
      <c r="B107" s="138"/>
      <c r="C107" s="138"/>
      <c r="D107" s="138"/>
      <c r="E107" s="3131" t="str">
        <f>IF(项目基本情况!E8="已注销","——","3.房地产抵押价值")</f>
        <v>3.房地产抵押价值</v>
      </c>
      <c r="F107" s="3132"/>
      <c r="G107" s="2517" t="s">
        <v>2297</v>
      </c>
      <c r="H107" s="1047">
        <f ca="1">IF(E107="——","——",H101-H103)</f>
        <v>19592</v>
      </c>
      <c r="I107" s="138"/>
    </row>
    <row r="108" spans="1:35" ht="18.75" customHeight="1">
      <c r="A108" s="138"/>
      <c r="B108" s="138"/>
      <c r="C108" s="138"/>
      <c r="D108" s="138"/>
      <c r="E108" s="3131"/>
      <c r="F108" s="3132"/>
      <c r="G108" s="2517" t="s">
        <v>2299</v>
      </c>
      <c r="H108" s="371">
        <f ca="1">ROUND(H107*10000/'数据-汇总表'!E3,0)</f>
        <v>7596</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32"/>
      <c r="G109" s="2517" t="s">
        <v>2297</v>
      </c>
      <c r="H109" s="348" t="str">
        <f>IF(E109="——","——",H101-H105-H106)</f>
        <v>——</v>
      </c>
      <c r="I109" s="138"/>
    </row>
    <row r="110" spans="1:35" ht="18.75" customHeight="1">
      <c r="A110" s="138"/>
      <c r="B110" s="138"/>
      <c r="C110" s="138"/>
      <c r="D110" s="138"/>
      <c r="E110" s="3131"/>
      <c r="F110" s="3132"/>
      <c r="G110" s="2517" t="s">
        <v>2299</v>
      </c>
      <c r="H110" s="371" t="str">
        <f>IF(H109="——","——",ROUND(H109*10000/'数据-汇总表'!E3,0))</f>
        <v>——</v>
      </c>
      <c r="I110" s="138"/>
    </row>
    <row r="111" spans="1:35" ht="18.75" customHeight="1">
      <c r="A111" s="138"/>
      <c r="B111" s="138"/>
      <c r="C111" s="138"/>
      <c r="D111" s="138"/>
      <c r="E111" s="3166" t="str">
        <f>IF(项目基本情况!E9="抵押净值",IF(OR(项目基本情况!E8="已注销",项目基本情况!E8="房地产抵押价值"),"4.抵押净值","5.抵押净值"),"——")</f>
        <v>——</v>
      </c>
      <c r="F111" s="3167"/>
      <c r="G111" s="2517" t="s">
        <v>2297</v>
      </c>
      <c r="H111" s="1047" t="str">
        <f>IF(E111="——","——",N59)</f>
        <v>——</v>
      </c>
      <c r="I111" s="138"/>
    </row>
    <row r="112" spans="1:35" ht="18.75" customHeight="1" thickBot="1">
      <c r="A112" s="138"/>
      <c r="B112" s="138"/>
      <c r="C112" s="138"/>
      <c r="D112" s="138"/>
      <c r="E112" s="3168"/>
      <c r="F112" s="3169"/>
      <c r="G112" s="2522" t="s">
        <v>2299</v>
      </c>
      <c r="H112" s="789" t="str">
        <f>IF(E111="——","——",N61)</f>
        <v>——</v>
      </c>
      <c r="I112" s="138"/>
    </row>
    <row r="113" spans="1:11" ht="18.75" customHeight="1">
      <c r="A113" s="138"/>
      <c r="B113" s="138"/>
      <c r="C113" s="138"/>
      <c r="D113" s="138"/>
      <c r="E113" s="3136" t="s">
        <v>2305</v>
      </c>
      <c r="F113" s="3136"/>
      <c r="G113" s="3136"/>
      <c r="H113" s="3136"/>
      <c r="I113" s="138"/>
    </row>
    <row r="114" spans="1:11" ht="3.75" customHeight="1">
      <c r="A114" s="2415"/>
      <c r="B114" s="2415"/>
      <c r="C114" s="2415"/>
      <c r="D114" s="2415"/>
      <c r="E114" s="2493"/>
      <c r="F114" s="2493"/>
      <c r="G114" s="2493"/>
      <c r="H114" s="2493"/>
      <c r="I114" s="2415"/>
    </row>
    <row r="115" spans="1:11" ht="18.75" customHeight="1">
      <c r="A115" s="3149" t="s">
        <v>2307</v>
      </c>
      <c r="B115" s="3150"/>
      <c r="C115" s="3150"/>
      <c r="D115" s="3150"/>
      <c r="E115" s="3150"/>
      <c r="F115" s="3150"/>
      <c r="G115" s="3150"/>
      <c r="H115" s="3150"/>
      <c r="I115" s="3151"/>
    </row>
    <row r="116" spans="1:11" ht="27" customHeight="1">
      <c r="A116" s="3042" t="s">
        <v>2308</v>
      </c>
      <c r="B116" s="3137" t="s">
        <v>2309</v>
      </c>
      <c r="C116" s="3137" t="s">
        <v>2310</v>
      </c>
      <c r="D116" s="3153" t="s">
        <v>2311</v>
      </c>
      <c r="E116" s="3154"/>
      <c r="F116" s="3145" t="s">
        <v>2312</v>
      </c>
      <c r="G116" s="3145"/>
      <c r="H116" s="3042" t="s">
        <v>2313</v>
      </c>
      <c r="I116" s="3042"/>
    </row>
    <row r="117" spans="1:11" ht="18.75" customHeight="1">
      <c r="A117" s="3042"/>
      <c r="B117" s="3138"/>
      <c r="C117" s="3138"/>
      <c r="D117" s="1796" t="s">
        <v>2314</v>
      </c>
      <c r="E117" s="1796" t="s">
        <v>2315</v>
      </c>
      <c r="F117" s="1796" t="s">
        <v>2314</v>
      </c>
      <c r="G117" s="1796" t="s">
        <v>2316</v>
      </c>
      <c r="H117" s="1796" t="s">
        <v>2314</v>
      </c>
      <c r="I117" s="1796" t="s">
        <v>2316</v>
      </c>
    </row>
    <row r="118" spans="1:11" ht="48" customHeight="1">
      <c r="A118" s="2523" t="str">
        <f>项目基本情况!S2</f>
        <v>山东省山东省济南市历城区唐冶西路868号A7-1整幢办公商业及地下车位房地产</v>
      </c>
      <c r="B118" s="1796">
        <f>M18</f>
        <v>25792.44</v>
      </c>
      <c r="C118" s="1796">
        <f>M19</f>
        <v>0</v>
      </c>
      <c r="D118" s="1796" t="e">
        <f ca="1">ROUND(IF(D32="总价",C34,E118*B118/10000),0)</f>
        <v>#DIV/0!</v>
      </c>
      <c r="E118" s="1796" t="e">
        <f ca="1">ROUND(IF(C33="自定义",IF(D32="楼面单价",C34,D118*10000/B118),I118-G118),0)</f>
        <v>#DIV/0!</v>
      </c>
      <c r="F118" s="1796" t="e">
        <f ca="1">ROUND(IF(D32="总价",C35,G118*B118/10000),0)</f>
        <v>#DIV/0!</v>
      </c>
      <c r="G118" s="1796" t="e">
        <f ca="1">ROUND(IF(D32="楼面单价",C35,F118*10000/B118),0)</f>
        <v>#DIV/0!</v>
      </c>
      <c r="H118" s="1796">
        <f ca="1">ROUND(IF(D32="总价",C32,I118*B118/10000),0)</f>
        <v>19592</v>
      </c>
      <c r="I118" s="1796">
        <f ca="1">ROUND(IF(D32="楼面单价",C32,H118*10000/B118),0)</f>
        <v>7596</v>
      </c>
      <c r="J118" s="794" t="e">
        <f ca="1">D118/C118*666.67</f>
        <v>#DIV/0!</v>
      </c>
    </row>
    <row r="119" spans="1:11" ht="18.75" customHeight="1">
      <c r="A119" s="3042" t="s">
        <v>2317</v>
      </c>
      <c r="B119" s="3042"/>
      <c r="C119" s="3042"/>
      <c r="D119" s="3142" t="e">
        <f ca="1">NUMBERSTRING(INT(D118*10000),2)&amp;"元整"</f>
        <v>#DIV/0!</v>
      </c>
      <c r="E119" s="3144"/>
      <c r="F119" s="3142" t="e">
        <f ca="1">NUMBERSTRING(INT(F118*10000),2)&amp;"元整"</f>
        <v>#DIV/0!</v>
      </c>
      <c r="G119" s="3144"/>
      <c r="H119" s="3142" t="str">
        <f ca="1">NUMBERSTRING(INT(H118*10000),2)&amp;"元整"</f>
        <v>壹亿玖仟伍佰玖拾贰万元整</v>
      </c>
      <c r="I119" s="3144"/>
    </row>
    <row r="120" spans="1:11" ht="18.75" customHeight="1">
      <c r="A120" s="3170" t="str">
        <f>IF(项目基本情况!B9="房地产市场价值","",MID(E103,3,LEN(E103)-2))</f>
        <v>估价师知悉的法定优先受偿款</v>
      </c>
      <c r="B120" s="3171"/>
      <c r="C120" s="3172"/>
      <c r="D120" s="3170">
        <f>H103</f>
        <v>0</v>
      </c>
      <c r="E120" s="3171"/>
      <c r="F120" s="3171"/>
      <c r="G120" s="3171"/>
      <c r="H120" s="3171"/>
      <c r="I120" s="3172"/>
      <c r="K120" s="2420" t="str">
        <f>IF(D120=0,"故，本次评估不存在"&amp;A120,"故，本次评估"&amp;A120&amp;"为人民币"&amp;D120&amp;"万元整。")</f>
        <v>故，本次评估不存在估价师知悉的法定优先受偿款</v>
      </c>
    </row>
    <row r="121" spans="1:11" ht="18.75" customHeight="1">
      <c r="A121" s="3146" t="s">
        <v>2317</v>
      </c>
      <c r="B121" s="3147"/>
      <c r="C121" s="3148"/>
      <c r="D121" s="3142" t="str">
        <f>IF(D120=0,"零元整",NUMBERSTRING(INT(D120*10000),2)&amp;"元整")</f>
        <v>零元整</v>
      </c>
      <c r="E121" s="3143"/>
      <c r="F121" s="3143"/>
      <c r="G121" s="3143"/>
      <c r="H121" s="3143"/>
      <c r="I121" s="3144"/>
    </row>
    <row r="122" spans="1:11" ht="18.75" customHeight="1">
      <c r="A122" s="3133" t="str">
        <f>IF(项目基本情况!B9="房地产市场价值","",MID(E107,3,LEN(E107)-2))</f>
        <v>房地产抵押价值</v>
      </c>
      <c r="B122" s="3133"/>
      <c r="C122" s="3133"/>
      <c r="D122" s="3170">
        <f ca="1">H107</f>
        <v>19592</v>
      </c>
      <c r="E122" s="3171"/>
      <c r="F122" s="3171"/>
      <c r="G122" s="3171"/>
      <c r="H122" s="3171"/>
      <c r="I122" s="3172"/>
    </row>
    <row r="123" spans="1:11" ht="18.75" customHeight="1">
      <c r="A123" s="3042" t="s">
        <v>2317</v>
      </c>
      <c r="B123" s="3042"/>
      <c r="C123" s="3042"/>
      <c r="D123" s="3142" t="str">
        <f ca="1">NUMBERSTRING(INT(D122*10000),2)&amp;"元整"</f>
        <v>壹亿玖仟伍佰玖拾贰万元整</v>
      </c>
      <c r="E123" s="3143"/>
      <c r="F123" s="3143"/>
      <c r="G123" s="3143"/>
      <c r="H123" s="3143"/>
      <c r="I123" s="3144"/>
    </row>
    <row r="124" spans="1:11" ht="18.75" customHeight="1">
      <c r="A124" s="3133" t="str">
        <f>IF(项目基本情况!B9="房地产市场价值","",MID(E109,3,LEN(E109)-2))</f>
        <v/>
      </c>
      <c r="B124" s="3133"/>
      <c r="C124" s="3133"/>
      <c r="D124" s="3170" t="str">
        <f>H109</f>
        <v>——</v>
      </c>
      <c r="E124" s="3171"/>
      <c r="F124" s="3171"/>
      <c r="G124" s="3171"/>
      <c r="H124" s="3171"/>
      <c r="I124" s="3172"/>
    </row>
    <row r="125" spans="1:11" ht="18.75" customHeight="1">
      <c r="A125" s="3042" t="s">
        <v>2317</v>
      </c>
      <c r="B125" s="3042"/>
      <c r="C125" s="3042"/>
      <c r="D125" s="3142" t="e">
        <f>NUMBERSTRING(INT(D124*10000),2)&amp;"元整"</f>
        <v>#VALUE!</v>
      </c>
      <c r="E125" s="3143"/>
      <c r="F125" s="3143"/>
      <c r="G125" s="3143"/>
      <c r="H125" s="3143"/>
      <c r="I125" s="3144"/>
    </row>
    <row r="126" spans="1:11" ht="18.75" customHeight="1">
      <c r="A126" s="3133" t="str">
        <f>IF(项目基本情况!B9="房地产市场价值","",MID(E111,3,LEN(E111)-2))</f>
        <v/>
      </c>
      <c r="B126" s="3133"/>
      <c r="C126" s="3133"/>
      <c r="D126" s="3170" t="str">
        <f>H111</f>
        <v>——</v>
      </c>
      <c r="E126" s="3171"/>
      <c r="F126" s="3171"/>
      <c r="G126" s="3171"/>
      <c r="H126" s="3171"/>
      <c r="I126" s="3172"/>
    </row>
    <row r="127" spans="1:11" ht="18.75" customHeight="1">
      <c r="A127" s="3042" t="s">
        <v>2317</v>
      </c>
      <c r="B127" s="3042"/>
      <c r="C127" s="3042"/>
      <c r="D127" s="3142" t="e">
        <f>NUMBERSTRING(INT(D126*10000),2)&amp;"元整"</f>
        <v>#VALUE!</v>
      </c>
      <c r="E127" s="3143"/>
      <c r="F127" s="3143"/>
      <c r="G127" s="3143"/>
      <c r="H127" s="3143"/>
      <c r="I127" s="3144"/>
    </row>
    <row r="128" spans="1:11" ht="21.75" customHeight="1">
      <c r="A128" s="3152" t="s">
        <v>2318</v>
      </c>
      <c r="B128" s="3152"/>
      <c r="C128" s="3152"/>
      <c r="D128" s="3152"/>
      <c r="E128" s="3152"/>
      <c r="F128" s="3152"/>
      <c r="G128" s="3152"/>
      <c r="H128" s="3152"/>
      <c r="I128" s="3152"/>
    </row>
    <row r="129" spans="1:35" ht="21.75" customHeight="1">
      <c r="A129" s="2524" t="s">
        <v>2319</v>
      </c>
      <c r="B129" s="2525"/>
      <c r="C129" s="2526" t="s">
        <v>2320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2321</v>
      </c>
      <c r="G135" s="2541"/>
      <c r="H135" s="2541"/>
      <c r="I135" s="2542" t="s">
        <v>2322</v>
      </c>
    </row>
    <row r="136" spans="1:35" ht="21.75" customHeight="1">
      <c r="A136" s="794"/>
      <c r="B136" s="2543"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2324</v>
      </c>
    </row>
    <row r="139" spans="1:35" ht="21.75" customHeight="1">
      <c r="A139" s="794"/>
      <c r="B139" s="2543" t="s">
        <v>2325</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2324</v>
      </c>
    </row>
    <row r="142" spans="1:35" ht="21.75" customHeight="1">
      <c r="A142" s="794"/>
      <c r="B142" s="2543"/>
      <c r="C142" s="2544"/>
      <c r="D142" s="2545"/>
      <c r="E142" s="2545"/>
      <c r="F142" s="2337"/>
      <c r="G142" s="794"/>
      <c r="H142" s="794"/>
      <c r="I142" s="794"/>
    </row>
    <row r="143" spans="1:35" s="139"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27" priority="21" stopIfTrue="1" operator="equal">
      <formula>25</formula>
    </cfRule>
  </conditionalFormatting>
  <conditionalFormatting sqref="C8:C9">
    <cfRule type="cellIs" dxfId="126" priority="19" stopIfTrue="1" operator="equal">
      <formula>15</formula>
    </cfRule>
  </conditionalFormatting>
  <conditionalFormatting sqref="C14:C16">
    <cfRule type="cellIs" dxfId="125" priority="13" stopIfTrue="1" operator="equal">
      <formula>30</formula>
    </cfRule>
  </conditionalFormatting>
  <conditionalFormatting sqref="D5:D7">
    <cfRule type="cellIs" dxfId="124" priority="10" stopIfTrue="1" operator="equal">
      <formula>25</formula>
    </cfRule>
  </conditionalFormatting>
  <conditionalFormatting sqref="D8:D9">
    <cfRule type="cellIs" dxfId="123" priority="9" stopIfTrue="1" operator="equal">
      <formula>15</formula>
    </cfRule>
  </conditionalFormatting>
  <conditionalFormatting sqref="C10:D13">
    <cfRule type="cellIs" dxfId="122" priority="8" stopIfTrue="1" operator="equal">
      <formula>15</formula>
    </cfRule>
  </conditionalFormatting>
  <conditionalFormatting sqref="D14:D16">
    <cfRule type="cellIs" dxfId="121" priority="6"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H19" sqref="H19"/>
    </sheetView>
  </sheetViews>
  <sheetFormatPr defaultRowHeight="14.25"/>
  <cols>
    <col min="1" max="1" width="14.375" style="403" customWidth="1"/>
    <col min="2" max="2" width="15.75" style="403" customWidth="1"/>
    <col min="3" max="3" width="17.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2329</v>
      </c>
      <c r="B3" s="608" t="e">
        <f>ROUND(IF(D3="",B2*10000/'数据-汇总表'!E3,B2*10000/D3),0)</f>
        <v>#DIV/0!</v>
      </c>
      <c r="C3" s="247" t="s">
        <v>2744</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188" t="s">
        <v>2644</v>
      </c>
      <c r="D4" s="3201"/>
      <c r="E4" s="3202" t="s">
        <v>2645</v>
      </c>
      <c r="F4" s="3203"/>
      <c r="G4" s="3188" t="s">
        <v>2646</v>
      </c>
      <c r="H4" s="3201"/>
      <c r="I4" s="3188" t="s">
        <v>2647</v>
      </c>
      <c r="J4" s="3201"/>
      <c r="K4" s="609" t="s">
        <v>2648</v>
      </c>
      <c r="L4" s="1132"/>
      <c r="M4" s="1133"/>
      <c r="N4" s="1133"/>
      <c r="O4" s="1133"/>
      <c r="P4" s="3204" t="s">
        <v>2649</v>
      </c>
      <c r="Q4" s="3205"/>
      <c r="R4" s="3210" t="s">
        <v>2645</v>
      </c>
      <c r="S4" s="3211"/>
      <c r="T4" s="3210" t="s">
        <v>2646</v>
      </c>
      <c r="U4" s="3211"/>
      <c r="V4" s="3197" t="s">
        <v>2647</v>
      </c>
      <c r="W4" s="3197"/>
      <c r="X4" s="1814"/>
      <c r="Y4" s="3210" t="s">
        <v>2649</v>
      </c>
      <c r="Z4" s="3211"/>
      <c r="AA4" s="3198" t="s">
        <v>2645</v>
      </c>
      <c r="AB4" s="3199" t="s">
        <v>2646</v>
      </c>
      <c r="AC4" s="3198" t="s">
        <v>2647</v>
      </c>
    </row>
    <row r="5" spans="1:30" ht="28.5" customHeight="1">
      <c r="A5" s="404"/>
      <c r="B5" s="405"/>
      <c r="C5" s="3218" t="s">
        <v>2540</v>
      </c>
      <c r="D5" s="3219"/>
      <c r="E5" s="3225" t="str">
        <f>Sheet2!A2</f>
        <v>正阳组团嘉华城以南、检察四分院以北、正舟路东侧</v>
      </c>
      <c r="F5" s="3226"/>
      <c r="G5" s="3218" t="str">
        <f>Sheet2!A3</f>
        <v>正阳组团武陵大道与规划路交叉口东南侧</v>
      </c>
      <c r="H5" s="3219"/>
      <c r="I5" s="3218" t="str">
        <f>Sheet2!A4</f>
        <v>舟白街道机场北二路与小南海路交叉处东南侧</v>
      </c>
      <c r="J5" s="3219"/>
      <c r="K5" s="609"/>
      <c r="L5" s="1132"/>
      <c r="M5" s="1133"/>
      <c r="N5" s="1133"/>
      <c r="O5" s="1133"/>
      <c r="P5" s="3206"/>
      <c r="Q5" s="3207"/>
      <c r="R5" s="3212"/>
      <c r="S5" s="3213"/>
      <c r="T5" s="3212"/>
      <c r="U5" s="3213"/>
      <c r="V5" s="3197"/>
      <c r="W5" s="3197"/>
      <c r="X5" s="1814"/>
      <c r="Y5" s="3212"/>
      <c r="Z5" s="3213"/>
      <c r="AA5" s="3199"/>
      <c r="AB5" s="3199"/>
      <c r="AC5" s="3199"/>
    </row>
    <row r="6" spans="1:30" ht="15.75" thickBot="1">
      <c r="A6" s="406"/>
      <c r="B6" s="407"/>
      <c r="C6" s="3216" t="s">
        <v>2544</v>
      </c>
      <c r="D6" s="3217"/>
      <c r="E6" s="3223" t="s">
        <v>2544</v>
      </c>
      <c r="F6" s="3224"/>
      <c r="G6" s="3216" t="s">
        <v>2544</v>
      </c>
      <c r="H6" s="3217"/>
      <c r="I6" s="3216" t="s">
        <v>2544</v>
      </c>
      <c r="J6" s="3217"/>
      <c r="K6" s="609" t="s">
        <v>2545</v>
      </c>
      <c r="L6" s="1132"/>
      <c r="M6" s="1133"/>
      <c r="N6" s="1133"/>
      <c r="O6" s="1133"/>
      <c r="P6" s="3208"/>
      <c r="Q6" s="3209"/>
      <c r="R6" s="3212"/>
      <c r="S6" s="3213"/>
      <c r="T6" s="3214"/>
      <c r="U6" s="3215"/>
      <c r="V6" s="3197"/>
      <c r="W6" s="3197"/>
      <c r="X6" s="1814"/>
      <c r="Y6" s="3214"/>
      <c r="Z6" s="3215"/>
      <c r="AA6" s="3200"/>
      <c r="AB6" s="3200"/>
      <c r="AC6" s="3200"/>
    </row>
    <row r="7" spans="1:30" s="117" customFormat="1" ht="15.75" thickBot="1">
      <c r="A7" s="408" t="s">
        <v>2546</v>
      </c>
      <c r="B7" s="409"/>
      <c r="C7" s="410">
        <f>'数据-取费表'!B2</f>
        <v>43692</v>
      </c>
      <c r="D7" s="411">
        <v>100</v>
      </c>
      <c r="E7" s="412" t="str">
        <f>Sheet2!AA2</f>
        <v>2018-08-15</v>
      </c>
      <c r="F7" s="413">
        <f>SUMIF(70:70,YEAR(E7)&amp;"-"&amp;INT((MONTH(E7)+2)/3),71:71)</f>
        <v>98</v>
      </c>
      <c r="G7" s="2695" t="str">
        <f>Sheet2!AA3</f>
        <v>2018-08-15</v>
      </c>
      <c r="H7" s="411">
        <f>SUMIF(70:70,YEAR(G7)&amp;"-"&amp;INT((MONTH(G7)+2)/3),71:71)</f>
        <v>98</v>
      </c>
      <c r="I7" s="2695" t="str">
        <f>Sheet2!AA4</f>
        <v>2018-08-15</v>
      </c>
      <c r="J7" s="411">
        <f>SUMIF(70:70,YEAR(I7)&amp;"-"&amp;INT((MONTH(I7)+2)/3),71:71)</f>
        <v>98</v>
      </c>
      <c r="K7" s="610"/>
      <c r="L7" s="1134"/>
      <c r="M7" s="1135"/>
      <c r="N7" s="1135"/>
      <c r="O7" s="1135"/>
      <c r="P7" s="3220" t="s">
        <v>2547</v>
      </c>
      <c r="Q7" s="3222"/>
      <c r="R7" s="769" t="s">
        <v>17</v>
      </c>
      <c r="S7" s="770">
        <f t="shared" ref="S7:S15" si="0">F7</f>
        <v>98</v>
      </c>
      <c r="T7" s="769" t="s">
        <v>17</v>
      </c>
      <c r="U7" s="770">
        <f t="shared" ref="U7:U15" si="1">H7</f>
        <v>98</v>
      </c>
      <c r="V7" s="769" t="s">
        <v>17</v>
      </c>
      <c r="W7" s="770">
        <f t="shared" ref="W7:W15" si="2">J7</f>
        <v>98</v>
      </c>
      <c r="X7" s="771"/>
      <c r="Y7" s="3220" t="s">
        <v>2547</v>
      </c>
      <c r="Z7" s="3221"/>
      <c r="AA7" s="772">
        <f>D7/F7</f>
        <v>1.0204081632653061</v>
      </c>
      <c r="AB7" s="772">
        <f>D7/H7</f>
        <v>1.0204081632653061</v>
      </c>
      <c r="AC7" s="772">
        <f>D7/J7</f>
        <v>1.0204081632653061</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0"/>
      <c r="L8" s="1134"/>
      <c r="M8" s="1135"/>
      <c r="N8" s="1135"/>
      <c r="O8" s="1135"/>
      <c r="P8" s="3220" t="s">
        <v>2550</v>
      </c>
      <c r="Q8" s="3221"/>
      <c r="R8" s="769" t="s">
        <v>17</v>
      </c>
      <c r="S8" s="770">
        <f t="shared" si="0"/>
        <v>100</v>
      </c>
      <c r="T8" s="769" t="s">
        <v>17</v>
      </c>
      <c r="U8" s="770">
        <f t="shared" si="1"/>
        <v>100</v>
      </c>
      <c r="V8" s="769" t="s">
        <v>17</v>
      </c>
      <c r="W8" s="770">
        <f t="shared" si="2"/>
        <v>100</v>
      </c>
      <c r="X8" s="771"/>
      <c r="Y8" s="3220" t="s">
        <v>2550</v>
      </c>
      <c r="Z8" s="3221"/>
      <c r="AA8" s="772">
        <f t="shared" ref="AA8:AA45" si="3">D8/F8</f>
        <v>1</v>
      </c>
      <c r="AB8" s="772">
        <f t="shared" ref="AB8:AB45" si="4">D8/H8</f>
        <v>1</v>
      </c>
      <c r="AC8" s="772">
        <f t="shared" ref="AC8:AC45" si="5">D8/J8</f>
        <v>1</v>
      </c>
    </row>
    <row r="9" spans="1:30" s="117" customFormat="1">
      <c r="A9" s="415" t="s">
        <v>2551</v>
      </c>
      <c r="B9" s="71" t="s">
        <v>2552</v>
      </c>
      <c r="C9" s="2698" t="s">
        <v>1377</v>
      </c>
      <c r="D9" s="135">
        <v>100</v>
      </c>
      <c r="E9" s="2698" t="s">
        <v>1377</v>
      </c>
      <c r="F9" s="135">
        <f>SUMIF(75:75,E9,76:76)-SUMIF(75:75,C9,76:76)+100</f>
        <v>100</v>
      </c>
      <c r="G9" s="2698" t="s">
        <v>1377</v>
      </c>
      <c r="H9" s="135">
        <f>SUMIF(75:75,G9,76:76)-SUMIF(75:75,C9,76:76)+100</f>
        <v>100</v>
      </c>
      <c r="I9" s="2698" t="s">
        <v>1377</v>
      </c>
      <c r="J9" s="135">
        <f>SUMIF(75:75,I9,76:76)-SUMIF(75:75,C9,76:76)+100</f>
        <v>100</v>
      </c>
      <c r="K9" s="610"/>
      <c r="L9" s="2980" t="s">
        <v>3233</v>
      </c>
      <c r="M9" s="1135"/>
      <c r="N9" s="1135"/>
      <c r="O9" s="1136"/>
      <c r="P9" s="3191" t="s">
        <v>2553</v>
      </c>
      <c r="Q9" s="1796" t="str">
        <f t="shared" ref="Q9:Q15" si="6">B9</f>
        <v>用途</v>
      </c>
      <c r="R9" s="769" t="s">
        <v>17</v>
      </c>
      <c r="S9" s="770">
        <f t="shared" si="0"/>
        <v>100</v>
      </c>
      <c r="T9" s="769" t="s">
        <v>17</v>
      </c>
      <c r="U9" s="770">
        <f t="shared" si="1"/>
        <v>100</v>
      </c>
      <c r="V9" s="769" t="s">
        <v>17</v>
      </c>
      <c r="W9" s="770">
        <f t="shared" si="2"/>
        <v>100</v>
      </c>
      <c r="X9" s="771"/>
      <c r="Y9" s="3042" t="s">
        <v>2554</v>
      </c>
      <c r="Z9" s="55" t="str">
        <f t="shared" ref="Z9:Z15" si="7">Q9</f>
        <v>用途</v>
      </c>
      <c r="AA9" s="772">
        <f t="shared" si="3"/>
        <v>1</v>
      </c>
      <c r="AB9" s="772">
        <f t="shared" si="4"/>
        <v>1</v>
      </c>
      <c r="AC9" s="772">
        <f t="shared" si="5"/>
        <v>1</v>
      </c>
    </row>
    <row r="10" spans="1:30" s="426" customFormat="1" ht="27">
      <c r="A10" s="420"/>
      <c r="B10" s="421" t="s">
        <v>2555</v>
      </c>
      <c r="C10" s="431"/>
      <c r="D10" s="136">
        <v>100</v>
      </c>
      <c r="E10" s="464"/>
      <c r="F10" s="136">
        <f>ROUND(100/'数据-取费表'!G16,0)</f>
        <v>102</v>
      </c>
      <c r="G10" s="462"/>
      <c r="H10" s="136">
        <f>ROUND(100/'数据-取费表'!G16,0)</f>
        <v>102</v>
      </c>
      <c r="I10" s="462"/>
      <c r="J10" s="136">
        <f>ROUND(100/'数据-取费表'!G16,0)</f>
        <v>102</v>
      </c>
      <c r="K10" s="671"/>
      <c r="L10" s="1137"/>
      <c r="M10" s="1138"/>
      <c r="N10" s="1138"/>
      <c r="O10" s="1139"/>
      <c r="P10" s="3191"/>
      <c r="Q10" s="1796" t="str">
        <f t="shared" si="6"/>
        <v>土地使用年限（年）</v>
      </c>
      <c r="R10" s="769" t="s">
        <v>17</v>
      </c>
      <c r="S10" s="770">
        <f t="shared" si="0"/>
        <v>102</v>
      </c>
      <c r="T10" s="769" t="s">
        <v>17</v>
      </c>
      <c r="U10" s="770">
        <f t="shared" si="1"/>
        <v>102</v>
      </c>
      <c r="V10" s="769" t="s">
        <v>17</v>
      </c>
      <c r="W10" s="770">
        <f t="shared" si="2"/>
        <v>102</v>
      </c>
      <c r="X10" s="771"/>
      <c r="Y10" s="3042"/>
      <c r="Z10" s="55" t="str">
        <f t="shared" si="7"/>
        <v>土地使用年限（年）</v>
      </c>
      <c r="AA10" s="772">
        <f t="shared" si="3"/>
        <v>0.98039215686274506</v>
      </c>
      <c r="AB10" s="772">
        <f t="shared" si="4"/>
        <v>0.98039215686274506</v>
      </c>
      <c r="AC10" s="772">
        <f t="shared" si="5"/>
        <v>0.98039215686274506</v>
      </c>
    </row>
    <row r="11" spans="1:30" ht="15">
      <c r="A11" s="427"/>
      <c r="B11" s="421" t="s">
        <v>2556</v>
      </c>
      <c r="C11" s="2966" t="e">
        <f>'数据-汇总表'!I7</f>
        <v>#DIV/0!</v>
      </c>
      <c r="D11" s="136">
        <v>100</v>
      </c>
      <c r="E11" s="428">
        <v>1</v>
      </c>
      <c r="F11" s="136" t="e">
        <f>LOOKUP(E11,80:80,81:81)-LOOKUP(C11,80:80,81:81)+100</f>
        <v>#DIV/0!</v>
      </c>
      <c r="G11" s="429">
        <v>1</v>
      </c>
      <c r="H11" s="136" t="e">
        <f>LOOKUP(G11,80:80,81:81)-LOOKUP(C11,80:80,81:81)+100</f>
        <v>#DIV/0!</v>
      </c>
      <c r="I11" s="428">
        <v>0.3</v>
      </c>
      <c r="J11" s="136" t="e">
        <f>LOOKUP(I11,80:80,81:81)-LOOKUP(C11,80:80,81:81)+100</f>
        <v>#DIV/0!</v>
      </c>
      <c r="K11" s="672">
        <v>0.5</v>
      </c>
      <c r="L11" s="1140"/>
      <c r="M11" s="1133"/>
      <c r="N11" s="1133"/>
      <c r="O11" s="1141"/>
      <c r="P11" s="3191"/>
      <c r="Q11" s="1796" t="str">
        <f t="shared" si="6"/>
        <v>容积率</v>
      </c>
      <c r="R11" s="769" t="s">
        <v>17</v>
      </c>
      <c r="S11" s="770" t="e">
        <f t="shared" si="0"/>
        <v>#DIV/0!</v>
      </c>
      <c r="T11" s="769" t="s">
        <v>17</v>
      </c>
      <c r="U11" s="770" t="e">
        <f t="shared" si="1"/>
        <v>#DIV/0!</v>
      </c>
      <c r="V11" s="769" t="s">
        <v>17</v>
      </c>
      <c r="W11" s="770" t="e">
        <f t="shared" si="2"/>
        <v>#DIV/0!</v>
      </c>
      <c r="X11" s="771"/>
      <c r="Y11" s="3042"/>
      <c r="Z11" s="55" t="str">
        <f t="shared" si="7"/>
        <v>容积率</v>
      </c>
      <c r="AA11" s="772" t="e">
        <f t="shared" si="3"/>
        <v>#DIV/0!</v>
      </c>
      <c r="AB11" s="772" t="e">
        <f t="shared" si="4"/>
        <v>#DIV/0!</v>
      </c>
      <c r="AC11" s="772" t="e">
        <f t="shared" si="5"/>
        <v>#DIV/0!</v>
      </c>
    </row>
    <row r="12" spans="1:30" s="117" customFormat="1" ht="15">
      <c r="A12" s="430"/>
      <c r="B12" s="2599" t="s">
        <v>2745</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191"/>
      <c r="Q12" s="1796" t="str">
        <f t="shared" si="6"/>
        <v>配建</v>
      </c>
      <c r="R12" s="769" t="s">
        <v>17</v>
      </c>
      <c r="S12" s="770">
        <f t="shared" si="0"/>
        <v>100</v>
      </c>
      <c r="T12" s="769" t="s">
        <v>17</v>
      </c>
      <c r="U12" s="770">
        <f t="shared" si="1"/>
        <v>100</v>
      </c>
      <c r="V12" s="769" t="s">
        <v>17</v>
      </c>
      <c r="W12" s="770">
        <f t="shared" si="2"/>
        <v>100</v>
      </c>
      <c r="X12" s="771"/>
      <c r="Y12" s="3042"/>
      <c r="Z12" s="55" t="str">
        <f t="shared" si="7"/>
        <v>配建</v>
      </c>
      <c r="AA12" s="772">
        <f>D12/F12</f>
        <v>1</v>
      </c>
      <c r="AB12" s="772">
        <f>D12/H12</f>
        <v>1</v>
      </c>
      <c r="AC12" s="772">
        <f>D12/J12</f>
        <v>1</v>
      </c>
    </row>
    <row r="13" spans="1:30" ht="15">
      <c r="A13" s="427"/>
      <c r="B13" s="2599">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191"/>
      <c r="Q13" s="1796">
        <f t="shared" si="6"/>
        <v>111</v>
      </c>
      <c r="R13" s="769" t="s">
        <v>17</v>
      </c>
      <c r="S13" s="770">
        <f t="shared" si="0"/>
        <v>100</v>
      </c>
      <c r="T13" s="769" t="s">
        <v>17</v>
      </c>
      <c r="U13" s="770">
        <f t="shared" si="1"/>
        <v>100</v>
      </c>
      <c r="V13" s="769" t="s">
        <v>17</v>
      </c>
      <c r="W13" s="770">
        <f t="shared" si="2"/>
        <v>100</v>
      </c>
      <c r="X13" s="771"/>
      <c r="Y13" s="3042"/>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91"/>
      <c r="Q14" s="1796">
        <f t="shared" si="6"/>
        <v>111</v>
      </c>
      <c r="R14" s="769" t="s">
        <v>17</v>
      </c>
      <c r="S14" s="770">
        <f t="shared" si="0"/>
        <v>100</v>
      </c>
      <c r="T14" s="769" t="s">
        <v>17</v>
      </c>
      <c r="U14" s="770">
        <f t="shared" si="1"/>
        <v>100</v>
      </c>
      <c r="V14" s="769" t="s">
        <v>17</v>
      </c>
      <c r="W14" s="770">
        <f t="shared" si="2"/>
        <v>100</v>
      </c>
      <c r="X14" s="771"/>
      <c r="Y14" s="3042"/>
      <c r="Z14" s="55">
        <f t="shared" si="7"/>
        <v>111</v>
      </c>
      <c r="AA14" s="772">
        <f>D14/F14</f>
        <v>1</v>
      </c>
      <c r="AB14" s="772">
        <f>D14/H14</f>
        <v>1</v>
      </c>
      <c r="AC14" s="772">
        <f>D14/J14</f>
        <v>1</v>
      </c>
    </row>
    <row r="15" spans="1:30" ht="85.5">
      <c r="A15" s="439" t="s">
        <v>2557</v>
      </c>
      <c r="B15" s="69" t="s">
        <v>2084</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93" t="s">
        <v>2558</v>
      </c>
      <c r="Q15" s="1811" t="str">
        <f t="shared" si="6"/>
        <v>居住社区成熟度</v>
      </c>
      <c r="R15" s="773" t="s">
        <v>17</v>
      </c>
      <c r="S15" s="774">
        <f t="shared" si="0"/>
        <v>100</v>
      </c>
      <c r="T15" s="773" t="s">
        <v>17</v>
      </c>
      <c r="U15" s="774">
        <f t="shared" si="1"/>
        <v>100</v>
      </c>
      <c r="V15" s="773" t="s">
        <v>17</v>
      </c>
      <c r="W15" s="774">
        <f t="shared" si="2"/>
        <v>100</v>
      </c>
      <c r="X15" s="1814"/>
      <c r="Y15" s="3193" t="s">
        <v>2558</v>
      </c>
      <c r="Z15" s="1815" t="str">
        <f t="shared" si="7"/>
        <v>居住社区成熟度</v>
      </c>
      <c r="AA15" s="1812">
        <f t="shared" si="3"/>
        <v>1</v>
      </c>
      <c r="AB15" s="1812">
        <f t="shared" si="4"/>
        <v>1</v>
      </c>
      <c r="AC15" s="1812">
        <f t="shared" si="5"/>
        <v>1</v>
      </c>
    </row>
    <row r="16" spans="1:30" ht="15">
      <c r="A16" s="427"/>
      <c r="B16" s="445"/>
      <c r="C16" s="446"/>
      <c r="D16" s="447"/>
      <c r="E16" s="2604"/>
      <c r="F16" s="447"/>
      <c r="G16" s="2604"/>
      <c r="H16" s="449"/>
      <c r="I16" s="2603"/>
      <c r="J16" s="447"/>
      <c r="K16" s="671"/>
      <c r="L16" s="1142"/>
      <c r="M16" s="1133"/>
      <c r="N16" s="1133"/>
      <c r="O16" s="1141"/>
      <c r="P16" s="3194"/>
      <c r="Q16" s="1811"/>
      <c r="R16" s="773"/>
      <c r="S16" s="774"/>
      <c r="T16" s="773"/>
      <c r="U16" s="774"/>
      <c r="V16" s="773"/>
      <c r="W16" s="774"/>
      <c r="X16" s="1814"/>
      <c r="Y16" s="3194"/>
      <c r="Z16" s="1815"/>
      <c r="AA16" s="1812">
        <v>1</v>
      </c>
      <c r="AB16" s="1812">
        <v>1</v>
      </c>
      <c r="AC16" s="1812">
        <v>1</v>
      </c>
    </row>
    <row r="17" spans="1:29" ht="57">
      <c r="A17" s="427"/>
      <c r="B17" s="450" t="s">
        <v>2651</v>
      </c>
      <c r="C17" s="2663" t="str">
        <f>估价对象房地状况!C16</f>
        <v>估价对象位于XX商圈，周边商业氛围成熟，人流量大，商业繁华度好</v>
      </c>
      <c r="D17" s="449">
        <v>100</v>
      </c>
      <c r="E17" s="451"/>
      <c r="F17" s="449">
        <f>SUMIF(90:90,E18,91:91)-SUMIF(90:90,C18,91:91)+100</f>
        <v>97</v>
      </c>
      <c r="G17" s="451"/>
      <c r="H17" s="454">
        <f>SUMIF(90:90,G18,91:91)-SUMIF(90:90,C18,91:91)+100</f>
        <v>97</v>
      </c>
      <c r="I17" s="453"/>
      <c r="J17" s="454">
        <f>SUMIF(90:90,I18,91:91)-SUMIF(90:90,C18,91:91)+100</f>
        <v>91</v>
      </c>
      <c r="K17" s="672">
        <v>3</v>
      </c>
      <c r="L17" s="1142"/>
      <c r="M17" s="1133"/>
      <c r="N17" s="1133"/>
      <c r="O17" s="1141"/>
      <c r="P17" s="3194"/>
      <c r="Q17" s="1811" t="str">
        <f>B17</f>
        <v>商业繁华度</v>
      </c>
      <c r="R17" s="773" t="s">
        <v>17</v>
      </c>
      <c r="S17" s="774">
        <f>F17</f>
        <v>97</v>
      </c>
      <c r="T17" s="773" t="s">
        <v>17</v>
      </c>
      <c r="U17" s="774">
        <f>H17</f>
        <v>97</v>
      </c>
      <c r="V17" s="773" t="s">
        <v>17</v>
      </c>
      <c r="W17" s="774">
        <f>J17</f>
        <v>91</v>
      </c>
      <c r="X17" s="1814"/>
      <c r="Y17" s="3194"/>
      <c r="Z17" s="1815" t="str">
        <f>Q17</f>
        <v>商业繁华度</v>
      </c>
      <c r="AA17" s="1812">
        <f t="shared" si="3"/>
        <v>1.0309278350515463</v>
      </c>
      <c r="AB17" s="1812">
        <f t="shared" si="4"/>
        <v>1.0309278350515463</v>
      </c>
      <c r="AC17" s="1812">
        <f t="shared" si="5"/>
        <v>1.098901098901099</v>
      </c>
    </row>
    <row r="18" spans="1:29" ht="15">
      <c r="A18" s="427"/>
      <c r="B18" s="455"/>
      <c r="C18" s="2607" t="s">
        <v>3206</v>
      </c>
      <c r="D18" s="449"/>
      <c r="E18" s="2609" t="s">
        <v>3207</v>
      </c>
      <c r="F18" s="449"/>
      <c r="G18" s="2609" t="s">
        <v>3207</v>
      </c>
      <c r="H18" s="447"/>
      <c r="I18" s="2608" t="s">
        <v>3208</v>
      </c>
      <c r="J18" s="447"/>
      <c r="K18" s="671"/>
      <c r="L18" s="1142"/>
      <c r="M18" s="1133"/>
      <c r="N18" s="1133"/>
      <c r="O18" s="1141"/>
      <c r="P18" s="3194"/>
      <c r="Q18" s="1811"/>
      <c r="R18" s="773"/>
      <c r="S18" s="774"/>
      <c r="T18" s="773"/>
      <c r="U18" s="774"/>
      <c r="V18" s="773"/>
      <c r="W18" s="774"/>
      <c r="X18" s="1814"/>
      <c r="Y18" s="3194"/>
      <c r="Z18" s="1815"/>
      <c r="AA18" s="1812">
        <v>1</v>
      </c>
      <c r="AB18" s="1812">
        <v>1</v>
      </c>
      <c r="AC18" s="1812">
        <v>1</v>
      </c>
    </row>
    <row r="19" spans="1:29" ht="71.25">
      <c r="A19" s="427"/>
      <c r="B19" s="450" t="s">
        <v>2685</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94"/>
      <c r="Q19" s="1811" t="str">
        <f>B19</f>
        <v>办公集聚程度</v>
      </c>
      <c r="R19" s="773" t="s">
        <v>17</v>
      </c>
      <c r="S19" s="774">
        <f>F19</f>
        <v>100</v>
      </c>
      <c r="T19" s="773" t="s">
        <v>17</v>
      </c>
      <c r="U19" s="774">
        <f>H19</f>
        <v>100</v>
      </c>
      <c r="V19" s="773" t="s">
        <v>17</v>
      </c>
      <c r="W19" s="774">
        <f>J19</f>
        <v>100</v>
      </c>
      <c r="X19" s="1814"/>
      <c r="Y19" s="3194"/>
      <c r="Z19" s="1815" t="str">
        <f>Q19</f>
        <v>办公集聚程度</v>
      </c>
      <c r="AA19" s="1812">
        <f t="shared" si="3"/>
        <v>1</v>
      </c>
      <c r="AB19" s="1812">
        <f t="shared" si="4"/>
        <v>1</v>
      </c>
      <c r="AC19" s="1812">
        <f t="shared" si="5"/>
        <v>1</v>
      </c>
    </row>
    <row r="20" spans="1:29" ht="15">
      <c r="A20" s="427"/>
      <c r="B20" s="455"/>
      <c r="C20" s="446"/>
      <c r="D20" s="447"/>
      <c r="E20" s="2604"/>
      <c r="F20" s="447"/>
      <c r="G20" s="2604"/>
      <c r="H20" s="447"/>
      <c r="I20" s="2603"/>
      <c r="J20" s="447"/>
      <c r="K20" s="671"/>
      <c r="L20" s="1142"/>
      <c r="M20" s="1133"/>
      <c r="N20" s="1133"/>
      <c r="O20" s="1141"/>
      <c r="P20" s="3194"/>
      <c r="Q20" s="1811"/>
      <c r="R20" s="773"/>
      <c r="S20" s="774"/>
      <c r="T20" s="773"/>
      <c r="U20" s="774"/>
      <c r="V20" s="773"/>
      <c r="W20" s="774"/>
      <c r="X20" s="1814"/>
      <c r="Y20" s="3194"/>
      <c r="Z20" s="1815"/>
      <c r="AA20" s="1812">
        <v>1</v>
      </c>
      <c r="AB20" s="1812">
        <v>1</v>
      </c>
      <c r="AC20" s="1812">
        <v>1</v>
      </c>
    </row>
    <row r="21" spans="1:29" ht="71.25">
      <c r="A21" s="427"/>
      <c r="B21" s="450" t="s">
        <v>2707</v>
      </c>
      <c r="C21" s="2606" t="str">
        <f>估价对象房地状况!C18</f>
        <v>估价对象周边道路状况、公共交通通达情况、停车便捷程度，综合评价交通便捷度较好</v>
      </c>
      <c r="D21" s="449">
        <v>100</v>
      </c>
      <c r="E21" s="451"/>
      <c r="F21" s="454">
        <f>SUMIF(94:94,E22,95:95)-SUMIF(94:94,C22,95:95)+100</f>
        <v>98</v>
      </c>
      <c r="G21" s="451"/>
      <c r="H21" s="449">
        <f>SUMIF(94:94,G22,95:95)-SUMIF(94:94,C22,95:95)+100</f>
        <v>98</v>
      </c>
      <c r="I21" s="453"/>
      <c r="J21" s="449">
        <f>SUMIF(94:94,I22,95:95)-SUMIF(94:94,C22,95:95)+100</f>
        <v>98</v>
      </c>
      <c r="K21" s="672">
        <v>2</v>
      </c>
      <c r="L21" s="1142"/>
      <c r="M21" s="1133"/>
      <c r="N21" s="1133"/>
      <c r="O21" s="1141"/>
      <c r="P21" s="3194"/>
      <c r="Q21" s="1811" t="str">
        <f>B21</f>
        <v>交通便捷度</v>
      </c>
      <c r="R21" s="773" t="s">
        <v>17</v>
      </c>
      <c r="S21" s="774">
        <f>F21</f>
        <v>98</v>
      </c>
      <c r="T21" s="773" t="s">
        <v>17</v>
      </c>
      <c r="U21" s="774">
        <f>H21</f>
        <v>98</v>
      </c>
      <c r="V21" s="773" t="s">
        <v>17</v>
      </c>
      <c r="W21" s="774">
        <f>J21</f>
        <v>98</v>
      </c>
      <c r="X21" s="1814"/>
      <c r="Y21" s="3194"/>
      <c r="Z21" s="1815" t="str">
        <f>Q21</f>
        <v>交通便捷度</v>
      </c>
      <c r="AA21" s="1812">
        <f t="shared" si="3"/>
        <v>1.0204081632653061</v>
      </c>
      <c r="AB21" s="1812">
        <f t="shared" si="4"/>
        <v>1.0204081632653061</v>
      </c>
      <c r="AC21" s="1812">
        <f t="shared" si="5"/>
        <v>1.0204081632653061</v>
      </c>
    </row>
    <row r="22" spans="1:29" ht="15">
      <c r="A22" s="427"/>
      <c r="B22" s="1385"/>
      <c r="C22" s="446" t="s">
        <v>3207</v>
      </c>
      <c r="D22" s="449"/>
      <c r="E22" s="446" t="s">
        <v>3209</v>
      </c>
      <c r="F22" s="447"/>
      <c r="G22" s="446" t="s">
        <v>3209</v>
      </c>
      <c r="H22" s="447"/>
      <c r="I22" s="2603" t="s">
        <v>3209</v>
      </c>
      <c r="J22" s="447"/>
      <c r="K22" s="671"/>
      <c r="L22" s="1142"/>
      <c r="M22" s="1133"/>
      <c r="N22" s="1133"/>
      <c r="O22" s="1141"/>
      <c r="P22" s="3194"/>
      <c r="Q22" s="1811"/>
      <c r="R22" s="773"/>
      <c r="S22" s="774"/>
      <c r="T22" s="773"/>
      <c r="U22" s="774"/>
      <c r="V22" s="773"/>
      <c r="W22" s="774"/>
      <c r="X22" s="1814"/>
      <c r="Y22" s="3194"/>
      <c r="Z22" s="1815"/>
      <c r="AA22" s="1812">
        <v>1</v>
      </c>
      <c r="AB22" s="1812">
        <v>1</v>
      </c>
      <c r="AC22" s="1812">
        <v>1</v>
      </c>
    </row>
    <row r="23" spans="1:29" ht="15">
      <c r="A23" s="404"/>
      <c r="B23" s="450" t="s">
        <v>2746</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94"/>
      <c r="Q23" s="1811" t="str">
        <f t="shared" ref="Q23:Q37" si="8">B23</f>
        <v>区域土地利用方向</v>
      </c>
      <c r="R23" s="773" t="s">
        <v>17</v>
      </c>
      <c r="S23" s="774">
        <f>F23</f>
        <v>100</v>
      </c>
      <c r="T23" s="773" t="s">
        <v>17</v>
      </c>
      <c r="U23" s="774">
        <f>H23</f>
        <v>100</v>
      </c>
      <c r="V23" s="773" t="s">
        <v>17</v>
      </c>
      <c r="W23" s="774">
        <f>J23</f>
        <v>100</v>
      </c>
      <c r="X23" s="1814"/>
      <c r="Y23" s="3194"/>
      <c r="Z23" s="1815" t="str">
        <f>Q23</f>
        <v>区域土地利用方向</v>
      </c>
      <c r="AA23" s="1812">
        <f t="shared" si="3"/>
        <v>1</v>
      </c>
      <c r="AB23" s="1812">
        <f t="shared" si="4"/>
        <v>1</v>
      </c>
      <c r="AC23" s="1812">
        <f t="shared" si="5"/>
        <v>1</v>
      </c>
    </row>
    <row r="24" spans="1:29" ht="15">
      <c r="A24" s="404"/>
      <c r="B24" s="455"/>
      <c r="C24" s="615"/>
      <c r="D24" s="447"/>
      <c r="E24" s="2604"/>
      <c r="F24" s="447"/>
      <c r="G24" s="2603"/>
      <c r="H24" s="447"/>
      <c r="I24" s="2603"/>
      <c r="J24" s="447"/>
      <c r="K24" s="811"/>
      <c r="L24" s="1142"/>
      <c r="M24" s="1133"/>
      <c r="N24" s="1133"/>
      <c r="O24" s="1141"/>
      <c r="P24" s="3194"/>
      <c r="Q24" s="1811"/>
      <c r="R24" s="773"/>
      <c r="S24" s="774"/>
      <c r="T24" s="773"/>
      <c r="U24" s="774"/>
      <c r="V24" s="773"/>
      <c r="W24" s="774"/>
      <c r="X24" s="1814"/>
      <c r="Y24" s="3194"/>
      <c r="Z24" s="1815"/>
      <c r="AA24" s="1812"/>
      <c r="AB24" s="1812"/>
      <c r="AC24" s="1812"/>
    </row>
    <row r="25" spans="1:29" ht="42.75">
      <c r="A25" s="404"/>
      <c r="B25" s="1385" t="s">
        <v>2747</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98</v>
      </c>
      <c r="K25" s="672">
        <v>2</v>
      </c>
      <c r="L25" s="1142"/>
      <c r="M25" s="1133"/>
      <c r="N25" s="1133"/>
      <c r="O25" s="1141"/>
      <c r="P25" s="3194"/>
      <c r="Q25" s="1811" t="str">
        <f t="shared" si="8"/>
        <v>自然及人文环境状况</v>
      </c>
      <c r="R25" s="773" t="s">
        <v>17</v>
      </c>
      <c r="S25" s="774">
        <f>F25</f>
        <v>100</v>
      </c>
      <c r="T25" s="773" t="s">
        <v>17</v>
      </c>
      <c r="U25" s="774">
        <f>H25</f>
        <v>100</v>
      </c>
      <c r="V25" s="773" t="s">
        <v>17</v>
      </c>
      <c r="W25" s="774">
        <f>J25</f>
        <v>98</v>
      </c>
      <c r="X25" s="1814"/>
      <c r="Y25" s="3194"/>
      <c r="Z25" s="1815" t="str">
        <f>Q25</f>
        <v>自然及人文环境状况</v>
      </c>
      <c r="AA25" s="1812">
        <f t="shared" si="3"/>
        <v>1</v>
      </c>
      <c r="AB25" s="1812">
        <f t="shared" si="4"/>
        <v>1</v>
      </c>
      <c r="AC25" s="1812">
        <f t="shared" si="5"/>
        <v>1.0204081632653061</v>
      </c>
    </row>
    <row r="26" spans="1:29" ht="15">
      <c r="A26" s="404"/>
      <c r="B26" s="455"/>
      <c r="C26" s="446" t="s">
        <v>3207</v>
      </c>
      <c r="D26" s="447"/>
      <c r="E26" s="446" t="s">
        <v>3207</v>
      </c>
      <c r="F26" s="447"/>
      <c r="G26" s="446" t="s">
        <v>3207</v>
      </c>
      <c r="H26" s="447"/>
      <c r="I26" s="446" t="s">
        <v>3209</v>
      </c>
      <c r="J26" s="447"/>
      <c r="K26" s="671"/>
      <c r="L26" s="1142"/>
      <c r="M26" s="1133"/>
      <c r="N26" s="1133"/>
      <c r="O26" s="1141"/>
      <c r="P26" s="3194"/>
      <c r="Q26" s="1811"/>
      <c r="R26" s="773"/>
      <c r="S26" s="774"/>
      <c r="T26" s="773"/>
      <c r="U26" s="774"/>
      <c r="V26" s="773"/>
      <c r="W26" s="774"/>
      <c r="X26" s="1814"/>
      <c r="Y26" s="3194"/>
      <c r="Z26" s="1815"/>
      <c r="AA26" s="1812">
        <v>1</v>
      </c>
      <c r="AB26" s="1812">
        <v>1</v>
      </c>
      <c r="AC26" s="1812">
        <v>1</v>
      </c>
    </row>
    <row r="27" spans="1:29" s="117" customFormat="1" ht="42.75">
      <c r="A27" s="648"/>
      <c r="B27" s="1385" t="s">
        <v>2652</v>
      </c>
      <c r="C27" s="2606" t="str">
        <f>估价对象房地状况!C21</f>
        <v>估价对象所在区域公共配套设施齐备情况</v>
      </c>
      <c r="D27" s="449">
        <v>100</v>
      </c>
      <c r="E27" s="451"/>
      <c r="F27" s="449">
        <f>SUMIF(100:100,E28,101:101)-SUMIF(100:100,C28,101:101)+100</f>
        <v>98</v>
      </c>
      <c r="G27" s="451"/>
      <c r="H27" s="449">
        <f>SUMIF(100:100,G28,101:101)-SUMIF(100:100,C28,101:101)+100</f>
        <v>98</v>
      </c>
      <c r="I27" s="453"/>
      <c r="J27" s="449">
        <f>SUMIF(100:100,I28,101:101)-SUMIF(100:100,C28,101:101)+100</f>
        <v>96</v>
      </c>
      <c r="K27" s="672">
        <v>2</v>
      </c>
      <c r="L27" s="1134"/>
      <c r="M27" s="1135"/>
      <c r="N27" s="1135"/>
      <c r="O27" s="1136"/>
      <c r="P27" s="3194"/>
      <c r="Q27" s="1796" t="str">
        <f t="shared" si="8"/>
        <v>公共配套设施</v>
      </c>
      <c r="R27" s="769" t="s">
        <v>17</v>
      </c>
      <c r="S27" s="770">
        <f>F27</f>
        <v>98</v>
      </c>
      <c r="T27" s="769" t="s">
        <v>17</v>
      </c>
      <c r="U27" s="770">
        <f>H27</f>
        <v>98</v>
      </c>
      <c r="V27" s="769" t="s">
        <v>17</v>
      </c>
      <c r="W27" s="770">
        <f>J27</f>
        <v>96</v>
      </c>
      <c r="X27" s="771"/>
      <c r="Y27" s="3194"/>
      <c r="Z27" s="55" t="str">
        <f>Q27</f>
        <v>公共配套设施</v>
      </c>
      <c r="AA27" s="1812">
        <f>D27/F27</f>
        <v>1.0204081632653061</v>
      </c>
      <c r="AB27" s="1812">
        <f>D27/H27</f>
        <v>1.0204081632653061</v>
      </c>
      <c r="AC27" s="1812">
        <f>D27/J27</f>
        <v>1.0416666666666667</v>
      </c>
    </row>
    <row r="28" spans="1:29" s="117" customFormat="1" ht="15">
      <c r="A28" s="648"/>
      <c r="B28" s="455"/>
      <c r="C28" s="2699" t="s">
        <v>3206</v>
      </c>
      <c r="D28" s="447"/>
      <c r="E28" s="446" t="s">
        <v>3207</v>
      </c>
      <c r="F28" s="447"/>
      <c r="G28" s="446" t="s">
        <v>3207</v>
      </c>
      <c r="H28" s="447"/>
      <c r="I28" s="2603" t="s">
        <v>3209</v>
      </c>
      <c r="J28" s="447"/>
      <c r="K28" s="671"/>
      <c r="L28" s="1134"/>
      <c r="M28" s="1135"/>
      <c r="N28" s="1135"/>
      <c r="O28" s="1136"/>
      <c r="P28" s="3194"/>
      <c r="Q28" s="1796"/>
      <c r="R28" s="769"/>
      <c r="S28" s="770"/>
      <c r="T28" s="769"/>
      <c r="U28" s="770"/>
      <c r="V28" s="769"/>
      <c r="W28" s="770"/>
      <c r="X28" s="771"/>
      <c r="Y28" s="3194"/>
      <c r="Z28" s="55"/>
      <c r="AA28" s="1812">
        <v>1</v>
      </c>
      <c r="AB28" s="1812">
        <v>1</v>
      </c>
      <c r="AC28" s="1812">
        <v>1</v>
      </c>
    </row>
    <row r="29" spans="1:29" s="117" customFormat="1" ht="28.5">
      <c r="A29" s="648"/>
      <c r="B29" s="1385" t="s">
        <v>2653</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4"/>
      <c r="M29" s="1135"/>
      <c r="N29" s="1135"/>
      <c r="O29" s="1136"/>
      <c r="P29" s="3194"/>
      <c r="Q29" s="1796" t="str">
        <f>B29</f>
        <v>基础设施水平</v>
      </c>
      <c r="R29" s="769" t="s">
        <v>17</v>
      </c>
      <c r="S29" s="770">
        <f>F29</f>
        <v>100</v>
      </c>
      <c r="T29" s="769" t="s">
        <v>17</v>
      </c>
      <c r="U29" s="770">
        <f>H29</f>
        <v>100</v>
      </c>
      <c r="V29" s="769" t="s">
        <v>17</v>
      </c>
      <c r="W29" s="770">
        <f>J29</f>
        <v>100</v>
      </c>
      <c r="X29" s="771"/>
      <c r="Y29" s="3194"/>
      <c r="Z29" s="55" t="str">
        <f>Q29</f>
        <v>基础设施水平</v>
      </c>
      <c r="AA29" s="1812">
        <f>D29/F29</f>
        <v>1</v>
      </c>
      <c r="AB29" s="1812">
        <f>D29/H29</f>
        <v>1</v>
      </c>
      <c r="AC29" s="1812">
        <f>D29/J29</f>
        <v>1</v>
      </c>
    </row>
    <row r="30" spans="1:29" s="117" customFormat="1" ht="27">
      <c r="A30" s="648"/>
      <c r="B30" s="455"/>
      <c r="C30" s="2699" t="s">
        <v>3220</v>
      </c>
      <c r="D30" s="447"/>
      <c r="E30" s="2699" t="s">
        <v>3220</v>
      </c>
      <c r="F30" s="447"/>
      <c r="G30" s="2699" t="s">
        <v>3220</v>
      </c>
      <c r="H30" s="447"/>
      <c r="I30" s="2699" t="s">
        <v>3220</v>
      </c>
      <c r="J30" s="447"/>
      <c r="K30" s="671"/>
      <c r="L30" s="2980" t="s">
        <v>3234</v>
      </c>
      <c r="M30" s="1135"/>
      <c r="N30" s="1135"/>
      <c r="O30" s="1136"/>
      <c r="P30" s="3194"/>
      <c r="Q30" s="1796"/>
      <c r="R30" s="769"/>
      <c r="S30" s="770"/>
      <c r="T30" s="769"/>
      <c r="U30" s="770"/>
      <c r="V30" s="769"/>
      <c r="W30" s="770"/>
      <c r="X30" s="771"/>
      <c r="Y30" s="3194"/>
      <c r="Z30" s="55"/>
      <c r="AA30" s="1812">
        <v>1</v>
      </c>
      <c r="AB30" s="1812">
        <v>1</v>
      </c>
      <c r="AC30" s="1812">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94"/>
      <c r="Q31" s="1811" t="str">
        <f t="shared" si="8"/>
        <v>临街状况</v>
      </c>
      <c r="R31" s="773" t="s">
        <v>17</v>
      </c>
      <c r="S31" s="774">
        <f t="shared" ref="S31:S45" si="9">F31</f>
        <v>100</v>
      </c>
      <c r="T31" s="773" t="s">
        <v>17</v>
      </c>
      <c r="U31" s="774">
        <f t="shared" ref="U31:U45" si="10">H31</f>
        <v>100</v>
      </c>
      <c r="V31" s="773" t="s">
        <v>17</v>
      </c>
      <c r="W31" s="774">
        <f t="shared" ref="W31:W45" si="11">J31</f>
        <v>100</v>
      </c>
      <c r="X31" s="1814"/>
      <c r="Y31" s="3194"/>
      <c r="Z31" s="1815" t="str">
        <f t="shared" ref="Z31:Z45" si="12">Q31</f>
        <v>临街状况</v>
      </c>
      <c r="AA31" s="1812">
        <f t="shared" si="3"/>
        <v>1</v>
      </c>
      <c r="AB31" s="1812">
        <f t="shared" si="4"/>
        <v>1</v>
      </c>
      <c r="AC31" s="1812">
        <f t="shared" si="5"/>
        <v>1</v>
      </c>
    </row>
    <row r="32" spans="1:29" ht="27">
      <c r="A32" s="427"/>
      <c r="B32" s="1385"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94"/>
      <c r="Q32" s="1811" t="str">
        <f t="shared" si="8"/>
        <v>毗邻道路的类型与等级</v>
      </c>
      <c r="R32" s="773" t="s">
        <v>17</v>
      </c>
      <c r="S32" s="774">
        <f t="shared" si="9"/>
        <v>100</v>
      </c>
      <c r="T32" s="773" t="s">
        <v>17</v>
      </c>
      <c r="U32" s="774">
        <f t="shared" si="10"/>
        <v>100</v>
      </c>
      <c r="V32" s="773" t="s">
        <v>17</v>
      </c>
      <c r="W32" s="774">
        <f t="shared" si="11"/>
        <v>100</v>
      </c>
      <c r="X32" s="1814"/>
      <c r="Y32" s="3194"/>
      <c r="Z32" s="1815" t="str">
        <f t="shared" si="12"/>
        <v>毗邻道路的类型与等级</v>
      </c>
      <c r="AA32" s="1812">
        <f t="shared" si="3"/>
        <v>1</v>
      </c>
      <c r="AB32" s="1812">
        <f t="shared" si="4"/>
        <v>1</v>
      </c>
      <c r="AC32" s="1812">
        <f t="shared" si="5"/>
        <v>1</v>
      </c>
    </row>
    <row r="33" spans="1:29" ht="15">
      <c r="A33" s="427"/>
      <c r="B33" s="455"/>
      <c r="C33" s="446"/>
      <c r="D33" s="447"/>
      <c r="E33" s="2610"/>
      <c r="F33" s="447"/>
      <c r="G33" s="2610"/>
      <c r="H33" s="447"/>
      <c r="I33" s="446"/>
      <c r="J33" s="447"/>
      <c r="K33" s="612"/>
      <c r="L33" s="1142"/>
      <c r="M33" s="1133"/>
      <c r="N33" s="1133"/>
      <c r="O33" s="1141"/>
      <c r="P33" s="3194"/>
      <c r="Q33" s="1811"/>
      <c r="R33" s="773"/>
      <c r="S33" s="774"/>
      <c r="T33" s="773"/>
      <c r="U33" s="774"/>
      <c r="V33" s="773"/>
      <c r="W33" s="774"/>
      <c r="X33" s="1814"/>
      <c r="Y33" s="3194"/>
      <c r="Z33" s="1815"/>
      <c r="AA33" s="1812">
        <v>1</v>
      </c>
      <c r="AB33" s="1812">
        <v>1</v>
      </c>
      <c r="AC33" s="1812">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4"/>
      <c r="Q34" s="1811" t="str">
        <f t="shared" si="8"/>
        <v>土地级别</v>
      </c>
      <c r="R34" s="773" t="s">
        <v>17</v>
      </c>
      <c r="S34" s="774">
        <f t="shared" si="9"/>
        <v>100</v>
      </c>
      <c r="T34" s="773" t="s">
        <v>17</v>
      </c>
      <c r="U34" s="774">
        <f t="shared" si="10"/>
        <v>100</v>
      </c>
      <c r="V34" s="773" t="s">
        <v>17</v>
      </c>
      <c r="W34" s="774">
        <f t="shared" si="11"/>
        <v>100</v>
      </c>
      <c r="X34" s="1814"/>
      <c r="Y34" s="3194"/>
      <c r="Z34" s="1815" t="str">
        <f t="shared" si="12"/>
        <v>土地级别</v>
      </c>
      <c r="AA34" s="1812">
        <f t="shared" si="3"/>
        <v>1</v>
      </c>
      <c r="AB34" s="1812">
        <f t="shared" si="4"/>
        <v>1</v>
      </c>
      <c r="AC34" s="1812">
        <f t="shared" si="5"/>
        <v>1</v>
      </c>
    </row>
    <row r="35" spans="1:29" ht="15">
      <c r="A35" s="404"/>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4"/>
      <c r="Q35" s="1811">
        <f t="shared" si="8"/>
        <v>111</v>
      </c>
      <c r="R35" s="773" t="s">
        <v>17</v>
      </c>
      <c r="S35" s="774">
        <f t="shared" si="9"/>
        <v>100</v>
      </c>
      <c r="T35" s="773" t="s">
        <v>17</v>
      </c>
      <c r="U35" s="774">
        <f t="shared" si="10"/>
        <v>100</v>
      </c>
      <c r="V35" s="773" t="s">
        <v>17</v>
      </c>
      <c r="W35" s="774">
        <f t="shared" si="11"/>
        <v>100</v>
      </c>
      <c r="X35" s="1814"/>
      <c r="Y35" s="3194"/>
      <c r="Z35" s="1815">
        <f t="shared" si="12"/>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5" t="s">
        <v>2563</v>
      </c>
      <c r="Q36" s="1811">
        <f t="shared" si="8"/>
        <v>111</v>
      </c>
      <c r="R36" s="773" t="s">
        <v>17</v>
      </c>
      <c r="S36" s="774">
        <f t="shared" si="9"/>
        <v>100</v>
      </c>
      <c r="T36" s="773" t="s">
        <v>17</v>
      </c>
      <c r="U36" s="774">
        <f t="shared" si="10"/>
        <v>100</v>
      </c>
      <c r="V36" s="773" t="s">
        <v>17</v>
      </c>
      <c r="W36" s="774">
        <f t="shared" si="11"/>
        <v>100</v>
      </c>
      <c r="X36" s="1814"/>
      <c r="Y36" s="3196" t="s">
        <v>2563</v>
      </c>
      <c r="Z36" s="1815">
        <f t="shared" si="12"/>
        <v>111</v>
      </c>
      <c r="AA36" s="1812">
        <f t="shared" si="3"/>
        <v>1</v>
      </c>
      <c r="AB36" s="1812">
        <f t="shared" si="4"/>
        <v>1</v>
      </c>
      <c r="AC36" s="1812">
        <f t="shared" si="5"/>
        <v>1</v>
      </c>
    </row>
    <row r="37" spans="1:29" s="470" customFormat="1" ht="15.75" thickBot="1">
      <c r="A37" s="675"/>
      <c r="B37" s="1389">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96"/>
      <c r="Q37" s="1811">
        <f t="shared" si="8"/>
        <v>111</v>
      </c>
      <c r="R37" s="776" t="s">
        <v>17</v>
      </c>
      <c r="S37" s="777">
        <f t="shared" si="9"/>
        <v>100</v>
      </c>
      <c r="T37" s="776" t="s">
        <v>17</v>
      </c>
      <c r="U37" s="777">
        <f t="shared" si="10"/>
        <v>100</v>
      </c>
      <c r="V37" s="776" t="s">
        <v>17</v>
      </c>
      <c r="W37" s="777">
        <f t="shared" si="11"/>
        <v>100</v>
      </c>
      <c r="X37" s="778"/>
      <c r="Y37" s="3196"/>
      <c r="Z37" s="779">
        <f t="shared" si="12"/>
        <v>111</v>
      </c>
      <c r="AA37" s="1812">
        <f t="shared" si="3"/>
        <v>1</v>
      </c>
      <c r="AB37" s="1812">
        <f t="shared" si="4"/>
        <v>1</v>
      </c>
      <c r="AC37" s="1812">
        <f t="shared" si="5"/>
        <v>1</v>
      </c>
    </row>
    <row r="38" spans="1:29" ht="15">
      <c r="A38" s="471" t="s">
        <v>2561</v>
      </c>
      <c r="B38" s="455" t="s">
        <v>2749</v>
      </c>
      <c r="C38" s="678">
        <f>'数据-基础表'!A3</f>
        <v>0</v>
      </c>
      <c r="D38" s="466">
        <v>100</v>
      </c>
      <c r="E38" s="678">
        <f>Sheet2!J2</f>
        <v>2884.12</v>
      </c>
      <c r="F38" s="466">
        <f>LOOKUP(E38,117:117,118:118)-LOOKUP(C38,117:117,118:118)+100</f>
        <v>100</v>
      </c>
      <c r="G38" s="678">
        <f>Sheet2!J3</f>
        <v>10217</v>
      </c>
      <c r="H38" s="466">
        <f>LOOKUP(G38,117:117,118:118)-LOOKUP(C38,117:117,118:118)+100</f>
        <v>100</v>
      </c>
      <c r="I38" s="529">
        <f>Sheet2!J4</f>
        <v>4660</v>
      </c>
      <c r="J38" s="466">
        <f>LOOKUP(I38,117:117,118:118)-LOOKUP(C38,117:117,118:118)+100</f>
        <v>100</v>
      </c>
      <c r="K38" s="612"/>
      <c r="L38" s="1142"/>
      <c r="M38" s="1133"/>
      <c r="N38" s="1133"/>
      <c r="O38" s="1141"/>
      <c r="P38" s="3196"/>
      <c r="Q38" s="1811" t="str">
        <f>B38</f>
        <v>宗地面积</v>
      </c>
      <c r="R38" s="773" t="s">
        <v>17</v>
      </c>
      <c r="S38" s="774">
        <f t="shared" si="9"/>
        <v>100</v>
      </c>
      <c r="T38" s="773" t="s">
        <v>17</v>
      </c>
      <c r="U38" s="774">
        <f t="shared" si="10"/>
        <v>100</v>
      </c>
      <c r="V38" s="773" t="s">
        <v>17</v>
      </c>
      <c r="W38" s="774">
        <f t="shared" si="11"/>
        <v>100</v>
      </c>
      <c r="X38" s="1814"/>
      <c r="Y38" s="3196"/>
      <c r="Z38" s="1815" t="str">
        <f t="shared" si="12"/>
        <v>宗地面积</v>
      </c>
      <c r="AA38" s="1812">
        <f t="shared" si="3"/>
        <v>1</v>
      </c>
      <c r="AB38" s="1812">
        <f t="shared" si="4"/>
        <v>1</v>
      </c>
      <c r="AC38" s="1812">
        <f t="shared" si="5"/>
        <v>1</v>
      </c>
    </row>
    <row r="39" spans="1:29" ht="15">
      <c r="A39" s="471"/>
      <c r="B39" s="421" t="s">
        <v>2750</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2"/>
      <c r="M39" s="1133"/>
      <c r="N39" s="1133"/>
      <c r="O39" s="1141"/>
      <c r="P39" s="3196"/>
      <c r="Q39" s="1811" t="str">
        <f t="shared" ref="Q39:Q45" si="13">B39</f>
        <v>宗地形状</v>
      </c>
      <c r="R39" s="773" t="s">
        <v>17</v>
      </c>
      <c r="S39" s="774">
        <f t="shared" si="9"/>
        <v>100</v>
      </c>
      <c r="T39" s="773" t="s">
        <v>17</v>
      </c>
      <c r="U39" s="774">
        <f t="shared" si="10"/>
        <v>100</v>
      </c>
      <c r="V39" s="773" t="s">
        <v>17</v>
      </c>
      <c r="W39" s="774">
        <f t="shared" si="11"/>
        <v>100</v>
      </c>
      <c r="X39" s="1814"/>
      <c r="Y39" s="3196"/>
      <c r="Z39" s="1815" t="str">
        <f t="shared" si="12"/>
        <v>宗地形状</v>
      </c>
      <c r="AA39" s="1812">
        <f t="shared" si="3"/>
        <v>1</v>
      </c>
      <c r="AB39" s="1812">
        <f t="shared" si="4"/>
        <v>1</v>
      </c>
      <c r="AC39" s="1812">
        <f t="shared" si="5"/>
        <v>1</v>
      </c>
    </row>
    <row r="40" spans="1:29" ht="15">
      <c r="A40" s="471"/>
      <c r="B40" s="421" t="s">
        <v>2751</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2"/>
      <c r="M40" s="1133"/>
      <c r="N40" s="1133"/>
      <c r="O40" s="1141"/>
      <c r="P40" s="3196"/>
      <c r="Q40" s="1811" t="str">
        <f t="shared" si="13"/>
        <v>临街宽度及深度</v>
      </c>
      <c r="R40" s="773" t="s">
        <v>17</v>
      </c>
      <c r="S40" s="774">
        <f t="shared" si="9"/>
        <v>100</v>
      </c>
      <c r="T40" s="773" t="s">
        <v>17</v>
      </c>
      <c r="U40" s="774">
        <f t="shared" si="10"/>
        <v>100</v>
      </c>
      <c r="V40" s="773" t="s">
        <v>17</v>
      </c>
      <c r="W40" s="774">
        <f t="shared" si="11"/>
        <v>100</v>
      </c>
      <c r="X40" s="1814"/>
      <c r="Y40" s="3196"/>
      <c r="Z40" s="1815" t="str">
        <f t="shared" si="12"/>
        <v>临街宽度及深度</v>
      </c>
      <c r="AA40" s="1812">
        <f t="shared" si="3"/>
        <v>1</v>
      </c>
      <c r="AB40" s="1812">
        <f t="shared" si="4"/>
        <v>1</v>
      </c>
      <c r="AC40" s="1812">
        <f t="shared" si="5"/>
        <v>1</v>
      </c>
    </row>
    <row r="41" spans="1:29" s="117" customFormat="1" ht="15">
      <c r="A41" s="472"/>
      <c r="B41" s="421" t="s">
        <v>2752</v>
      </c>
      <c r="C41" s="2701" t="s">
        <v>3220</v>
      </c>
      <c r="D41" s="136">
        <v>100</v>
      </c>
      <c r="E41" s="2701" t="s">
        <v>3220</v>
      </c>
      <c r="F41" s="434">
        <f>SUMIF(123:123,E41,124:124)-SUMIF(123:123,C41,124:124)+100</f>
        <v>100</v>
      </c>
      <c r="G41" s="2701" t="s">
        <v>3220</v>
      </c>
      <c r="H41" s="434">
        <f>SUMIF(123:123,G41,124:124)-SUMIF(123:123,C41,124:124)+100</f>
        <v>100</v>
      </c>
      <c r="I41" s="2701" t="s">
        <v>3220</v>
      </c>
      <c r="J41" s="434">
        <f>SUMIF(123:123,I41,124:124)-SUMIF(123:123,C41,124:124)+100</f>
        <v>100</v>
      </c>
      <c r="K41" s="611">
        <v>1</v>
      </c>
      <c r="L41" s="1134"/>
      <c r="M41" s="1135"/>
      <c r="N41" s="1135"/>
      <c r="O41" s="1136"/>
      <c r="P41" s="3196"/>
      <c r="Q41" s="1811" t="str">
        <f t="shared" si="13"/>
        <v>宗地开发程度</v>
      </c>
      <c r="R41" s="769" t="s">
        <v>17</v>
      </c>
      <c r="S41" s="770">
        <f t="shared" si="9"/>
        <v>100</v>
      </c>
      <c r="T41" s="769" t="s">
        <v>17</v>
      </c>
      <c r="U41" s="770">
        <f t="shared" si="10"/>
        <v>100</v>
      </c>
      <c r="V41" s="769" t="s">
        <v>17</v>
      </c>
      <c r="W41" s="770">
        <f t="shared" si="11"/>
        <v>100</v>
      </c>
      <c r="X41" s="771"/>
      <c r="Y41" s="3196"/>
      <c r="Z41" s="55" t="str">
        <f t="shared" si="12"/>
        <v>宗地开发程度</v>
      </c>
      <c r="AA41" s="772">
        <f t="shared" si="3"/>
        <v>1</v>
      </c>
      <c r="AB41" s="772">
        <f t="shared" si="4"/>
        <v>1</v>
      </c>
      <c r="AC41" s="772">
        <f t="shared" si="5"/>
        <v>1</v>
      </c>
    </row>
    <row r="42" spans="1:29" ht="15">
      <c r="A42" s="471"/>
      <c r="B42" s="421" t="s">
        <v>2753</v>
      </c>
      <c r="C42" s="2612" t="s">
        <v>3206</v>
      </c>
      <c r="D42" s="434">
        <v>100</v>
      </c>
      <c r="E42" s="2612" t="s">
        <v>3206</v>
      </c>
      <c r="F42" s="434">
        <f>SUMIF(125:125,E42,126:126)-SUMIF(125:125,C42,126:126)+100</f>
        <v>100</v>
      </c>
      <c r="G42" s="2612" t="s">
        <v>3206</v>
      </c>
      <c r="H42" s="434">
        <f>SUMIF(125:125,G42,126:126)-SUMIF(125:125,C42,126:126)+100</f>
        <v>100</v>
      </c>
      <c r="I42" s="2612" t="s">
        <v>3206</v>
      </c>
      <c r="J42" s="434">
        <f>SUMIF(125:125,I42,126:126)-SUMIF(125:125,C42,126:126)+100</f>
        <v>100</v>
      </c>
      <c r="K42" s="611"/>
      <c r="L42" s="1142"/>
      <c r="M42" s="1133"/>
      <c r="N42" s="1133"/>
      <c r="O42" s="1141"/>
      <c r="P42" s="3196" t="s">
        <v>2563</v>
      </c>
      <c r="Q42" s="1811" t="str">
        <f t="shared" si="13"/>
        <v>工程地质条件</v>
      </c>
      <c r="R42" s="773" t="s">
        <v>17</v>
      </c>
      <c r="S42" s="774">
        <f t="shared" si="9"/>
        <v>100</v>
      </c>
      <c r="T42" s="773" t="s">
        <v>17</v>
      </c>
      <c r="U42" s="774">
        <f t="shared" si="10"/>
        <v>100</v>
      </c>
      <c r="V42" s="773" t="s">
        <v>17</v>
      </c>
      <c r="W42" s="774">
        <f t="shared" si="11"/>
        <v>100</v>
      </c>
      <c r="X42" s="1814"/>
      <c r="Y42" s="3196" t="s">
        <v>2563</v>
      </c>
      <c r="Z42" s="1815" t="str">
        <f t="shared" si="12"/>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96"/>
      <c r="Q43" s="1811">
        <f t="shared" si="13"/>
        <v>111</v>
      </c>
      <c r="R43" s="773" t="s">
        <v>17</v>
      </c>
      <c r="S43" s="774">
        <f t="shared" si="9"/>
        <v>100</v>
      </c>
      <c r="T43" s="773" t="s">
        <v>17</v>
      </c>
      <c r="U43" s="774">
        <f t="shared" si="10"/>
        <v>100</v>
      </c>
      <c r="V43" s="773" t="s">
        <v>17</v>
      </c>
      <c r="W43" s="774">
        <f t="shared" si="11"/>
        <v>100</v>
      </c>
      <c r="X43" s="1814"/>
      <c r="Y43" s="3196"/>
      <c r="Z43" s="1815">
        <f t="shared" si="12"/>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96"/>
      <c r="Q44" s="1811">
        <f t="shared" si="13"/>
        <v>111</v>
      </c>
      <c r="R44" s="773" t="s">
        <v>17</v>
      </c>
      <c r="S44" s="774">
        <f t="shared" si="9"/>
        <v>100</v>
      </c>
      <c r="T44" s="773" t="s">
        <v>17</v>
      </c>
      <c r="U44" s="774">
        <f t="shared" si="10"/>
        <v>100</v>
      </c>
      <c r="V44" s="773" t="s">
        <v>17</v>
      </c>
      <c r="W44" s="774">
        <f t="shared" si="11"/>
        <v>100</v>
      </c>
      <c r="X44" s="1814"/>
      <c r="Y44" s="3196"/>
      <c r="Z44" s="1815">
        <f t="shared" si="12"/>
        <v>111</v>
      </c>
      <c r="AA44" s="1812">
        <f t="shared" si="3"/>
        <v>1</v>
      </c>
      <c r="AB44" s="1812">
        <f t="shared" si="4"/>
        <v>1</v>
      </c>
      <c r="AC44" s="1812">
        <f t="shared" si="5"/>
        <v>1</v>
      </c>
    </row>
    <row r="45" spans="1:29" s="470" customFormat="1" ht="15.75" thickBot="1">
      <c r="A45" s="467"/>
      <c r="B45" s="1388">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96"/>
      <c r="Q45" s="1811">
        <f t="shared" si="13"/>
        <v>111</v>
      </c>
      <c r="R45" s="776" t="s">
        <v>17</v>
      </c>
      <c r="S45" s="777">
        <f t="shared" si="9"/>
        <v>100</v>
      </c>
      <c r="T45" s="776" t="s">
        <v>17</v>
      </c>
      <c r="U45" s="777">
        <f t="shared" si="10"/>
        <v>100</v>
      </c>
      <c r="V45" s="776" t="s">
        <v>17</v>
      </c>
      <c r="W45" s="777">
        <f t="shared" si="11"/>
        <v>100</v>
      </c>
      <c r="X45" s="778"/>
      <c r="Y45" s="3196"/>
      <c r="Z45" s="779">
        <f t="shared" si="12"/>
        <v>111</v>
      </c>
      <c r="AA45" s="1812">
        <f t="shared" si="3"/>
        <v>1</v>
      </c>
      <c r="AB45" s="1812">
        <f t="shared" si="4"/>
        <v>1</v>
      </c>
      <c r="AC45" s="1812">
        <f t="shared" si="5"/>
        <v>1</v>
      </c>
    </row>
    <row r="46" spans="1:29" ht="15">
      <c r="A46" s="478" t="s">
        <v>2718</v>
      </c>
      <c r="B46" s="2703" t="s">
        <v>3210</v>
      </c>
      <c r="C46" s="681" t="s">
        <v>1</v>
      </c>
      <c r="D46" s="480"/>
      <c r="E46" s="481">
        <f>Sheet2!AS2</f>
        <v>4504</v>
      </c>
      <c r="F46" s="482"/>
      <c r="G46" s="483">
        <f>Sheet2!AS3</f>
        <v>3752</v>
      </c>
      <c r="H46" s="484"/>
      <c r="I46" s="481">
        <f>Sheet2!AS4</f>
        <v>3751</v>
      </c>
      <c r="J46" s="484"/>
      <c r="K46" s="782"/>
      <c r="L46" s="1145"/>
      <c r="M46" s="1146"/>
      <c r="N46" s="1133"/>
      <c r="O46" s="1146"/>
      <c r="P46" s="3191" t="str">
        <f>A46</f>
        <v>成交单价</v>
      </c>
      <c r="Q46" s="3191"/>
      <c r="R46" s="3197">
        <f>E46</f>
        <v>4504</v>
      </c>
      <c r="S46" s="3197"/>
      <c r="T46" s="3197">
        <f>G46</f>
        <v>3752</v>
      </c>
      <c r="U46" s="3197"/>
      <c r="V46" s="3197">
        <f>I46</f>
        <v>3751</v>
      </c>
      <c r="W46" s="3197"/>
      <c r="X46" s="758"/>
      <c r="Y46" s="780"/>
      <c r="Z46" s="758"/>
      <c r="AA46" s="758"/>
      <c r="AB46" s="758"/>
      <c r="AC46" s="758"/>
    </row>
    <row r="47" spans="1:29" ht="15.75" thickBot="1">
      <c r="A47" s="485" t="s">
        <v>2667</v>
      </c>
      <c r="B47" s="682"/>
      <c r="C47" s="489" t="e">
        <f>R48</f>
        <v>#DIV/0!</v>
      </c>
      <c r="D47" s="488"/>
      <c r="E47" s="489" t="e">
        <f>R47</f>
        <v>#DIV/0!</v>
      </c>
      <c r="F47" s="490"/>
      <c r="G47" s="487" t="e">
        <f>T47</f>
        <v>#DIV/0!</v>
      </c>
      <c r="H47" s="488"/>
      <c r="I47" s="489" t="e">
        <f>V47</f>
        <v>#DIV/0!</v>
      </c>
      <c r="J47" s="488"/>
      <c r="K47" s="783"/>
      <c r="L47" s="1145"/>
      <c r="M47" s="1146"/>
      <c r="N47" s="1146"/>
      <c r="O47" s="1146"/>
      <c r="P47" s="3191" t="str">
        <f>A47</f>
        <v>比较价值（元/平方米）</v>
      </c>
      <c r="Q47" s="3191"/>
      <c r="R47" s="3184" t="e">
        <f>ROUND(PRODUCT(R46,AA7:AA45),0)</f>
        <v>#DIV/0!</v>
      </c>
      <c r="S47" s="3184"/>
      <c r="T47" s="3184" t="e">
        <f>ROUND(PRODUCT(T46,AB7:AB45),0)</f>
        <v>#DIV/0!</v>
      </c>
      <c r="U47" s="3184"/>
      <c r="V47" s="3184" t="e">
        <f>ROUND(PRODUCT(V46,AC7:AC45),0)</f>
        <v>#DIV/0!</v>
      </c>
      <c r="W47" s="3184"/>
      <c r="X47" s="758"/>
      <c r="Y47" s="758"/>
      <c r="Z47" s="758"/>
      <c r="AA47" s="758"/>
      <c r="AB47" s="758"/>
      <c r="AC47" s="758"/>
    </row>
    <row r="48" spans="1:29" ht="15.75" thickBot="1">
      <c r="A48" s="491" t="s">
        <v>2754</v>
      </c>
      <c r="B48" s="492"/>
      <c r="C48" s="493" t="e">
        <f>R48</f>
        <v>#DIV/0!</v>
      </c>
      <c r="D48" s="493"/>
      <c r="E48" s="493"/>
      <c r="F48" s="493"/>
      <c r="G48" s="493"/>
      <c r="H48" s="493"/>
      <c r="I48" s="493"/>
      <c r="J48" s="493"/>
      <c r="K48" s="784"/>
      <c r="L48" s="1145"/>
      <c r="M48" s="1146"/>
      <c r="N48" s="1146"/>
      <c r="O48" s="1146"/>
      <c r="P48" s="3185" t="str">
        <f>A48</f>
        <v>估价对象XX用房的比较价值（楼面单价，元/平方米）</v>
      </c>
      <c r="Q48" s="3186"/>
      <c r="R48" s="3187" t="e">
        <f>ROUND(AVERAGE(R47:V47),0)</f>
        <v>#DIV/0!</v>
      </c>
      <c r="S48" s="3187"/>
      <c r="T48" s="3187"/>
      <c r="U48" s="3187"/>
      <c r="V48" s="3187"/>
      <c r="W48" s="318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2671</v>
      </c>
      <c r="D53" s="500"/>
      <c r="E53" s="498">
        <f>IF(E46&lt;G46,G46/E46-1,E46/G46-1)</f>
        <v>0.20042643923240933</v>
      </c>
      <c r="F53" s="499" t="str">
        <f>IF(OR(E53&gt;=0.3,E53&lt;=-0.3),"超过30%","")</f>
        <v/>
      </c>
      <c r="G53" s="498">
        <f>IF(G46&lt;I46,I46/G46-1,G46/I46-1)</f>
        <v>2.6659557451336191E-4</v>
      </c>
      <c r="H53" s="499" t="str">
        <f>IF(OR(G53&gt;=0.3,G53&lt;=-0.3),"超过30%","")</f>
        <v/>
      </c>
      <c r="I53" s="498">
        <f>IF(I46&lt;E46,E46/I46-1,I46/E46-1)</f>
        <v>0.20074646760863768</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2755</v>
      </c>
      <c r="B55" s="684" t="s">
        <v>2756</v>
      </c>
      <c r="C55" s="2704" t="s">
        <v>2757</v>
      </c>
      <c r="D55" s="2705" t="s">
        <v>2758</v>
      </c>
      <c r="E55" s="685" t="s">
        <v>2759</v>
      </c>
      <c r="F55" s="1109" t="s">
        <v>2760</v>
      </c>
      <c r="G55" s="3188" t="s">
        <v>2761</v>
      </c>
      <c r="H55" s="3189"/>
      <c r="I55" s="144" t="s">
        <v>2762</v>
      </c>
      <c r="J55" s="2706" t="str">
        <f>项目基本情况!F35</f>
        <v>山东省</v>
      </c>
      <c r="K55" s="2707" t="s">
        <v>2763</v>
      </c>
      <c r="L55" s="1108"/>
      <c r="M55" s="1146"/>
      <c r="N55" s="1146"/>
      <c r="O55" s="1146"/>
    </row>
    <row r="56" spans="1:15" s="691" customFormat="1">
      <c r="A56" s="687" t="s">
        <v>2764</v>
      </c>
      <c r="B56" s="688" t="e">
        <f>C48</f>
        <v>#DIV/0!</v>
      </c>
      <c r="C56" s="689">
        <v>1</v>
      </c>
      <c r="D56" s="1165">
        <v>1</v>
      </c>
      <c r="E56" s="689">
        <f>'数据-汇总表'!E8+'数据-汇总表'!E9</f>
        <v>25792.44</v>
      </c>
      <c r="F56" s="1105" t="e">
        <f t="shared" ref="F56:F65" si="14">ROUND(B56*E56/10000,0)</f>
        <v>#DIV/0!</v>
      </c>
      <c r="G56" s="3190"/>
      <c r="H56" s="3191"/>
      <c r="I56" s="1110">
        <v>1</v>
      </c>
      <c r="J56" s="1113">
        <v>1</v>
      </c>
      <c r="K56" s="1147"/>
      <c r="L56" s="943"/>
      <c r="M56" s="943"/>
      <c r="N56" s="943"/>
      <c r="O56" s="943"/>
    </row>
    <row r="57" spans="1:15" s="691" customFormat="1">
      <c r="A57" s="692" t="s">
        <v>2765</v>
      </c>
      <c r="B57" s="262" t="e">
        <f>ROUND($C$48*C57*D57,0)</f>
        <v>#DIV/0!</v>
      </c>
      <c r="C57" s="200">
        <f t="shared" ref="C57:C65" si="15">IF($C$55="北京市系数",I57,J57)</f>
        <v>0</v>
      </c>
      <c r="D57" s="1166">
        <v>0.25</v>
      </c>
      <c r="E57" s="693"/>
      <c r="F57" s="1105" t="e">
        <f t="shared" si="14"/>
        <v>#DIV/0!</v>
      </c>
      <c r="G57" s="3192" t="s">
        <v>2766</v>
      </c>
      <c r="H57" s="1106">
        <f>项目基本情况!B37</f>
        <v>0</v>
      </c>
      <c r="I57" s="1110">
        <f>SUMIF(修正!A45:A56,H57,修正!B45:B56)</f>
        <v>0</v>
      </c>
      <c r="J57" s="1114"/>
      <c r="K57" s="1146"/>
      <c r="L57" s="943"/>
      <c r="M57" s="943"/>
      <c r="N57" s="943"/>
      <c r="O57" s="943"/>
    </row>
    <row r="58" spans="1:15" s="691" customFormat="1">
      <c r="A58" s="692" t="s">
        <v>2767</v>
      </c>
      <c r="B58" s="262" t="e">
        <f t="shared" ref="B58:B65" si="16">ROUND($C$48*C58*D58,0)</f>
        <v>#DIV/0!</v>
      </c>
      <c r="C58" s="200">
        <f t="shared" si="15"/>
        <v>0</v>
      </c>
      <c r="D58" s="1166">
        <v>0.25</v>
      </c>
      <c r="E58" s="693"/>
      <c r="F58" s="1105" t="e">
        <f t="shared" si="14"/>
        <v>#DIV/0!</v>
      </c>
      <c r="G58" s="3192"/>
      <c r="H58" s="1106">
        <f>项目基本情况!B37</f>
        <v>0</v>
      </c>
      <c r="I58" s="1110">
        <f>SUMIF(修正!A45:A56,H58,修正!C45:C56)</f>
        <v>0</v>
      </c>
      <c r="J58" s="1114"/>
      <c r="K58" s="1147"/>
      <c r="L58" s="943"/>
      <c r="M58" s="943"/>
      <c r="N58" s="943"/>
      <c r="O58" s="943"/>
    </row>
    <row r="59" spans="1:15" s="691" customFormat="1">
      <c r="A59" s="692" t="s">
        <v>2768</v>
      </c>
      <c r="B59" s="262" t="e">
        <f t="shared" si="16"/>
        <v>#DIV/0!</v>
      </c>
      <c r="C59" s="200">
        <f t="shared" si="15"/>
        <v>0</v>
      </c>
      <c r="D59" s="1166">
        <v>0.25</v>
      </c>
      <c r="E59" s="693"/>
      <c r="F59" s="1105" t="e">
        <f t="shared" si="14"/>
        <v>#DIV/0!</v>
      </c>
      <c r="G59" s="3192"/>
      <c r="H59" s="1106">
        <f>项目基本情况!B37</f>
        <v>0</v>
      </c>
      <c r="I59" s="1110">
        <f>SUMIF(修正!A45:A56,H59,修正!D45:D56)</f>
        <v>0</v>
      </c>
      <c r="J59" s="1114"/>
      <c r="K59" s="1146"/>
      <c r="L59" s="943"/>
      <c r="M59" s="943"/>
      <c r="N59" s="943"/>
      <c r="O59" s="943"/>
    </row>
    <row r="60" spans="1:15" s="691" customFormat="1">
      <c r="A60" s="692" t="s">
        <v>2769</v>
      </c>
      <c r="B60" s="262" t="e">
        <f t="shared" si="16"/>
        <v>#DIV/0!</v>
      </c>
      <c r="C60" s="200">
        <f t="shared" si="15"/>
        <v>0</v>
      </c>
      <c r="D60" s="1166">
        <v>0.25</v>
      </c>
      <c r="E60" s="693"/>
      <c r="F60" s="1105" t="e">
        <f t="shared" si="14"/>
        <v>#DIV/0!</v>
      </c>
      <c r="G60" s="3192"/>
      <c r="H60" s="1106">
        <f>项目基本情况!B37</f>
        <v>0</v>
      </c>
      <c r="I60" s="1110">
        <f>SUMIF(修正!A45:A56,H60,修正!E45:E56)</f>
        <v>0</v>
      </c>
      <c r="J60" s="1114"/>
      <c r="K60" s="1147"/>
      <c r="L60" s="943"/>
      <c r="M60" s="943"/>
      <c r="N60" s="943"/>
      <c r="O60" s="943"/>
    </row>
    <row r="61" spans="1:15" s="691" customFormat="1">
      <c r="A61" s="692" t="s">
        <v>2770</v>
      </c>
      <c r="B61" s="262" t="e">
        <f t="shared" si="16"/>
        <v>#DIV/0!</v>
      </c>
      <c r="C61" s="200">
        <f t="shared" si="15"/>
        <v>0</v>
      </c>
      <c r="D61" s="1166">
        <v>0.25</v>
      </c>
      <c r="E61" s="261">
        <f>'数据-汇总表'!E11</f>
        <v>0</v>
      </c>
      <c r="F61" s="1105" t="e">
        <f t="shared" si="14"/>
        <v>#DIV/0!</v>
      </c>
      <c r="G61" s="2708" t="s">
        <v>2771</v>
      </c>
      <c r="H61" s="1106">
        <f>项目基本情况!C37</f>
        <v>0</v>
      </c>
      <c r="I61" s="1110">
        <f>SUMIF(修正!A45:A56,H61,修正!F45:F56)</f>
        <v>0</v>
      </c>
      <c r="J61" s="1114"/>
      <c r="K61" s="1146"/>
      <c r="L61" s="943"/>
      <c r="M61" s="943"/>
      <c r="N61" s="943"/>
      <c r="O61" s="943"/>
    </row>
    <row r="62" spans="1:15" s="691" customFormat="1">
      <c r="A62" s="692" t="s">
        <v>2772</v>
      </c>
      <c r="B62" s="262" t="e">
        <f t="shared" si="16"/>
        <v>#DIV/0!</v>
      </c>
      <c r="C62" s="200">
        <f t="shared" si="15"/>
        <v>0</v>
      </c>
      <c r="D62" s="1166">
        <v>0.25</v>
      </c>
      <c r="E62" s="261">
        <f>'数据-汇总表'!E12</f>
        <v>0</v>
      </c>
      <c r="F62" s="1105" t="e">
        <f t="shared" si="14"/>
        <v>#DIV/0!</v>
      </c>
      <c r="G62" s="1111" t="s">
        <v>2773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2774</v>
      </c>
      <c r="B63" s="262" t="e">
        <f t="shared" si="16"/>
        <v>#DIV/0!</v>
      </c>
      <c r="C63" s="200">
        <f t="shared" si="15"/>
        <v>0</v>
      </c>
      <c r="D63" s="1166">
        <v>0.25</v>
      </c>
      <c r="E63" s="261">
        <f>'数据-汇总表'!E13</f>
        <v>0</v>
      </c>
      <c r="F63" s="1105" t="e">
        <f t="shared" si="14"/>
        <v>#DIV/0!</v>
      </c>
      <c r="G63" s="1111" t="s">
        <v>2775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2776</v>
      </c>
      <c r="B64" s="262" t="e">
        <f t="shared" si="16"/>
        <v>#DIV/0!</v>
      </c>
      <c r="C64" s="200">
        <f t="shared" si="15"/>
        <v>0</v>
      </c>
      <c r="D64" s="1166">
        <v>0.25</v>
      </c>
      <c r="E64" s="261">
        <f>'数据-汇总表'!E14</f>
        <v>0</v>
      </c>
      <c r="F64" s="1105" t="e">
        <f t="shared" si="14"/>
        <v>#DIV/0!</v>
      </c>
      <c r="G64" s="2708" t="s">
        <v>2766</v>
      </c>
      <c r="H64" s="1106">
        <f>项目基本情况!B37</f>
        <v>0</v>
      </c>
      <c r="I64" s="1110">
        <f>SUMIF(修正!A45:A56,H64,修正!H45:H56)</f>
        <v>0</v>
      </c>
      <c r="J64" s="1114"/>
      <c r="K64" s="1147"/>
      <c r="L64" s="943"/>
      <c r="M64" s="943"/>
      <c r="N64" s="943"/>
      <c r="O64" s="943"/>
    </row>
    <row r="65" spans="1:17" s="691" customFormat="1" ht="15" thickBot="1">
      <c r="A65" s="692" t="s">
        <v>2777</v>
      </c>
      <c r="B65" s="262" t="e">
        <f t="shared" si="16"/>
        <v>#DIV/0!</v>
      </c>
      <c r="C65" s="200">
        <f t="shared" si="15"/>
        <v>0</v>
      </c>
      <c r="D65" s="1166">
        <v>0.25</v>
      </c>
      <c r="E65" s="261">
        <f>'数据-汇总表'!E15</f>
        <v>0</v>
      </c>
      <c r="F65" s="1105" t="e">
        <f t="shared" si="14"/>
        <v>#DIV/0!</v>
      </c>
      <c r="G65" s="2709" t="s">
        <v>2771</v>
      </c>
      <c r="H65" s="1116">
        <f>项目基本情况!C37</f>
        <v>0</v>
      </c>
      <c r="I65" s="1112">
        <f>SUMIF(修正!A45:A56,H65,修正!H45:H56)</f>
        <v>0</v>
      </c>
      <c r="J65" s="1115"/>
      <c r="K65" s="1146"/>
      <c r="L65" s="943"/>
      <c r="M65" s="943"/>
      <c r="N65" s="943"/>
      <c r="O65" s="943"/>
    </row>
    <row r="66" spans="1:17" s="691" customFormat="1" ht="13.5" thickBot="1">
      <c r="A66" s="694" t="s">
        <v>2778</v>
      </c>
      <c r="B66" s="695" t="s">
        <v>28</v>
      </c>
      <c r="C66" s="695" t="s">
        <v>29</v>
      </c>
      <c r="D66" s="695" t="s">
        <v>1029</v>
      </c>
      <c r="E66" s="695">
        <f>IF(B46="楼面地价",SUM(E56:E65),'数据-汇总表'!D3)</f>
        <v>0</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2019-8-1</v>
      </c>
      <c r="D68" s="760">
        <f>EDATE(C68,-3)</f>
        <v>43586</v>
      </c>
      <c r="E68" s="760">
        <f>EDATE(D68,-3)</f>
        <v>43497</v>
      </c>
      <c r="F68" s="760">
        <f t="shared" ref="F68:O68" si="17">EDATE(E68,-3)</f>
        <v>43405</v>
      </c>
      <c r="G68" s="760">
        <f t="shared" si="17"/>
        <v>43313</v>
      </c>
      <c r="H68" s="760">
        <f t="shared" si="17"/>
        <v>43221</v>
      </c>
      <c r="I68" s="760">
        <f t="shared" si="17"/>
        <v>43132</v>
      </c>
      <c r="J68" s="760">
        <f t="shared" si="17"/>
        <v>43040</v>
      </c>
      <c r="K68" s="760">
        <f t="shared" si="17"/>
        <v>42948</v>
      </c>
      <c r="L68" s="760">
        <f t="shared" si="17"/>
        <v>42856</v>
      </c>
      <c r="M68" s="760">
        <f t="shared" si="17"/>
        <v>42767</v>
      </c>
      <c r="N68" s="760">
        <f t="shared" si="17"/>
        <v>42675</v>
      </c>
      <c r="O68" s="760">
        <f t="shared" si="17"/>
        <v>42583</v>
      </c>
    </row>
    <row r="69" spans="1:17" ht="21.75" thickBot="1">
      <c r="A69" s="762" t="s">
        <v>2672</v>
      </c>
      <c r="B69" s="758"/>
      <c r="C69" s="763"/>
      <c r="D69" s="763"/>
      <c r="E69" s="763"/>
      <c r="F69" s="764"/>
      <c r="G69" s="764"/>
      <c r="H69" s="763"/>
      <c r="I69" s="763"/>
      <c r="J69" s="1161"/>
      <c r="K69" s="1162"/>
      <c r="L69" s="1163"/>
      <c r="M69" s="1161"/>
      <c r="N69" s="1161"/>
      <c r="O69" s="1161"/>
      <c r="P69" s="502"/>
      <c r="Q69" s="503"/>
    </row>
    <row r="70" spans="1:17" s="507" customFormat="1" ht="15">
      <c r="A70" s="2710" t="s">
        <v>2779</v>
      </c>
      <c r="B70" s="1360"/>
      <c r="C70" s="1573" t="str">
        <f>YEAR(C68)&amp;"-"&amp;ROUNDUP(MONTH(C68)/3,0)</f>
        <v>2019-3</v>
      </c>
      <c r="D70" s="1573" t="str">
        <f>YEAR(D68)&amp;"-"&amp;ROUNDUP(MONTH(D68)/3,0)</f>
        <v>2019-2</v>
      </c>
      <c r="E70" s="1573" t="str">
        <f t="shared" ref="E70:O70" si="18">YEAR(E68)&amp;"-"&amp;ROUNDUP(MONTH(E68)/3,0)</f>
        <v>2019-1</v>
      </c>
      <c r="F70" s="1573" t="str">
        <f t="shared" si="18"/>
        <v>2018-4</v>
      </c>
      <c r="G70" s="1573" t="str">
        <f t="shared" si="18"/>
        <v>2018-3</v>
      </c>
      <c r="H70" s="1573" t="str">
        <f t="shared" si="18"/>
        <v>2018-2</v>
      </c>
      <c r="I70" s="1573" t="str">
        <f t="shared" si="18"/>
        <v>2018-1</v>
      </c>
      <c r="J70" s="1573" t="str">
        <f t="shared" si="18"/>
        <v>2017-4</v>
      </c>
      <c r="K70" s="1573" t="str">
        <f t="shared" si="18"/>
        <v>2017-3</v>
      </c>
      <c r="L70" s="1573" t="str">
        <f t="shared" si="18"/>
        <v>2017-2</v>
      </c>
      <c r="M70" s="1573" t="str">
        <f t="shared" si="18"/>
        <v>2017-1</v>
      </c>
      <c r="N70" s="1573" t="str">
        <f t="shared" si="18"/>
        <v>2016-4</v>
      </c>
      <c r="O70" s="1573" t="str">
        <f t="shared" si="18"/>
        <v>2016-3</v>
      </c>
      <c r="P70" s="506"/>
    </row>
    <row r="71" spans="1:17" s="117" customFormat="1" ht="30" customHeight="1">
      <c r="A71" s="2711" t="s">
        <v>2780</v>
      </c>
      <c r="B71" s="332" t="str">
        <f>"北京市平均增长率"&amp;TEXT(SUMIF(基准地价修正!N21:N25,A71,基准地价修正!P21:P25),"0.00%")</f>
        <v>北京市平均增长率0.00%</v>
      </c>
      <c r="C71" s="602">
        <v>100</v>
      </c>
      <c r="D71" s="594">
        <f>C71-0.5</f>
        <v>99.5</v>
      </c>
      <c r="E71" s="594">
        <f t="shared" ref="E71:J71" si="19">D71-0.5</f>
        <v>99</v>
      </c>
      <c r="F71" s="594">
        <f t="shared" si="19"/>
        <v>98.5</v>
      </c>
      <c r="G71" s="594">
        <f t="shared" si="19"/>
        <v>98</v>
      </c>
      <c r="H71" s="594">
        <f t="shared" si="19"/>
        <v>97.5</v>
      </c>
      <c r="I71" s="594">
        <f t="shared" si="19"/>
        <v>97</v>
      </c>
      <c r="J71" s="594">
        <f t="shared" si="19"/>
        <v>96.5</v>
      </c>
      <c r="K71" s="594"/>
      <c r="L71" s="594"/>
      <c r="M71" s="1568"/>
      <c r="N71" s="594"/>
      <c r="O71" s="1569"/>
      <c r="P71" s="503"/>
    </row>
    <row r="72" spans="1:17" s="117" customFormat="1" ht="15.75" thickBot="1">
      <c r="A72" s="514" t="s">
        <v>2583</v>
      </c>
      <c r="B72" s="515"/>
      <c r="C72" s="516"/>
      <c r="D72" s="517"/>
      <c r="E72" s="517"/>
      <c r="F72" s="517"/>
      <c r="G72" s="517"/>
      <c r="H72" s="517"/>
      <c r="I72" s="517"/>
      <c r="J72" s="517"/>
      <c r="K72" s="517"/>
      <c r="L72" s="517"/>
      <c r="M72" s="518"/>
      <c r="N72" s="517"/>
      <c r="O72" s="1164"/>
      <c r="P72" s="503"/>
      <c r="Q72" s="503"/>
    </row>
    <row r="73" spans="1:17" s="117" customFormat="1" ht="15">
      <c r="A73" s="520" t="s">
        <v>2548</v>
      </c>
      <c r="B73" s="509"/>
      <c r="C73" s="521" t="s">
        <v>2650</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2586</v>
      </c>
      <c r="B75" s="527" t="s">
        <v>2552</v>
      </c>
      <c r="C75" s="2983" t="s">
        <v>3236</v>
      </c>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2555</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2556</v>
      </c>
      <c r="C79" s="546" t="str">
        <f>C80&amp;"（含）"&amp;"-"&amp;D80</f>
        <v>0（含）-1</v>
      </c>
      <c r="D79" s="546" t="str">
        <f t="shared" ref="D79:L79" si="20">D80&amp;"（含）"&amp;"-"&amp;E80</f>
        <v>1（含）-2</v>
      </c>
      <c r="E79" s="546" t="str">
        <f t="shared" si="20"/>
        <v>2（含）-3</v>
      </c>
      <c r="F79" s="546" t="str">
        <f t="shared" si="20"/>
        <v>3（含）-4</v>
      </c>
      <c r="G79" s="546" t="str">
        <f t="shared" si="20"/>
        <v>4（含）-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1</v>
      </c>
      <c r="E80" s="548">
        <v>2</v>
      </c>
      <c r="F80" s="548">
        <v>3</v>
      </c>
      <c r="G80" s="548">
        <v>4</v>
      </c>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100.5</v>
      </c>
      <c r="E81" s="543">
        <f t="shared" si="21"/>
        <v>101</v>
      </c>
      <c r="F81" s="543">
        <f t="shared" si="21"/>
        <v>101.5</v>
      </c>
      <c r="G81" s="543">
        <f t="shared" si="21"/>
        <v>102</v>
      </c>
      <c r="H81" s="543">
        <f t="shared" si="21"/>
        <v>102.5</v>
      </c>
      <c r="I81" s="543">
        <f t="shared" si="21"/>
        <v>103</v>
      </c>
      <c r="J81" s="543">
        <f t="shared" si="21"/>
        <v>103.5</v>
      </c>
      <c r="K81" s="543">
        <f t="shared" si="21"/>
        <v>104</v>
      </c>
      <c r="L81" s="543">
        <f t="shared" si="21"/>
        <v>104.5</v>
      </c>
      <c r="M81" s="543">
        <f t="shared" si="21"/>
        <v>105</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2781</v>
      </c>
      <c r="C90" s="577" t="s">
        <v>2595</v>
      </c>
      <c r="D90" s="577" t="s">
        <v>2596</v>
      </c>
      <c r="E90" s="577" t="s">
        <v>2597</v>
      </c>
      <c r="F90" s="577" t="s">
        <v>2598</v>
      </c>
      <c r="G90" s="577" t="s">
        <v>2599</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7" customFormat="1" ht="15.75" thickTop="1">
      <c r="A96" s="578"/>
      <c r="B96" s="537" t="s">
        <v>2782</v>
      </c>
      <c r="C96" s="577" t="s">
        <v>2595</v>
      </c>
      <c r="D96" s="577" t="s">
        <v>2596</v>
      </c>
      <c r="E96" s="577" t="s">
        <v>2597</v>
      </c>
      <c r="F96" s="577" t="s">
        <v>2598</v>
      </c>
      <c r="G96" s="577" t="s">
        <v>2599</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2783</v>
      </c>
      <c r="C98" s="572" t="s">
        <v>2595</v>
      </c>
      <c r="D98" s="572" t="s">
        <v>2596</v>
      </c>
      <c r="E98" s="572" t="s">
        <v>2597</v>
      </c>
      <c r="F98" s="572" t="s">
        <v>2598</v>
      </c>
      <c r="G98" s="572" t="s">
        <v>2599</v>
      </c>
      <c r="H98" s="577"/>
      <c r="I98" s="577"/>
      <c r="J98" s="577"/>
      <c r="K98" s="577"/>
      <c r="L98" s="577"/>
      <c r="M98" s="621"/>
      <c r="N98" s="1153"/>
      <c r="O98" s="1153"/>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2653</v>
      </c>
      <c r="C102" s="659" t="s">
        <v>2673</v>
      </c>
      <c r="D102" s="659" t="s">
        <v>2674</v>
      </c>
      <c r="E102" s="659" t="s">
        <v>2675</v>
      </c>
      <c r="F102" s="659" t="s">
        <v>2676</v>
      </c>
      <c r="G102" s="659" t="s">
        <v>2677</v>
      </c>
      <c r="H102" s="599"/>
      <c r="I102" s="599"/>
      <c r="J102" s="599"/>
      <c r="K102" s="599"/>
      <c r="L102" s="599"/>
      <c r="M102" s="1386"/>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6"/>
      <c r="N103" s="1156"/>
      <c r="O103" s="1156"/>
      <c r="P103" s="557"/>
      <c r="Q103" s="558"/>
    </row>
    <row r="104" spans="1:17" ht="15.75" thickTop="1">
      <c r="A104" s="533"/>
      <c r="B104" s="537" t="str">
        <f>B31</f>
        <v>临街状况</v>
      </c>
      <c r="C104" s="538" t="s">
        <v>2784</v>
      </c>
      <c r="D104" s="538" t="s">
        <v>2785</v>
      </c>
      <c r="E104" s="538" t="s">
        <v>2786</v>
      </c>
      <c r="F104" s="538" t="s">
        <v>2787</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2689</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2748</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2561</v>
      </c>
      <c r="B116" s="527" t="s">
        <v>2788</v>
      </c>
      <c r="C116" s="528" t="str">
        <f>C117&amp;"(含)"&amp;"-"&amp;D117</f>
        <v>0(含)-30000</v>
      </c>
      <c r="D116" s="528" t="str">
        <f t="shared" ref="D116:M116" si="25">D117&amp;"(含)"&amp;"-"&amp;E117</f>
        <v>30000(含)-60000</v>
      </c>
      <c r="E116" s="528" t="str">
        <f t="shared" si="25"/>
        <v>60000(含)-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30000</v>
      </c>
      <c r="E117" s="594">
        <v>60000</v>
      </c>
      <c r="F117" s="594"/>
      <c r="G117" s="594"/>
      <c r="H117" s="594"/>
      <c r="I117" s="594"/>
      <c r="J117" s="595"/>
      <c r="K117" s="595"/>
      <c r="L117" s="596"/>
      <c r="M117" s="597"/>
      <c r="N117" s="1154"/>
      <c r="O117" s="1154"/>
      <c r="P117" s="45"/>
      <c r="Q117" s="503"/>
    </row>
    <row r="118" spans="1:17" ht="15.75" thickBot="1">
      <c r="A118" s="533"/>
      <c r="B118" s="542"/>
      <c r="C118" s="569">
        <v>100</v>
      </c>
      <c r="D118" s="590">
        <v>113</v>
      </c>
      <c r="E118" s="590">
        <v>120</v>
      </c>
      <c r="F118" s="590"/>
      <c r="G118" s="590"/>
      <c r="H118" s="590"/>
      <c r="I118" s="590"/>
      <c r="J118" s="590"/>
      <c r="K118" s="590"/>
      <c r="L118" s="590"/>
      <c r="M118" s="591"/>
      <c r="N118" s="1155"/>
      <c r="O118" s="1155"/>
      <c r="P118" s="45"/>
      <c r="Q118" s="503"/>
    </row>
    <row r="119" spans="1:17" ht="15" thickTop="1">
      <c r="A119" s="598"/>
      <c r="B119" s="537" t="s">
        <v>2789</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2790</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2791</v>
      </c>
      <c r="C123" s="553" t="s">
        <v>3219</v>
      </c>
      <c r="D123" s="553" t="s">
        <v>3220</v>
      </c>
      <c r="E123" s="553" t="s">
        <v>3221</v>
      </c>
      <c r="F123" s="553" t="s">
        <v>3222</v>
      </c>
      <c r="G123" s="553" t="s">
        <v>3223</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2792</v>
      </c>
      <c r="C125" s="553" t="s">
        <v>3218</v>
      </c>
      <c r="D125" s="553" t="s">
        <v>3206</v>
      </c>
      <c r="E125" s="582" t="s">
        <v>3207</v>
      </c>
      <c r="F125" s="582" t="s">
        <v>3209</v>
      </c>
      <c r="G125" s="582" t="s">
        <v>3208</v>
      </c>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0" priority="14" stopIfTrue="1" operator="containsText" text="超过">
      <formula>NOT(ISERROR(SEARCH("超过",F51)))</formula>
    </cfRule>
  </conditionalFormatting>
  <conditionalFormatting sqref="J53">
    <cfRule type="containsText" dxfId="119" priority="13" stopIfTrue="1" operator="containsText" text="超过">
      <formula>NOT(ISERROR(SEARCH("超过",J53)))</formula>
    </cfRule>
  </conditionalFormatting>
  <conditionalFormatting sqref="H53">
    <cfRule type="containsText" dxfId="118" priority="12" stopIfTrue="1" operator="containsText" text="超过">
      <formula>NOT(ISERROR(SEARCH("超过",H53)))</formula>
    </cfRule>
  </conditionalFormatting>
  <conditionalFormatting sqref="F53">
    <cfRule type="containsText" dxfId="117" priority="11" stopIfTrue="1" operator="containsText" text="超过">
      <formula>NOT(ISERROR(SEARCH("超过",F53)))</formula>
    </cfRule>
  </conditionalFormatting>
  <conditionalFormatting sqref="F52 H52 J52">
    <cfRule type="containsText" dxfId="116" priority="10" stopIfTrue="1" operator="containsText" text="超过">
      <formula>NOT(ISERROR(SEARCH("超过",F52)))</formula>
    </cfRule>
  </conditionalFormatting>
  <conditionalFormatting sqref="E51">
    <cfRule type="expression" dxfId="115" priority="9" stopIfTrue="1">
      <formula>$F$51="超过30%"</formula>
    </cfRule>
  </conditionalFormatting>
  <conditionalFormatting sqref="G53">
    <cfRule type="expression" dxfId="114" priority="8" stopIfTrue="1">
      <formula>$H$53="超过30%"</formula>
    </cfRule>
  </conditionalFormatting>
  <conditionalFormatting sqref="E52">
    <cfRule type="expression" dxfId="113" priority="7" stopIfTrue="1">
      <formula>$F$52="超过20%"</formula>
    </cfRule>
  </conditionalFormatting>
  <conditionalFormatting sqref="E53">
    <cfRule type="expression" dxfId="112" priority="6" stopIfTrue="1">
      <formula>$F$53="超过30%"</formula>
    </cfRule>
  </conditionalFormatting>
  <conditionalFormatting sqref="G51">
    <cfRule type="expression" dxfId="111" priority="5" stopIfTrue="1">
      <formula>$H$53+$H$51="超过30%"</formula>
    </cfRule>
  </conditionalFormatting>
  <conditionalFormatting sqref="G52">
    <cfRule type="expression" dxfId="110" priority="4" stopIfTrue="1">
      <formula>$H$52="超过20%"</formula>
    </cfRule>
  </conditionalFormatting>
  <conditionalFormatting sqref="I51">
    <cfRule type="expression" dxfId="109" priority="3" stopIfTrue="1">
      <formula>$J$51="超过30%"</formula>
    </cfRule>
  </conditionalFormatting>
  <conditionalFormatting sqref="I52">
    <cfRule type="expression" dxfId="108" priority="2" stopIfTrue="1">
      <formula>$J$52="超过20%"</formula>
    </cfRule>
  </conditionalFormatting>
  <conditionalFormatting sqref="I53">
    <cfRule type="expression" dxfId="10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8" t="str">
        <f>项目基本情况!B1</f>
        <v>山东省山东省济南市历城区唐冶西路868号A7-1整幢办公商业及地下车位房地产抵押价值预评估</v>
      </c>
      <c r="C37" s="2998"/>
      <c r="D37" s="2998"/>
      <c r="E37" s="2998"/>
      <c r="F37" s="2998"/>
      <c r="G37" s="2998"/>
      <c r="H37" s="2998"/>
      <c r="I37" s="2998"/>
    </row>
    <row r="38" spans="1:9">
      <c r="A38" s="1018"/>
      <c r="B38" s="1018"/>
    </row>
    <row r="39" spans="1:9">
      <c r="A39" s="1016" t="s">
        <v>818</v>
      </c>
      <c r="B39" s="1016" t="s">
        <v>820</v>
      </c>
    </row>
    <row r="40" spans="1:9">
      <c r="A40" s="1016"/>
      <c r="B40" s="1943" t="str">
        <f>项目基本情况!B5</f>
        <v>中信信托</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吴薇（注册号：1419970001)、崔锴（注册号：0)</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H19" sqref="H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8"/>
      <c r="C1" s="242"/>
      <c r="D1" s="242"/>
      <c r="E1" s="242"/>
      <c r="F1" s="242"/>
      <c r="G1" s="1380">
        <f>MATCH(B1,'数据-取费表'!A6:A16,0)+5</f>
        <v>7</v>
      </c>
    </row>
    <row r="2" spans="1:9" s="244" customFormat="1" ht="18" customHeight="1">
      <c r="A2" s="245" t="s">
        <v>2327</v>
      </c>
      <c r="B2" s="246" t="e">
        <f ca="1">IF(D2="——",C52,C52-E2)</f>
        <v>#DIV/0!</v>
      </c>
      <c r="C2" s="243" t="s">
        <v>2328</v>
      </c>
      <c r="D2" s="2546" t="s">
        <v>70</v>
      </c>
      <c r="E2" s="1441" t="e">
        <f ca="1">SUMIF(INDIRECT("'"&amp;G2&amp;"'"&amp;"!A:A"),"承租人权益价值",INDIRECT("'"&amp;G2&amp;"'"&amp;"!c:c"))</f>
        <v>#REF!</v>
      </c>
      <c r="F2" s="2547" t="s">
        <v>2328</v>
      </c>
      <c r="G2" s="2548"/>
    </row>
    <row r="3" spans="1:9" s="244" customFormat="1" ht="18" customHeight="1" thickBot="1">
      <c r="A3" s="247" t="s">
        <v>2329</v>
      </c>
      <c r="B3" s="248" t="e">
        <f ca="1">ROUND(B2*10000/(IF(B1="",'数据-汇总表'!E3,INDIRECT("'数据-取费表'!k"&amp;$G$1))),0)</f>
        <v>#DIV/0!</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t="e">
        <f>C6+C7+C8</f>
        <v>#DIV/0!</v>
      </c>
      <c r="D5" s="255" t="s">
        <v>2334</v>
      </c>
      <c r="E5" s="256" t="s">
        <v>2335</v>
      </c>
      <c r="F5" s="256" t="s">
        <v>2336</v>
      </c>
      <c r="G5" s="257"/>
    </row>
    <row r="6" spans="1:9" s="258" customFormat="1" ht="13.5" customHeight="1">
      <c r="A6" s="951" t="s">
        <v>2337</v>
      </c>
      <c r="B6" s="259" t="s">
        <v>2338</v>
      </c>
      <c r="C6" s="260" t="e">
        <f>'土地比较法-住宅、综合'!F66</f>
        <v>#DIV/0!</v>
      </c>
      <c r="D6" s="261"/>
      <c r="E6" s="262"/>
      <c r="F6" s="262"/>
      <c r="G6" s="263"/>
    </row>
    <row r="7" spans="1:9" s="258" customFormat="1" ht="13.5" customHeight="1">
      <c r="A7" s="951" t="s">
        <v>2339</v>
      </c>
      <c r="B7" s="259" t="s">
        <v>2340</v>
      </c>
      <c r="C7" s="264" t="e">
        <f>ROUND(C6*F7,0)</f>
        <v>#DIV/0!</v>
      </c>
      <c r="D7" s="264"/>
      <c r="E7" s="262"/>
      <c r="F7" s="265">
        <f>'数据-取费表'!B48+'数据-取费表'!B49</f>
        <v>3.0499999999999999E-2</v>
      </c>
      <c r="G7" s="263"/>
    </row>
    <row r="8" spans="1:9" s="267" customFormat="1">
      <c r="A8" s="951" t="s">
        <v>2341</v>
      </c>
      <c r="B8" s="259" t="s">
        <v>2342</v>
      </c>
      <c r="C8" s="264">
        <f>IF(G8="已包含在土地购买价格中","0",IF(B1="",'数据-取费表'!B29,IF(G9="全部缴纳",C9+C10,H9)))</f>
        <v>593</v>
      </c>
      <c r="D8" s="266"/>
      <c r="E8" s="264"/>
      <c r="F8" s="265"/>
      <c r="G8" s="2549" t="s">
        <v>3216</v>
      </c>
    </row>
    <row r="9" spans="1:9" s="258" customFormat="1" ht="13.5" customHeight="1">
      <c r="A9" s="952" t="s">
        <v>800</v>
      </c>
      <c r="B9" s="268" t="s">
        <v>2343</v>
      </c>
      <c r="C9" s="269">
        <f ca="1">ROUND(D9*E9/10000,0)</f>
        <v>0</v>
      </c>
      <c r="D9" s="1034">
        <f ca="1">IF(B1="",'数据-汇总表'!E5,IF(INDIRECT("'数据-取费表'!c"&amp;$G$1)="住宅",INDIRECT("'数据-取费表'!k"&amp;$G$1),0))</f>
        <v>0</v>
      </c>
      <c r="E9" s="269">
        <f>'数据-取费表'!B27</f>
        <v>0</v>
      </c>
      <c r="F9" s="265"/>
      <c r="G9" s="2550" t="s">
        <v>3217</v>
      </c>
      <c r="H9" s="1391"/>
      <c r="I9" s="2551" t="s">
        <v>2344</v>
      </c>
    </row>
    <row r="10" spans="1:9" s="258" customFormat="1" ht="13.5" customHeight="1">
      <c r="A10" s="952" t="s">
        <v>801</v>
      </c>
      <c r="B10" s="268" t="s">
        <v>2345</v>
      </c>
      <c r="C10" s="269">
        <f ca="1">ROUND(D10*E10/10000,0)</f>
        <v>593</v>
      </c>
      <c r="D10" s="1034">
        <f ca="1">IF(B1="",'数据-汇总表'!E6,IF(INDIRECT("'数据-取费表'!c"&amp;$G$1)="住宅",INDIRECT("'数据-取费表'!s"&amp;$G$1),INDIRECT("'数据-取费表'!k"&amp;$G$1)+INDIRECT("'数据-取费表'!s"&amp;$G$1)))</f>
        <v>25792.44</v>
      </c>
      <c r="E10" s="269">
        <f>'数据-取费表'!B28</f>
        <v>230</v>
      </c>
      <c r="F10" s="265"/>
      <c r="G10" s="270"/>
    </row>
    <row r="11" spans="1:9" s="258" customFormat="1" ht="13.5" hidden="1" customHeight="1">
      <c r="A11" s="271" t="s">
        <v>7</v>
      </c>
      <c r="B11" s="259" t="s">
        <v>2346</v>
      </c>
      <c r="C11" s="255"/>
      <c r="D11" s="1036"/>
      <c r="E11" s="262"/>
      <c r="F11" s="262"/>
      <c r="G11" s="263"/>
    </row>
    <row r="12" spans="1:9" s="258" customFormat="1" ht="13.5" hidden="1" customHeight="1">
      <c r="A12" s="271" t="s">
        <v>8</v>
      </c>
      <c r="B12" s="259" t="s">
        <v>2347</v>
      </c>
      <c r="C12" s="255">
        <v>0</v>
      </c>
      <c r="D12" s="1036"/>
      <c r="E12" s="272"/>
      <c r="F12" s="265">
        <v>3.0499999999999999E-2</v>
      </c>
      <c r="G12" s="263"/>
    </row>
    <row r="13" spans="1:9" s="258" customFormat="1" ht="13.5" hidden="1" customHeight="1">
      <c r="A13" s="271" t="s">
        <v>9</v>
      </c>
      <c r="B13" s="259" t="s">
        <v>2348</v>
      </c>
      <c r="C13" s="255"/>
      <c r="D13" s="1036"/>
      <c r="E13" s="262"/>
      <c r="F13" s="262"/>
      <c r="G13" s="263"/>
    </row>
    <row r="14" spans="1:9" s="258" customFormat="1" ht="13.5" hidden="1" customHeight="1">
      <c r="A14" s="271" t="s">
        <v>10</v>
      </c>
      <c r="B14" s="259" t="s">
        <v>2349</v>
      </c>
      <c r="C14" s="255"/>
      <c r="D14" s="1036"/>
      <c r="E14" s="262"/>
      <c r="F14" s="262"/>
      <c r="G14" s="263" t="s">
        <v>2350</v>
      </c>
    </row>
    <row r="15" spans="1:9" s="258" customFormat="1" ht="13.5" hidden="1" customHeight="1">
      <c r="A15" s="271" t="s">
        <v>11</v>
      </c>
      <c r="B15" s="259" t="s">
        <v>2351</v>
      </c>
      <c r="C15" s="264"/>
      <c r="D15" s="1036"/>
      <c r="E15" s="262"/>
      <c r="F15" s="262"/>
      <c r="G15" s="263" t="s">
        <v>2352</v>
      </c>
    </row>
    <row r="16" spans="1:9" s="258" customFormat="1" ht="13.5" hidden="1" customHeight="1">
      <c r="A16" s="271" t="s">
        <v>12</v>
      </c>
      <c r="B16" s="259" t="s">
        <v>2349</v>
      </c>
      <c r="C16" s="264"/>
      <c r="D16" s="1036"/>
      <c r="E16" s="262"/>
      <c r="F16" s="262"/>
      <c r="G16" s="263"/>
    </row>
    <row r="17" spans="1:7" s="258" customFormat="1" ht="13.5" hidden="1" customHeight="1">
      <c r="A17" s="271" t="s">
        <v>13</v>
      </c>
      <c r="B17" s="259" t="s">
        <v>2353</v>
      </c>
      <c r="C17" s="273"/>
      <c r="D17" s="1037"/>
      <c r="E17" s="273"/>
      <c r="F17" s="273"/>
      <c r="G17" s="263" t="s">
        <v>2352</v>
      </c>
    </row>
    <row r="18" spans="1:7" s="258" customFormat="1" ht="13.5" hidden="1" customHeight="1">
      <c r="A18" s="271" t="s">
        <v>14</v>
      </c>
      <c r="B18" s="259" t="s">
        <v>2354</v>
      </c>
      <c r="C18" s="264">
        <v>0</v>
      </c>
      <c r="D18" s="1036"/>
      <c r="E18" s="262"/>
      <c r="F18" s="265">
        <v>3.0499999999999999E-2</v>
      </c>
      <c r="G18" s="263" t="s">
        <v>2355</v>
      </c>
    </row>
    <row r="19" spans="1:7" s="267" customFormat="1" ht="13.5" customHeight="1">
      <c r="A19" s="299" t="s">
        <v>2356</v>
      </c>
      <c r="B19" s="254" t="s">
        <v>2357</v>
      </c>
      <c r="C19" s="2981" t="str">
        <f>IF(G19="已包含在土地取得成本中","0",ROUND(D19*E19/10000,0))</f>
        <v>0</v>
      </c>
      <c r="D19" s="1038">
        <f ca="1">D9+D10</f>
        <v>25792.44</v>
      </c>
      <c r="E19" s="255">
        <f>'数据-取费表'!B31</f>
        <v>150</v>
      </c>
      <c r="F19" s="275"/>
      <c r="G19" s="2549" t="s">
        <v>3235</v>
      </c>
    </row>
    <row r="20" spans="1:7" s="258" customFormat="1" ht="13.5" customHeight="1">
      <c r="A20" s="299" t="s">
        <v>2358</v>
      </c>
      <c r="B20" s="254" t="s">
        <v>2359</v>
      </c>
      <c r="C20" s="276" t="e">
        <f>ROUND((C5+C19)*F20,0)</f>
        <v>#DIV/0!</v>
      </c>
      <c r="D20" s="276"/>
      <c r="E20" s="276"/>
      <c r="F20" s="277">
        <f>'数据-取费表'!B37</f>
        <v>0.01</v>
      </c>
      <c r="G20" s="278" t="s">
        <v>2360</v>
      </c>
    </row>
    <row r="21" spans="1:7" s="258" customFormat="1" ht="13.5" customHeight="1">
      <c r="A21" s="299" t="s">
        <v>2361</v>
      </c>
      <c r="B21" s="254" t="s">
        <v>2362</v>
      </c>
      <c r="C21" s="279">
        <f>F21</f>
        <v>0.01</v>
      </c>
      <c r="D21" s="280" t="s">
        <v>2363</v>
      </c>
      <c r="E21" s="276"/>
      <c r="F21" s="277">
        <f>'数据-取费表'!B38</f>
        <v>0.01</v>
      </c>
      <c r="G21" s="278" t="s">
        <v>2364</v>
      </c>
    </row>
    <row r="22" spans="1:7" s="258" customFormat="1" ht="13.5" customHeight="1">
      <c r="A22" s="299" t="s">
        <v>2365</v>
      </c>
      <c r="B22" s="254" t="s">
        <v>2366</v>
      </c>
      <c r="C22" s="1355" t="e">
        <f ca="1">ROUND(SUM(C23:C25),0)</f>
        <v>#DIV/0!</v>
      </c>
      <c r="D22" s="279">
        <f ca="1">C26</f>
        <v>5.0000000000000001E-4</v>
      </c>
      <c r="E22" s="280" t="s">
        <v>2363</v>
      </c>
      <c r="F22" s="281">
        <f ca="1">'数据-取费表'!B40</f>
        <v>4.7500000000000001E-2</v>
      </c>
      <c r="G22" s="278" t="str">
        <f>IF('数据-取费表'!B22&lt;=1,"单利计息","复利计息")</f>
        <v>复利计息</v>
      </c>
    </row>
    <row r="23" spans="1:7" s="258" customFormat="1" ht="13.5" customHeight="1">
      <c r="A23" s="953" t="s">
        <v>2367</v>
      </c>
      <c r="B23" s="259" t="s">
        <v>2368</v>
      </c>
      <c r="C23" s="1356" t="e">
        <f ca="1">ROUND(IF('数据-取费表'!B22&lt;=1,C5*F22*'数据-取费表'!B23,C5*(POWER((1+F22),'数据-取费表'!B23)-1)),0)</f>
        <v>#DIV/0!</v>
      </c>
      <c r="D23" s="282"/>
      <c r="E23" s="282"/>
      <c r="F23" s="283"/>
      <c r="G23" s="284" t="s">
        <v>2369</v>
      </c>
    </row>
    <row r="24" spans="1:7" s="258" customFormat="1" ht="13.5" customHeight="1">
      <c r="A24" s="953" t="s">
        <v>2370</v>
      </c>
      <c r="B24" s="259" t="s">
        <v>2371</v>
      </c>
      <c r="C24" s="1356">
        <f ca="1">ROUND(IF('数据-取费表'!B22&lt;=1,C19*F22*('数据-取费表'!B19/2+'数据-取费表'!B21),C19*(POWER((1+F22),('数据-取费表'!B19/2+'数据-取费表'!B21))-1)),0)</f>
        <v>0</v>
      </c>
      <c r="D24" s="282"/>
      <c r="E24" s="282"/>
      <c r="F24" s="283"/>
      <c r="G24" s="284" t="s">
        <v>2372</v>
      </c>
    </row>
    <row r="25" spans="1:7" s="258" customFormat="1" ht="24">
      <c r="A25" s="953" t="s">
        <v>2373</v>
      </c>
      <c r="B25" s="259" t="s">
        <v>2374</v>
      </c>
      <c r="C25" s="1356" t="e">
        <f ca="1">ROUND(IF('数据-取费表'!B22&lt;=1,C20*F22*'数据-取费表'!B23/2,C20*(POWER((1+F22),'数据-取费表'!B23/2)-1)),0)</f>
        <v>#DIV/0!</v>
      </c>
      <c r="D25" s="282"/>
      <c r="E25" s="285"/>
      <c r="F25" s="283"/>
      <c r="G25" s="286" t="s">
        <v>2375</v>
      </c>
    </row>
    <row r="26" spans="1:7" s="258" customFormat="1">
      <c r="A26" s="953" t="s">
        <v>795</v>
      </c>
      <c r="B26" s="259" t="s">
        <v>2376</v>
      </c>
      <c r="C26" s="282">
        <f ca="1">ROUND(IF('数据-取费表'!B22&lt;=1,F21*F22*'数据-取费表'!B23/2,F21*(POWER((1+F22),'数据-取费表'!B23/2)-1)),4)</f>
        <v>5.0000000000000001E-4</v>
      </c>
      <c r="D26" s="282"/>
      <c r="E26" s="285"/>
      <c r="F26" s="283"/>
      <c r="G26" s="287"/>
    </row>
    <row r="27" spans="1:7" s="258" customFormat="1" ht="24.75">
      <c r="A27" s="299" t="s">
        <v>2377</v>
      </c>
      <c r="B27" s="288" t="s">
        <v>2378</v>
      </c>
      <c r="C27" s="289" t="e">
        <f ca="1">C28</f>
        <v>#DIV/0!</v>
      </c>
      <c r="D27" s="279">
        <f ca="1">C29</f>
        <v>1.5E-3</v>
      </c>
      <c r="E27" s="280" t="s">
        <v>2379</v>
      </c>
      <c r="F27" s="290">
        <f ca="1">IF(B1="",'数据-取费表'!Q16,INDIRECT("'数据-取费表'!q"&amp;$G$1))</f>
        <v>0.15</v>
      </c>
      <c r="G27" s="291" t="s">
        <v>2380</v>
      </c>
    </row>
    <row r="28" spans="1:7" s="258" customFormat="1" ht="13.5" customHeight="1">
      <c r="A28" s="953" t="s">
        <v>791</v>
      </c>
      <c r="B28" s="292" t="s">
        <v>2381</v>
      </c>
      <c r="C28" s="293" t="e">
        <f ca="1">ROUND((C5+C19+C20)*F27*'数据-取费表'!B21/'数据-取费表'!B20,0)</f>
        <v>#DIV/0!</v>
      </c>
      <c r="D28" s="279"/>
      <c r="E28" s="280"/>
      <c r="F28" s="290"/>
      <c r="G28" s="291"/>
    </row>
    <row r="29" spans="1:7" s="258" customFormat="1" ht="13.5" customHeight="1">
      <c r="A29" s="953" t="s">
        <v>792</v>
      </c>
      <c r="B29" s="292" t="s">
        <v>2382</v>
      </c>
      <c r="C29" s="282">
        <f ca="1">ROUND(C21*F27*'数据-取费表'!B21/'数据-取费表'!B20,4)</f>
        <v>1.5E-3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t="e">
        <f ca="1">ROUND((C5+C19+C20+C22+C27)/(1-C21-D22-D27-C30),0)</f>
        <v>#DIV/0!</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12516</v>
      </c>
      <c r="D33" s="276"/>
      <c r="E33" s="256"/>
      <c r="F33" s="285"/>
      <c r="G33" s="278"/>
    </row>
    <row r="34" spans="1:7" s="302" customFormat="1" ht="13.5" customHeight="1">
      <c r="A34" s="953" t="s">
        <v>791</v>
      </c>
      <c r="B34" s="259" t="s">
        <v>2390</v>
      </c>
      <c r="C34" s="264">
        <f ca="1">IF(B1="",IF(F34=100%,'数据-取费表'!M16,'数据-取费表'!O16),IF(F34=100%,INDIRECT("'数据-取费表'!m"&amp;$G$1)+INDIRECT("'数据-取费表'!t"&amp;$G$1),INDIRECT("'数据-取费表'!o"&amp;$G$1)+INDIRECT("'数据-取费表'!aq"&amp;$G$1)))</f>
        <v>11607</v>
      </c>
      <c r="D34" s="261"/>
      <c r="E34" s="264"/>
      <c r="F34" s="301">
        <f ca="1">IF('数据-取费表'!B24=0,1,IF(B1="",'数据-取费表'!N16,INDIRECT("'数据-取费表'!n"&amp;$G$1)))</f>
        <v>1</v>
      </c>
      <c r="G34" s="263" t="s">
        <v>2391</v>
      </c>
    </row>
    <row r="35" spans="1:7" ht="13.5" customHeight="1">
      <c r="A35" s="953" t="s">
        <v>796</v>
      </c>
      <c r="B35" s="259" t="s">
        <v>2392</v>
      </c>
      <c r="C35" s="264">
        <f ca="1">ROUND(C34*F35,0)</f>
        <v>348</v>
      </c>
      <c r="D35" s="264"/>
      <c r="E35" s="264"/>
      <c r="F35" s="303">
        <f>'数据-取费表'!B33</f>
        <v>0.03</v>
      </c>
      <c r="G35" s="263" t="s">
        <v>2393</v>
      </c>
    </row>
    <row r="36" spans="1:7" ht="24">
      <c r="A36" s="953"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3" t="s">
        <v>798</v>
      </c>
      <c r="B37" s="259" t="s">
        <v>2396</v>
      </c>
      <c r="C37" s="293">
        <f ca="1">ROUND(E37*D37*F34/10000,0)</f>
        <v>387</v>
      </c>
      <c r="D37" s="261">
        <f ca="1">D19</f>
        <v>25792.44</v>
      </c>
      <c r="E37" s="293">
        <f>'数据-取费表'!B35</f>
        <v>150</v>
      </c>
      <c r="F37" s="303"/>
      <c r="G37" s="305" t="s">
        <v>2397</v>
      </c>
    </row>
    <row r="38" spans="1:7" ht="13.5" customHeight="1">
      <c r="A38" s="953" t="s">
        <v>799</v>
      </c>
      <c r="B38" s="259" t="s">
        <v>2398</v>
      </c>
      <c r="C38" s="264">
        <f ca="1">ROUND(C34*F38,0)</f>
        <v>174</v>
      </c>
      <c r="D38" s="264"/>
      <c r="E38" s="264"/>
      <c r="F38" s="303">
        <f>'数据-取费表'!B36</f>
        <v>1.4999999999999999E-2</v>
      </c>
      <c r="G38" s="263" t="s">
        <v>2393</v>
      </c>
    </row>
    <row r="39" spans="1:7" s="258" customFormat="1" ht="13.5" customHeight="1">
      <c r="A39" s="299" t="s">
        <v>2399</v>
      </c>
      <c r="B39" s="254" t="s">
        <v>2400</v>
      </c>
      <c r="C39" s="276">
        <f ca="1">ROUND(C33*F20,0)</f>
        <v>125</v>
      </c>
      <c r="D39" s="276"/>
      <c r="E39" s="276"/>
      <c r="F39" s="277"/>
      <c r="G39" s="278" t="s">
        <v>2401</v>
      </c>
    </row>
    <row r="40" spans="1:7" s="258" customFormat="1" ht="13.5" customHeight="1">
      <c r="A40" s="299" t="s">
        <v>2402</v>
      </c>
      <c r="B40" s="254" t="s">
        <v>2403</v>
      </c>
      <c r="C40" s="1729">
        <f>F21</f>
        <v>0.01</v>
      </c>
      <c r="D40" s="280" t="s">
        <v>2404</v>
      </c>
      <c r="E40" s="276"/>
      <c r="F40" s="277"/>
      <c r="G40" s="278" t="s">
        <v>2405</v>
      </c>
    </row>
    <row r="41" spans="1:7" s="258" customFormat="1" ht="13.5" customHeight="1">
      <c r="A41" s="299" t="s">
        <v>2406</v>
      </c>
      <c r="B41" s="254" t="s">
        <v>2407</v>
      </c>
      <c r="C41" s="276">
        <f ca="1">ROUND(SUM(C42:C43),0)</f>
        <v>601</v>
      </c>
      <c r="D41" s="279">
        <f ca="1">C44</f>
        <v>5.0000000000000001E-4</v>
      </c>
      <c r="E41" s="280" t="s">
        <v>2404</v>
      </c>
      <c r="F41" s="281"/>
      <c r="G41" s="278" t="str">
        <f>IF('数据-取费表'!B22&lt;=1,"单利计息","复利计息")</f>
        <v>复利计息</v>
      </c>
    </row>
    <row r="42" spans="1:7" ht="13.5" customHeight="1">
      <c r="A42" s="953" t="s">
        <v>791</v>
      </c>
      <c r="B42" s="259" t="s">
        <v>2408</v>
      </c>
      <c r="C42" s="282">
        <f ca="1">ROUND(IF('数据-取费表'!B22&lt;=1,C33*F22*'数据-取费表'!B21/2,C33*(POWER((1+F22),'数据-取费表'!B21/2)-1)),0)</f>
        <v>595</v>
      </c>
      <c r="D42" s="282"/>
      <c r="E42" s="282"/>
      <c r="F42" s="283"/>
      <c r="G42" s="3227" t="s">
        <v>2409</v>
      </c>
    </row>
    <row r="43" spans="1:7" ht="13.5" customHeight="1">
      <c r="A43" s="953" t="s">
        <v>792</v>
      </c>
      <c r="B43" s="259" t="s">
        <v>2410</v>
      </c>
      <c r="C43" s="282">
        <f ca="1">ROUND(IF('数据-取费表'!B22&lt;=1,C39*F22*'数据-取费表'!B21/2,C39*(POWER((1+F22),'数据-取费表'!B21/2)-1)),0)</f>
        <v>6</v>
      </c>
      <c r="D43" s="282"/>
      <c r="E43" s="282"/>
      <c r="F43" s="283"/>
      <c r="G43" s="3228"/>
    </row>
    <row r="44" spans="1:7" ht="13.5" customHeight="1">
      <c r="A44" s="953" t="s">
        <v>793</v>
      </c>
      <c r="B44" s="259" t="s">
        <v>2411</v>
      </c>
      <c r="C44" s="282">
        <f ca="1">ROUND(IF('数据-取费表'!B22&lt;=1,C40*F22*'数据-取费表'!B21/2,C40*(POWER((1+F22),'数据-取费表'!B21/2)-1)),4)</f>
        <v>5.0000000000000001E-4</v>
      </c>
      <c r="D44" s="282"/>
      <c r="E44" s="282"/>
      <c r="F44" s="283"/>
      <c r="G44" s="3229"/>
    </row>
    <row r="45" spans="1:7" s="258" customFormat="1" ht="13.5" customHeight="1">
      <c r="A45" s="299" t="s">
        <v>2412</v>
      </c>
      <c r="B45" s="288" t="s">
        <v>2378</v>
      </c>
      <c r="C45" s="289">
        <f ca="1">C46</f>
        <v>1896</v>
      </c>
      <c r="D45" s="279">
        <f ca="1">C47</f>
        <v>1.5E-3</v>
      </c>
      <c r="E45" s="280" t="s">
        <v>2404</v>
      </c>
      <c r="F45" s="290"/>
      <c r="G45" s="291" t="s">
        <v>2413</v>
      </c>
    </row>
    <row r="46" spans="1:7" s="258" customFormat="1" ht="13.5" customHeight="1">
      <c r="A46" s="953" t="s">
        <v>791</v>
      </c>
      <c r="B46" s="292" t="s">
        <v>2414</v>
      </c>
      <c r="C46" s="293">
        <f ca="1">ROUND((C33+C39)*F27,0)</f>
        <v>1896</v>
      </c>
      <c r="D46" s="307"/>
      <c r="E46" s="280"/>
      <c r="F46" s="290"/>
      <c r="G46" s="291"/>
    </row>
    <row r="47" spans="1:7" s="258" customFormat="1" ht="13.5" customHeight="1">
      <c r="A47" s="953" t="s">
        <v>792</v>
      </c>
      <c r="B47" s="292" t="s">
        <v>2415</v>
      </c>
      <c r="C47" s="282">
        <f ca="1">ROUND(C40*F27,4)</f>
        <v>1.5E-3</v>
      </c>
      <c r="D47" s="307"/>
      <c r="E47" s="280"/>
      <c r="F47" s="290"/>
      <c r="G47" s="291"/>
    </row>
    <row r="48" spans="1:7" s="258" customFormat="1" ht="13.5" customHeight="1">
      <c r="A48" s="299" t="s">
        <v>2377</v>
      </c>
      <c r="B48" s="254" t="s">
        <v>2416</v>
      </c>
      <c r="C48" s="1729">
        <f>ROUND(F30/(1+'数据-取费表'!C42),4)</f>
        <v>5.2400000000000002E-2</v>
      </c>
      <c r="D48" s="280" t="s">
        <v>2404</v>
      </c>
      <c r="E48" s="276"/>
      <c r="F48" s="281"/>
      <c r="G48" s="278" t="s">
        <v>2417</v>
      </c>
    </row>
    <row r="49" spans="1:7" ht="16.5" customHeight="1">
      <c r="A49" s="299" t="s">
        <v>2383</v>
      </c>
      <c r="B49" s="254" t="s">
        <v>2418</v>
      </c>
      <c r="C49" s="276">
        <f ca="1">ROUND((C33+C39+C41+C45)/(1-C40-D41-D45-C48),0)</f>
        <v>16180</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16180</v>
      </c>
      <c r="D51" s="276"/>
      <c r="E51" s="276"/>
      <c r="F51" s="308"/>
      <c r="G51" s="278" t="s">
        <v>2425</v>
      </c>
    </row>
    <row r="52" spans="1:7" s="252" customFormat="1" ht="16.5" thickBot="1">
      <c r="A52" s="309" t="s">
        <v>2426</v>
      </c>
      <c r="B52" s="310"/>
      <c r="C52" s="311" t="e">
        <f ca="1">C31+C51</f>
        <v>#DIV/0!</v>
      </c>
      <c r="D52" s="310"/>
      <c r="E52" s="310"/>
      <c r="F52" s="310"/>
      <c r="G52" s="312"/>
    </row>
    <row r="55" spans="1:7" ht="15">
      <c r="B55" s="314" t="s">
        <v>2427</v>
      </c>
      <c r="C55" s="315"/>
    </row>
    <row r="56" spans="1:7">
      <c r="B56" s="317" t="s">
        <v>1513</v>
      </c>
      <c r="C56" s="319" t="e">
        <f ca="1">1-C57</f>
        <v>#DIV/0!</v>
      </c>
    </row>
    <row r="57" spans="1:7">
      <c r="B57" s="317" t="s">
        <v>1514</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2459</v>
      </c>
      <c r="B1" s="1582"/>
      <c r="C1" s="1583"/>
      <c r="D1" s="1581"/>
      <c r="E1" s="320"/>
      <c r="F1" s="320"/>
      <c r="G1" s="1582"/>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8" customFormat="1" ht="16.5" customHeight="1">
      <c r="A4" s="955" t="s">
        <v>2462</v>
      </c>
      <c r="B4" s="956"/>
      <c r="C4" s="998">
        <f ca="1">SUM(C8:K8)</f>
        <v>0</v>
      </c>
      <c r="D4" s="956"/>
      <c r="E4" s="956"/>
      <c r="F4" s="956"/>
      <c r="G4" s="956"/>
      <c r="H4" s="956"/>
      <c r="I4" s="956"/>
      <c r="J4" s="956"/>
      <c r="K4" s="957"/>
    </row>
    <row r="5" spans="1:33" s="962" customFormat="1" ht="15">
      <c r="A5" s="959" t="s">
        <v>2463</v>
      </c>
      <c r="B5" s="960" t="s">
        <v>2464</v>
      </c>
      <c r="C5" s="2553" t="s">
        <v>3204</v>
      </c>
      <c r="D5" s="2553" t="s">
        <v>3111</v>
      </c>
      <c r="E5" s="2553" t="s">
        <v>2465</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f ca="1">收益法!B3</f>
        <v>7782</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2469</v>
      </c>
      <c r="B8" s="177" t="s">
        <v>2470</v>
      </c>
      <c r="C8" s="999">
        <f ca="1">ROUND(C6*C7/10000,0)</f>
        <v>0</v>
      </c>
      <c r="D8" s="999">
        <f>ROUND(D6*D7/10000,0)</f>
        <v>0</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25792.44</v>
      </c>
      <c r="E14" s="24">
        <f>'数据-取费表'!B35</f>
        <v>150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25792.44</v>
      </c>
      <c r="E17" s="24">
        <f>'数据-取费表'!B32</f>
        <v>0</v>
      </c>
      <c r="F17" s="980"/>
      <c r="G17" s="140" t="s">
        <v>2489</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0</v>
      </c>
      <c r="D18" s="1035"/>
      <c r="E18" s="24"/>
      <c r="F18" s="978"/>
      <c r="G18" s="2555"/>
      <c r="H18" s="1578"/>
      <c r="I18" s="2556"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2493</v>
      </c>
      <c r="C20" s="24">
        <f ca="1">ROUND(D20*E20/10000,0)</f>
        <v>593</v>
      </c>
      <c r="D20" s="1035">
        <f ca="1">IF(C1="",'数据-汇总表'!E6,IF(INDIRECT("'数据-取费表'!c"&amp;$K$1)="住宅",INDIRECT("'数据-取费表'!s"&amp;$K$1),INDIRECT("'数据-取费表'!k"&amp;$K$1)+INDIRECT("'数据-取费表'!s"&amp;$K$1)))</f>
        <v>25792.44</v>
      </c>
      <c r="E20" s="24">
        <f>'数据-取费表'!B28</f>
        <v>230</v>
      </c>
      <c r="F20" s="978"/>
      <c r="G20" s="15"/>
      <c r="H20" s="983"/>
      <c r="I20" s="983"/>
      <c r="J20" s="983"/>
      <c r="K20" s="984"/>
    </row>
    <row r="21" spans="1:33" s="977" customFormat="1" ht="13.5" customHeight="1">
      <c r="A21" s="963" t="s">
        <v>802</v>
      </c>
      <c r="B21" s="987" t="s">
        <v>2494</v>
      </c>
      <c r="C21" s="988">
        <f ca="1">C16+C17+C18</f>
        <v>0</v>
      </c>
      <c r="D21" s="989"/>
      <c r="E21" s="325"/>
      <c r="F21" s="325"/>
      <c r="G21" s="140" t="s">
        <v>2495</v>
      </c>
      <c r="H21" s="981"/>
      <c r="I21" s="981"/>
      <c r="J21" s="981"/>
      <c r="K21" s="982"/>
    </row>
    <row r="22" spans="1:33" s="977" customFormat="1" ht="13.5" customHeight="1">
      <c r="A22" s="963" t="s">
        <v>2467</v>
      </c>
      <c r="B22" s="987" t="s">
        <v>2496</v>
      </c>
      <c r="C22" s="988">
        <f ca="1">ROUND(C21*F22,0)</f>
        <v>0</v>
      </c>
      <c r="D22" s="325"/>
      <c r="E22" s="325"/>
      <c r="F22" s="990">
        <f>'数据-取费表'!B37</f>
        <v>0.01</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0.01</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8">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59">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1"/>
      <c r="I27" s="981"/>
      <c r="J27" s="981"/>
      <c r="K27" s="982"/>
    </row>
    <row r="28" spans="1:33" s="333" customFormat="1" ht="13.5" customHeight="1">
      <c r="A28" s="963" t="s">
        <v>2507</v>
      </c>
      <c r="B28" s="2558" t="s">
        <v>2508</v>
      </c>
      <c r="C28" s="331">
        <f ca="1">C30</f>
        <v>0</v>
      </c>
      <c r="D28" s="324">
        <f ca="1">C29</f>
        <v>0</v>
      </c>
      <c r="E28" s="326" t="s">
        <v>15</v>
      </c>
      <c r="F28" s="332">
        <f ca="1">IF(C1="",'数据-取费表'!Q16,INDIRECT("'数据-取费表'!q"&amp;$K$1))</f>
        <v>0.15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0</v>
      </c>
      <c r="D30" s="328"/>
      <c r="E30" s="329"/>
      <c r="F30" s="334"/>
      <c r="G30" s="140"/>
      <c r="H30" s="981"/>
      <c r="I30" s="981"/>
      <c r="J30" s="981"/>
      <c r="K30" s="982"/>
    </row>
    <row r="31" spans="1:33" s="977" customFormat="1" ht="13.5" customHeight="1" thickBot="1">
      <c r="A31" s="2559" t="s">
        <v>2512</v>
      </c>
      <c r="B31" s="1007" t="s">
        <v>2513</v>
      </c>
      <c r="C31" s="1008">
        <f ca="1">ROUND(C4*F31/(1+'数据-取费表'!C42),0)</f>
        <v>0</v>
      </c>
      <c r="D31" s="1009"/>
      <c r="E31" s="1010"/>
      <c r="F31" s="1011">
        <f>'数据-取费表'!B41</f>
        <v>5.5000000000000007E-2</v>
      </c>
      <c r="G31" s="1012" t="s">
        <v>2514</v>
      </c>
      <c r="H31" s="1013"/>
      <c r="I31" s="1013"/>
      <c r="J31" s="1013"/>
      <c r="K31" s="1014"/>
    </row>
    <row r="32" spans="1:33" s="972" customFormat="1" ht="13.5" customHeight="1" thickBot="1">
      <c r="A32" s="1002" t="s">
        <v>2515</v>
      </c>
      <c r="B32" s="1003"/>
      <c r="C32" s="1004">
        <f ca="1">ROUND((C4-C21-C22-C23-C25-C28-C31)/(1+C24+D25+D28),0)</f>
        <v>0</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5" zoomScale="90" zoomScaleNormal="90" workbookViewId="0">
      <selection activeCell="D1" sqref="A1:K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668" t="s">
        <v>2684</v>
      </c>
      <c r="C1" s="1621" t="s">
        <v>2528</v>
      </c>
      <c r="D1" s="1622" t="s">
        <v>3240</v>
      </c>
      <c r="E1" s="1631"/>
      <c r="F1" s="2583" t="s">
        <v>3260</v>
      </c>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19">
        <f>IF(C2="——",ROUND(C50*D3/10000,0),ROUND(C50*D3/10000,0)-D2)</f>
        <v>19112</v>
      </c>
      <c r="C2" s="2585" t="s">
        <v>70</v>
      </c>
      <c r="D2" s="1366" t="e">
        <f ca="1">SUMIF(INDIRECT("'"&amp;F2&amp;"'"&amp;"!A:A"),"承租人权益价值",INDIRECT("'"&amp;F2&amp;"'"&amp;"!c:c"))</f>
        <v>#REF!</v>
      </c>
      <c r="E2" s="2586" t="s">
        <v>2328</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f>IF(C2="——",C50,ROUND(B2*10000/D3,0))</f>
        <v>7410</v>
      </c>
      <c r="C3" s="400" t="s">
        <v>2642</v>
      </c>
      <c r="D3" s="399">
        <f>'数据-基础表'!I13</f>
        <v>25792.44</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188" t="s">
        <v>2644</v>
      </c>
      <c r="D4" s="3201"/>
      <c r="E4" s="3202" t="s">
        <v>2645</v>
      </c>
      <c r="F4" s="3203"/>
      <c r="G4" s="3188" t="s">
        <v>2646</v>
      </c>
      <c r="H4" s="3201"/>
      <c r="I4" s="3188" t="s">
        <v>2647</v>
      </c>
      <c r="J4" s="3201"/>
      <c r="K4" s="609" t="s">
        <v>2648</v>
      </c>
      <c r="L4" s="1132"/>
      <c r="M4" s="1133"/>
      <c r="N4" s="1133"/>
      <c r="O4" s="1133"/>
      <c r="P4" s="3243" t="s">
        <v>2649</v>
      </c>
      <c r="Q4" s="3244"/>
      <c r="R4" s="3247" t="s">
        <v>2645</v>
      </c>
      <c r="S4" s="3248"/>
      <c r="T4" s="3247" t="s">
        <v>2646</v>
      </c>
      <c r="U4" s="3248"/>
      <c r="V4" s="3249" t="s">
        <v>2647</v>
      </c>
      <c r="W4" s="3249"/>
      <c r="X4" s="2669"/>
      <c r="Y4" s="3247" t="s">
        <v>2649</v>
      </c>
      <c r="Z4" s="3248"/>
      <c r="AA4" s="3252" t="s">
        <v>2645</v>
      </c>
      <c r="AB4" s="3252" t="s">
        <v>2646</v>
      </c>
      <c r="AC4" s="3240" t="s">
        <v>2647</v>
      </c>
    </row>
    <row r="5" spans="1:29" ht="15">
      <c r="A5" s="404"/>
      <c r="B5" s="405"/>
      <c r="C5" s="3218" t="s">
        <v>2540</v>
      </c>
      <c r="D5" s="3219"/>
      <c r="E5" s="3253" t="s">
        <v>3281</v>
      </c>
      <c r="F5" s="3226"/>
      <c r="G5" s="3251" t="s">
        <v>3280</v>
      </c>
      <c r="H5" s="3219"/>
      <c r="I5" s="3251" t="s">
        <v>3282</v>
      </c>
      <c r="J5" s="3219"/>
      <c r="K5" s="609"/>
      <c r="L5" s="1132"/>
      <c r="M5" s="1133"/>
      <c r="N5" s="1133"/>
      <c r="O5" s="1133"/>
      <c r="P5" s="3245"/>
      <c r="Q5" s="3207"/>
      <c r="R5" s="3212"/>
      <c r="S5" s="3213"/>
      <c r="T5" s="3212"/>
      <c r="U5" s="3213"/>
      <c r="V5" s="3197"/>
      <c r="W5" s="3197"/>
      <c r="X5" s="1814"/>
      <c r="Y5" s="3212"/>
      <c r="Z5" s="3213"/>
      <c r="AA5" s="3199"/>
      <c r="AB5" s="3199"/>
      <c r="AC5" s="3241"/>
    </row>
    <row r="6" spans="1:29" ht="15.75" thickBot="1">
      <c r="A6" s="406"/>
      <c r="B6" s="407"/>
      <c r="C6" s="3216" t="s">
        <v>2544</v>
      </c>
      <c r="D6" s="3217"/>
      <c r="E6" s="3223" t="s">
        <v>2544</v>
      </c>
      <c r="F6" s="3224"/>
      <c r="G6" s="3216" t="s">
        <v>2544</v>
      </c>
      <c r="H6" s="3217"/>
      <c r="I6" s="3216" t="s">
        <v>2544</v>
      </c>
      <c r="J6" s="3217"/>
      <c r="K6" s="609" t="s">
        <v>2545</v>
      </c>
      <c r="L6" s="1132"/>
      <c r="M6" s="1133"/>
      <c r="N6" s="1133"/>
      <c r="O6" s="1133"/>
      <c r="P6" s="3246"/>
      <c r="Q6" s="3209"/>
      <c r="R6" s="3212"/>
      <c r="S6" s="3213"/>
      <c r="T6" s="3214"/>
      <c r="U6" s="3215"/>
      <c r="V6" s="3197"/>
      <c r="W6" s="3197"/>
      <c r="X6" s="1814"/>
      <c r="Y6" s="3214"/>
      <c r="Z6" s="3215"/>
      <c r="AA6" s="3200"/>
      <c r="AB6" s="3200"/>
      <c r="AC6" s="3242"/>
    </row>
    <row r="7" spans="1:29" s="117" customFormat="1" ht="15.75" thickBot="1">
      <c r="A7" s="408" t="s">
        <v>2546</v>
      </c>
      <c r="B7" s="409"/>
      <c r="C7" s="410">
        <f>'数据-取费表'!B2</f>
        <v>43692</v>
      </c>
      <c r="D7" s="411">
        <v>100</v>
      </c>
      <c r="E7" s="412">
        <v>43692</v>
      </c>
      <c r="F7" s="413">
        <f>SUMIF(59:59,YEAR(E7)&amp;"-"&amp;MONTH(E7),60:60)</f>
        <v>100</v>
      </c>
      <c r="G7" s="412">
        <v>43692</v>
      </c>
      <c r="H7" s="411">
        <f>SUMIF(59:59,YEAR(G7)&amp;"-"&amp;MONTH(G7),60:60)</f>
        <v>100</v>
      </c>
      <c r="I7" s="412">
        <v>43692</v>
      </c>
      <c r="J7" s="411">
        <f>SUMIF(59:59,YEAR(I7)&amp;"-"&amp;MONTH(I7),60:60)</f>
        <v>100</v>
      </c>
      <c r="K7" s="610"/>
      <c r="L7" s="1134"/>
      <c r="M7" s="1135"/>
      <c r="N7" s="1135"/>
      <c r="O7" s="1135"/>
      <c r="P7" s="3250" t="s">
        <v>2547</v>
      </c>
      <c r="Q7" s="3222"/>
      <c r="R7" s="769" t="s">
        <v>17</v>
      </c>
      <c r="S7" s="770">
        <f t="shared" ref="S7:S15" si="0">F7</f>
        <v>100</v>
      </c>
      <c r="T7" s="769" t="s">
        <v>17</v>
      </c>
      <c r="U7" s="770">
        <f t="shared" ref="U7:U15" si="1">H7</f>
        <v>100</v>
      </c>
      <c r="V7" s="769" t="s">
        <v>17</v>
      </c>
      <c r="W7" s="770">
        <f t="shared" ref="W7:W15" si="2">J7</f>
        <v>100</v>
      </c>
      <c r="X7" s="771"/>
      <c r="Y7" s="3220" t="s">
        <v>2547</v>
      </c>
      <c r="Z7" s="3221"/>
      <c r="AA7" s="772">
        <f>D7/F7</f>
        <v>1</v>
      </c>
      <c r="AB7" s="772">
        <f>D7/H7</f>
        <v>1</v>
      </c>
      <c r="AC7" s="2670">
        <f>D7/J7</f>
        <v>1</v>
      </c>
    </row>
    <row r="8" spans="1:29" s="117" customFormat="1" ht="15.75" thickBot="1">
      <c r="A8" s="408" t="s">
        <v>2548</v>
      </c>
      <c r="B8" s="409"/>
      <c r="C8" s="414" t="s">
        <v>2650</v>
      </c>
      <c r="D8" s="411">
        <v>100</v>
      </c>
      <c r="E8" s="2996" t="s">
        <v>3278</v>
      </c>
      <c r="F8" s="413">
        <v>103</v>
      </c>
      <c r="G8" s="2996" t="s">
        <v>3278</v>
      </c>
      <c r="H8" s="411">
        <v>103</v>
      </c>
      <c r="I8" s="2996" t="s">
        <v>3278</v>
      </c>
      <c r="J8" s="411">
        <v>103</v>
      </c>
      <c r="K8" s="610"/>
      <c r="L8" s="1134"/>
      <c r="M8" s="1135"/>
      <c r="N8" s="1135"/>
      <c r="O8" s="1135"/>
      <c r="P8" s="3250" t="s">
        <v>2550</v>
      </c>
      <c r="Q8" s="3221"/>
      <c r="R8" s="769" t="s">
        <v>17</v>
      </c>
      <c r="S8" s="770">
        <f t="shared" si="0"/>
        <v>103</v>
      </c>
      <c r="T8" s="769" t="s">
        <v>17</v>
      </c>
      <c r="U8" s="770">
        <f t="shared" si="1"/>
        <v>103</v>
      </c>
      <c r="V8" s="769" t="s">
        <v>17</v>
      </c>
      <c r="W8" s="770">
        <f t="shared" si="2"/>
        <v>103</v>
      </c>
      <c r="X8" s="771"/>
      <c r="Y8" s="3220" t="s">
        <v>2550</v>
      </c>
      <c r="Z8" s="3221"/>
      <c r="AA8" s="772">
        <f t="shared" ref="AA8:AA47" si="3">D8/F8</f>
        <v>0.970873786407767</v>
      </c>
      <c r="AB8" s="772">
        <f t="shared" ref="AB8:AB47" si="4">D8/H8</f>
        <v>0.970873786407767</v>
      </c>
      <c r="AC8" s="2670">
        <f t="shared" ref="AC8:AC47" si="5">D8/J8</f>
        <v>0.970873786407767</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0"/>
      <c r="L9" s="1134"/>
      <c r="M9" s="1135"/>
      <c r="N9" s="1135"/>
      <c r="O9" s="1135"/>
      <c r="P9" s="3190" t="s">
        <v>2553</v>
      </c>
      <c r="Q9" s="1796" t="str">
        <f t="shared" ref="Q9:Q15" si="6">B9</f>
        <v>用途</v>
      </c>
      <c r="R9" s="769" t="s">
        <v>17</v>
      </c>
      <c r="S9" s="770">
        <f t="shared" si="0"/>
        <v>100</v>
      </c>
      <c r="T9" s="769" t="s">
        <v>17</v>
      </c>
      <c r="U9" s="770">
        <f t="shared" si="1"/>
        <v>100</v>
      </c>
      <c r="V9" s="769" t="s">
        <v>17</v>
      </c>
      <c r="W9" s="770">
        <f t="shared" si="2"/>
        <v>100</v>
      </c>
      <c r="X9" s="771"/>
      <c r="Y9" s="3042" t="s">
        <v>2554</v>
      </c>
      <c r="Z9" s="55" t="str">
        <f t="shared" ref="Z9:Z15" si="7">Q9</f>
        <v>用途</v>
      </c>
      <c r="AA9" s="772">
        <f t="shared" si="3"/>
        <v>1</v>
      </c>
      <c r="AB9" s="772">
        <f t="shared" si="4"/>
        <v>1</v>
      </c>
      <c r="AC9" s="2670">
        <f t="shared" si="5"/>
        <v>1</v>
      </c>
    </row>
    <row r="10" spans="1:29" s="426" customFormat="1" ht="27">
      <c r="A10" s="420"/>
      <c r="B10" s="421" t="s">
        <v>2555</v>
      </c>
      <c r="C10" s="422" t="s">
        <v>3244</v>
      </c>
      <c r="D10" s="136">
        <v>100</v>
      </c>
      <c r="E10" s="422" t="s">
        <v>3244</v>
      </c>
      <c r="F10" s="136">
        <f>SUMIF(66:66,E10,67:67)-SUMIF(66:66,C10,67:67)+100</f>
        <v>100</v>
      </c>
      <c r="G10" s="422" t="s">
        <v>3244</v>
      </c>
      <c r="H10" s="136">
        <f>SUMIF(66:66,G10,67:67)-SUMIF(66:66,C10,67:67)+100</f>
        <v>100</v>
      </c>
      <c r="I10" s="422" t="s">
        <v>3244</v>
      </c>
      <c r="J10" s="136">
        <f>SUMIF(66:66,I10,67:67)-SUMIF(66:66,C10,67:67)+100</f>
        <v>100</v>
      </c>
      <c r="K10" s="611">
        <v>1</v>
      </c>
      <c r="L10" s="1137"/>
      <c r="M10" s="1138"/>
      <c r="N10" s="1138"/>
      <c r="O10" s="1138"/>
      <c r="P10" s="3190"/>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2670">
        <f t="shared" si="5"/>
        <v>1</v>
      </c>
    </row>
    <row r="11" spans="1:29" ht="15">
      <c r="A11" s="427"/>
      <c r="B11" s="421" t="s">
        <v>2556</v>
      </c>
      <c r="C11" s="428">
        <v>2</v>
      </c>
      <c r="D11" s="136">
        <v>100</v>
      </c>
      <c r="E11" s="428">
        <v>2</v>
      </c>
      <c r="F11" s="136">
        <f>LOOKUP(E11,69:69,70:70)-LOOKUP(C11,69:69,70:70)+100</f>
        <v>100</v>
      </c>
      <c r="G11" s="429">
        <v>2</v>
      </c>
      <c r="H11" s="136">
        <f>LOOKUP(G11,69:69,70:70)-LOOKUP(C11,69:69,70:70)+100</f>
        <v>100</v>
      </c>
      <c r="I11" s="428">
        <v>2</v>
      </c>
      <c r="J11" s="136">
        <f>LOOKUP(I11,69:69,70:70)-LOOKUP(C11,69:69,70:70)+100</f>
        <v>100</v>
      </c>
      <c r="K11" s="611">
        <v>1</v>
      </c>
      <c r="L11" s="1140"/>
      <c r="M11" s="1133"/>
      <c r="N11" s="1133"/>
      <c r="O11" s="1133"/>
      <c r="P11" s="3190"/>
      <c r="Q11" s="1796" t="str">
        <f t="shared" si="6"/>
        <v>容积率</v>
      </c>
      <c r="R11" s="769" t="s">
        <v>17</v>
      </c>
      <c r="S11" s="770">
        <f t="shared" si="0"/>
        <v>100</v>
      </c>
      <c r="T11" s="769" t="s">
        <v>17</v>
      </c>
      <c r="U11" s="770">
        <f t="shared" si="1"/>
        <v>100</v>
      </c>
      <c r="V11" s="769" t="s">
        <v>17</v>
      </c>
      <c r="W11" s="770">
        <f t="shared" si="2"/>
        <v>100</v>
      </c>
      <c r="X11" s="771"/>
      <c r="Y11" s="3042"/>
      <c r="Z11" s="55" t="str">
        <f t="shared" si="7"/>
        <v>容积率</v>
      </c>
      <c r="AA11" s="772">
        <f t="shared" si="3"/>
        <v>1</v>
      </c>
      <c r="AB11" s="772">
        <f t="shared" si="4"/>
        <v>1</v>
      </c>
      <c r="AC11" s="2670">
        <f t="shared" si="5"/>
        <v>1</v>
      </c>
    </row>
    <row r="12" spans="1:29" s="117" customFormat="1" ht="15">
      <c r="A12" s="430"/>
      <c r="B12" s="2599">
        <v>111</v>
      </c>
      <c r="C12" s="431"/>
      <c r="D12" s="432">
        <v>100</v>
      </c>
      <c r="E12" s="431"/>
      <c r="F12" s="136">
        <f>SUMIF(71:71,E12,72:72)-SUMIF(71:71,C12,72:72)+100</f>
        <v>100</v>
      </c>
      <c r="G12" s="2671"/>
      <c r="H12" s="136">
        <f>SUMIF(71:71,G12,72:72)-SUMIF(71:71,C12,72:72)+100</f>
        <v>100</v>
      </c>
      <c r="I12" s="431"/>
      <c r="J12" s="136">
        <f>SUMIF(71:71,I12,72:72)-SUMIF(71:71,C12,72:72)+100</f>
        <v>100</v>
      </c>
      <c r="K12" s="612"/>
      <c r="L12" s="1134"/>
      <c r="M12" s="1135"/>
      <c r="N12" s="1135"/>
      <c r="O12" s="1135"/>
      <c r="P12" s="3190"/>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2670">
        <f>D12/J12</f>
        <v>1</v>
      </c>
    </row>
    <row r="13" spans="1:29" ht="15">
      <c r="A13" s="427"/>
      <c r="B13" s="2599">
        <v>111</v>
      </c>
      <c r="C13" s="433"/>
      <c r="D13" s="434">
        <v>100</v>
      </c>
      <c r="E13" s="431"/>
      <c r="F13" s="136">
        <f>SUMIF(73:73,E13,74:74)-SUMIF(73:73,C13,74:74)+100</f>
        <v>100</v>
      </c>
      <c r="G13" s="2671"/>
      <c r="H13" s="434">
        <f>SUMIF(73:73,G13,74:74)-SUMIF(73:73,C13,74:74)+100</f>
        <v>100</v>
      </c>
      <c r="I13" s="431"/>
      <c r="J13" s="434">
        <f>SUMIF(73:73,I13,74:74)-SUMIF(73:73,C13,74:74)+100</f>
        <v>100</v>
      </c>
      <c r="K13" s="612"/>
      <c r="L13" s="1142"/>
      <c r="M13" s="1133"/>
      <c r="N13" s="1133"/>
      <c r="O13" s="1133"/>
      <c r="P13" s="3190"/>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2"/>
      <c r="M14" s="1133"/>
      <c r="N14" s="1133"/>
      <c r="O14" s="1133"/>
      <c r="P14" s="3190"/>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2670">
        <f t="shared" si="5"/>
        <v>1</v>
      </c>
    </row>
    <row r="15" spans="1:29" ht="71.25">
      <c r="A15" s="439" t="s">
        <v>2557</v>
      </c>
      <c r="B15" s="628" t="s">
        <v>2685</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98</v>
      </c>
      <c r="K15" s="613">
        <v>2</v>
      </c>
      <c r="L15" s="1142"/>
      <c r="M15" s="1133"/>
      <c r="N15" s="1133"/>
      <c r="O15" s="1133"/>
      <c r="P15" s="3234" t="s">
        <v>2558</v>
      </c>
      <c r="Q15" s="1811" t="str">
        <f t="shared" si="6"/>
        <v>办公集聚程度</v>
      </c>
      <c r="R15" s="773" t="s">
        <v>17</v>
      </c>
      <c r="S15" s="774">
        <f t="shared" si="0"/>
        <v>100</v>
      </c>
      <c r="T15" s="773" t="s">
        <v>17</v>
      </c>
      <c r="U15" s="774">
        <f t="shared" si="1"/>
        <v>100</v>
      </c>
      <c r="V15" s="773" t="s">
        <v>17</v>
      </c>
      <c r="W15" s="774">
        <f t="shared" si="2"/>
        <v>98</v>
      </c>
      <c r="X15" s="1814"/>
      <c r="Y15" s="3193" t="s">
        <v>2558</v>
      </c>
      <c r="Z15" s="1815" t="str">
        <f t="shared" si="7"/>
        <v>办公集聚程度</v>
      </c>
      <c r="AA15" s="1812">
        <f t="shared" si="3"/>
        <v>1</v>
      </c>
      <c r="AB15" s="1812">
        <f t="shared" si="4"/>
        <v>1</v>
      </c>
      <c r="AC15" s="2673">
        <f t="shared" si="5"/>
        <v>1.0204081632653061</v>
      </c>
    </row>
    <row r="16" spans="1:29" ht="15">
      <c r="A16" s="427"/>
      <c r="B16" s="629"/>
      <c r="C16" s="2610" t="s">
        <v>3206</v>
      </c>
      <c r="D16" s="447"/>
      <c r="E16" s="2610" t="s">
        <v>3206</v>
      </c>
      <c r="F16" s="447"/>
      <c r="G16" s="2610" t="s">
        <v>3206</v>
      </c>
      <c r="H16" s="449"/>
      <c r="I16" s="2610" t="s">
        <v>3207</v>
      </c>
      <c r="J16" s="447"/>
      <c r="K16" s="614"/>
      <c r="L16" s="1142"/>
      <c r="M16" s="1133"/>
      <c r="N16" s="1133"/>
      <c r="O16" s="1133"/>
      <c r="P16" s="3235"/>
      <c r="Q16" s="1811"/>
      <c r="R16" s="773"/>
      <c r="S16" s="774"/>
      <c r="T16" s="773"/>
      <c r="U16" s="774"/>
      <c r="V16" s="773"/>
      <c r="W16" s="774"/>
      <c r="X16" s="1814"/>
      <c r="Y16" s="3194"/>
      <c r="Z16" s="1815"/>
      <c r="AA16" s="1812">
        <v>1</v>
      </c>
      <c r="AB16" s="1812">
        <v>1</v>
      </c>
      <c r="AC16" s="2673">
        <v>1</v>
      </c>
    </row>
    <row r="17" spans="1:29" ht="71.25">
      <c r="A17" s="427"/>
      <c r="B17" s="630" t="s">
        <v>2096</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98</v>
      </c>
      <c r="K17" s="613">
        <v>2</v>
      </c>
      <c r="L17" s="1142"/>
      <c r="M17" s="1133"/>
      <c r="N17" s="1133"/>
      <c r="O17" s="1133"/>
      <c r="P17" s="3235"/>
      <c r="Q17" s="1811" t="str">
        <f>B17</f>
        <v>交通便捷度</v>
      </c>
      <c r="R17" s="773" t="s">
        <v>17</v>
      </c>
      <c r="S17" s="774">
        <f>F17</f>
        <v>100</v>
      </c>
      <c r="T17" s="773" t="s">
        <v>17</v>
      </c>
      <c r="U17" s="774">
        <f>H17</f>
        <v>100</v>
      </c>
      <c r="V17" s="773" t="s">
        <v>17</v>
      </c>
      <c r="W17" s="774">
        <f>J17</f>
        <v>98</v>
      </c>
      <c r="X17" s="1814"/>
      <c r="Y17" s="3194"/>
      <c r="Z17" s="1815" t="str">
        <f>Q17</f>
        <v>交通便捷度</v>
      </c>
      <c r="AA17" s="1812">
        <f t="shared" si="3"/>
        <v>1</v>
      </c>
      <c r="AB17" s="1812">
        <f t="shared" si="4"/>
        <v>1</v>
      </c>
      <c r="AC17" s="2673">
        <f t="shared" si="5"/>
        <v>1.0204081632653061</v>
      </c>
    </row>
    <row r="18" spans="1:29" ht="15">
      <c r="A18" s="427"/>
      <c r="B18" s="631"/>
      <c r="C18" s="2675" t="s">
        <v>3206</v>
      </c>
      <c r="D18" s="449"/>
      <c r="E18" s="2675" t="s">
        <v>3206</v>
      </c>
      <c r="F18" s="449"/>
      <c r="G18" s="2675" t="s">
        <v>3206</v>
      </c>
      <c r="H18" s="447"/>
      <c r="I18" s="2675" t="s">
        <v>3207</v>
      </c>
      <c r="J18" s="447"/>
      <c r="K18" s="614"/>
      <c r="L18" s="1142"/>
      <c r="M18" s="1133"/>
      <c r="N18" s="1133"/>
      <c r="O18" s="1133"/>
      <c r="P18" s="3235"/>
      <c r="Q18" s="1811"/>
      <c r="R18" s="773"/>
      <c r="S18" s="774"/>
      <c r="T18" s="773"/>
      <c r="U18" s="774"/>
      <c r="V18" s="773"/>
      <c r="W18" s="774"/>
      <c r="X18" s="1814"/>
      <c r="Y18" s="3194"/>
      <c r="Z18" s="1815"/>
      <c r="AA18" s="1812">
        <v>1</v>
      </c>
      <c r="AB18" s="1812">
        <v>1</v>
      </c>
      <c r="AC18" s="2673">
        <v>1</v>
      </c>
    </row>
    <row r="19" spans="1:29" ht="42.75">
      <c r="A19" s="427"/>
      <c r="B19" s="630" t="s">
        <v>2686</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235"/>
      <c r="Q19" s="1811" t="str">
        <f>B19</f>
        <v>公共配套设施</v>
      </c>
      <c r="R19" s="773" t="s">
        <v>17</v>
      </c>
      <c r="S19" s="774">
        <f>F19</f>
        <v>100</v>
      </c>
      <c r="T19" s="773" t="s">
        <v>17</v>
      </c>
      <c r="U19" s="774">
        <f>H19</f>
        <v>100</v>
      </c>
      <c r="V19" s="773" t="s">
        <v>17</v>
      </c>
      <c r="W19" s="774">
        <f>J19</f>
        <v>100</v>
      </c>
      <c r="X19" s="1814"/>
      <c r="Y19" s="3194"/>
      <c r="Z19" s="1815" t="str">
        <f>Q19</f>
        <v>公共配套设施</v>
      </c>
      <c r="AA19" s="1812">
        <f t="shared" si="3"/>
        <v>1</v>
      </c>
      <c r="AB19" s="1812">
        <f t="shared" si="4"/>
        <v>1</v>
      </c>
      <c r="AC19" s="2673">
        <f t="shared" si="5"/>
        <v>1</v>
      </c>
    </row>
    <row r="20" spans="1:29" ht="15">
      <c r="A20" s="427"/>
      <c r="B20" s="631"/>
      <c r="C20" s="2610" t="s">
        <v>3206</v>
      </c>
      <c r="D20" s="447"/>
      <c r="E20" s="2610" t="s">
        <v>3206</v>
      </c>
      <c r="F20" s="447"/>
      <c r="G20" s="2610" t="s">
        <v>3206</v>
      </c>
      <c r="H20" s="447"/>
      <c r="I20" s="2610" t="s">
        <v>3206</v>
      </c>
      <c r="J20" s="447"/>
      <c r="K20" s="614"/>
      <c r="L20" s="1142"/>
      <c r="M20" s="1133"/>
      <c r="N20" s="1133"/>
      <c r="O20" s="1133"/>
      <c r="P20" s="3235"/>
      <c r="Q20" s="1811"/>
      <c r="R20" s="773"/>
      <c r="S20" s="774"/>
      <c r="T20" s="773"/>
      <c r="U20" s="774"/>
      <c r="V20" s="773"/>
      <c r="W20" s="774"/>
      <c r="X20" s="1814"/>
      <c r="Y20" s="3194"/>
      <c r="Z20" s="1815"/>
      <c r="AA20" s="1812">
        <v>1</v>
      </c>
      <c r="AB20" s="1812">
        <v>1</v>
      </c>
      <c r="AC20" s="2673">
        <v>1</v>
      </c>
    </row>
    <row r="21" spans="1:29" ht="28.5">
      <c r="A21" s="427"/>
      <c r="B21" s="632" t="s">
        <v>2687</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235"/>
      <c r="Q21" s="1811" t="str">
        <f>B21</f>
        <v>基础设施水平</v>
      </c>
      <c r="R21" s="773" t="s">
        <v>17</v>
      </c>
      <c r="S21" s="774">
        <f>F21</f>
        <v>100</v>
      </c>
      <c r="T21" s="773" t="s">
        <v>17</v>
      </c>
      <c r="U21" s="774">
        <f>H21</f>
        <v>100</v>
      </c>
      <c r="V21" s="773" t="s">
        <v>17</v>
      </c>
      <c r="W21" s="774">
        <f>J21</f>
        <v>100</v>
      </c>
      <c r="X21" s="1814"/>
      <c r="Y21" s="3194"/>
      <c r="Z21" s="1815" t="str">
        <f>Q21</f>
        <v>基础设施水平</v>
      </c>
      <c r="AA21" s="1812">
        <f>D21/F21</f>
        <v>1</v>
      </c>
      <c r="AB21" s="1812">
        <f>D21/H21</f>
        <v>1</v>
      </c>
      <c r="AC21" s="2673">
        <f>D21/J21</f>
        <v>1</v>
      </c>
    </row>
    <row r="22" spans="1:29" ht="15">
      <c r="A22" s="427"/>
      <c r="B22" s="632"/>
      <c r="C22" s="2675" t="s">
        <v>3220</v>
      </c>
      <c r="D22" s="447"/>
      <c r="E22" s="2675" t="s">
        <v>3220</v>
      </c>
      <c r="F22" s="447"/>
      <c r="G22" s="2675" t="s">
        <v>3220</v>
      </c>
      <c r="H22" s="447"/>
      <c r="I22" s="2675" t="s">
        <v>3220</v>
      </c>
      <c r="J22" s="447"/>
      <c r="K22" s="1384"/>
      <c r="L22" s="1142"/>
      <c r="M22" s="1133"/>
      <c r="N22" s="1133"/>
      <c r="O22" s="1133"/>
      <c r="P22" s="3235"/>
      <c r="Q22" s="1811"/>
      <c r="R22" s="773"/>
      <c r="S22" s="774"/>
      <c r="T22" s="773"/>
      <c r="U22" s="774"/>
      <c r="V22" s="773"/>
      <c r="W22" s="774"/>
      <c r="X22" s="1814"/>
      <c r="Y22" s="3194"/>
      <c r="Z22" s="1815"/>
      <c r="AA22" s="1812">
        <v>1</v>
      </c>
      <c r="AB22" s="1812">
        <v>1</v>
      </c>
      <c r="AC22" s="2673">
        <v>1</v>
      </c>
    </row>
    <row r="23" spans="1:29" ht="42.75">
      <c r="A23" s="427"/>
      <c r="B23" s="630" t="s">
        <v>2688</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235"/>
      <c r="Q23" s="1811" t="str">
        <f>B23</f>
        <v>环境质量</v>
      </c>
      <c r="R23" s="773" t="s">
        <v>17</v>
      </c>
      <c r="S23" s="774">
        <f>F23</f>
        <v>100</v>
      </c>
      <c r="T23" s="773" t="s">
        <v>17</v>
      </c>
      <c r="U23" s="774">
        <f>H23</f>
        <v>100</v>
      </c>
      <c r="V23" s="773" t="s">
        <v>17</v>
      </c>
      <c r="W23" s="774">
        <f>J23</f>
        <v>100</v>
      </c>
      <c r="X23" s="1814"/>
      <c r="Y23" s="3194"/>
      <c r="Z23" s="1815" t="str">
        <f>Q23</f>
        <v>环境质量</v>
      </c>
      <c r="AA23" s="1812">
        <f t="shared" si="3"/>
        <v>1</v>
      </c>
      <c r="AB23" s="1812">
        <f t="shared" si="4"/>
        <v>1</v>
      </c>
      <c r="AC23" s="2673">
        <f t="shared" si="5"/>
        <v>1</v>
      </c>
    </row>
    <row r="24" spans="1:29" ht="15">
      <c r="A24" s="427"/>
      <c r="B24" s="632"/>
      <c r="C24" s="2610" t="s">
        <v>3207</v>
      </c>
      <c r="D24" s="447"/>
      <c r="E24" s="2610" t="s">
        <v>3207</v>
      </c>
      <c r="F24" s="447"/>
      <c r="G24" s="2610" t="s">
        <v>3207</v>
      </c>
      <c r="H24" s="447"/>
      <c r="I24" s="2610" t="s">
        <v>3207</v>
      </c>
      <c r="J24" s="447"/>
      <c r="K24" s="614"/>
      <c r="L24" s="1142"/>
      <c r="M24" s="1133"/>
      <c r="N24" s="1133"/>
      <c r="O24" s="1133"/>
      <c r="P24" s="3235"/>
      <c r="Q24" s="1811"/>
      <c r="R24" s="773"/>
      <c r="S24" s="774"/>
      <c r="T24" s="773"/>
      <c r="U24" s="774"/>
      <c r="V24" s="773"/>
      <c r="W24" s="774"/>
      <c r="X24" s="1814"/>
      <c r="Y24" s="3194"/>
      <c r="Z24" s="1815"/>
      <c r="AA24" s="1812">
        <v>1</v>
      </c>
      <c r="AB24" s="1812">
        <v>1</v>
      </c>
      <c r="AC24" s="2673">
        <v>1</v>
      </c>
    </row>
    <row r="25" spans="1:29" ht="27">
      <c r="A25" s="404"/>
      <c r="B25" s="630" t="s">
        <v>2689</v>
      </c>
      <c r="C25" s="2614"/>
      <c r="D25" s="434">
        <v>100</v>
      </c>
      <c r="E25" s="433"/>
      <c r="F25" s="434">
        <f>SUMIF(87:87,E26,88:88)-SUMIF(87:87,C26,88:88)+100</f>
        <v>100</v>
      </c>
      <c r="G25" s="2614"/>
      <c r="H25" s="434">
        <f>SUMIF(87:87,G26,88:88)-SUMIF(87:87,C26,88:88)+100</f>
        <v>100</v>
      </c>
      <c r="I25" s="433"/>
      <c r="J25" s="434">
        <f>SUMIF(87:87,I26,88:88)-SUMIF(87:87,C26,88:88)+100</f>
        <v>100</v>
      </c>
      <c r="K25" s="613">
        <v>2</v>
      </c>
      <c r="L25" s="1142"/>
      <c r="M25" s="1133"/>
      <c r="N25" s="1133"/>
      <c r="O25" s="1133"/>
      <c r="P25" s="3235"/>
      <c r="Q25" s="1811" t="str">
        <f>B25</f>
        <v>毗邻道路的类型与等级</v>
      </c>
      <c r="R25" s="773" t="s">
        <v>17</v>
      </c>
      <c r="S25" s="774">
        <f>F25</f>
        <v>100</v>
      </c>
      <c r="T25" s="773" t="s">
        <v>17</v>
      </c>
      <c r="U25" s="774">
        <f>H25</f>
        <v>100</v>
      </c>
      <c r="V25" s="773" t="s">
        <v>17</v>
      </c>
      <c r="W25" s="774">
        <f>J25</f>
        <v>100</v>
      </c>
      <c r="X25" s="1814"/>
      <c r="Y25" s="3194"/>
      <c r="Z25" s="1815" t="str">
        <f>Q25</f>
        <v>毗邻道路的类型与等级</v>
      </c>
      <c r="AA25" s="1812">
        <f t="shared" si="3"/>
        <v>1</v>
      </c>
      <c r="AB25" s="1812">
        <f t="shared" si="4"/>
        <v>1</v>
      </c>
      <c r="AC25" s="2673">
        <f t="shared" si="5"/>
        <v>1</v>
      </c>
    </row>
    <row r="26" spans="1:29" ht="15">
      <c r="A26" s="404"/>
      <c r="B26" s="631"/>
      <c r="C26" s="633" t="s">
        <v>3256</v>
      </c>
      <c r="D26" s="434"/>
      <c r="E26" s="633" t="s">
        <v>3256</v>
      </c>
      <c r="F26" s="434"/>
      <c r="G26" s="633" t="s">
        <v>3256</v>
      </c>
      <c r="H26" s="434"/>
      <c r="I26" s="633" t="s">
        <v>3256</v>
      </c>
      <c r="J26" s="434"/>
      <c r="K26" s="614"/>
      <c r="L26" s="1142"/>
      <c r="M26" s="1133"/>
      <c r="N26" s="1133"/>
      <c r="O26" s="1133"/>
      <c r="P26" s="3235"/>
      <c r="Q26" s="1811"/>
      <c r="R26" s="773"/>
      <c r="S26" s="774"/>
      <c r="T26" s="773"/>
      <c r="U26" s="774"/>
      <c r="V26" s="773"/>
      <c r="W26" s="774"/>
      <c r="X26" s="1814"/>
      <c r="Y26" s="3194"/>
      <c r="Z26" s="1815"/>
      <c r="AA26" s="1812">
        <v>1</v>
      </c>
      <c r="AB26" s="1812">
        <v>1</v>
      </c>
      <c r="AC26" s="2673">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5"/>
      <c r="Q27" s="1811" t="str">
        <f t="shared" ref="Q27:Q47" si="8">B27</f>
        <v>楼层</v>
      </c>
      <c r="R27" s="773" t="s">
        <v>17</v>
      </c>
      <c r="S27" s="774">
        <f>F27</f>
        <v>100</v>
      </c>
      <c r="T27" s="773" t="s">
        <v>17</v>
      </c>
      <c r="U27" s="774">
        <f>H27</f>
        <v>100</v>
      </c>
      <c r="V27" s="773" t="s">
        <v>17</v>
      </c>
      <c r="W27" s="774">
        <f>J27</f>
        <v>100</v>
      </c>
      <c r="X27" s="1814"/>
      <c r="Y27" s="3194"/>
      <c r="Z27" s="1815" t="str">
        <f>Q27</f>
        <v>楼层</v>
      </c>
      <c r="AA27" s="1812">
        <f t="shared" si="3"/>
        <v>1</v>
      </c>
      <c r="AB27" s="1812">
        <f t="shared" si="4"/>
        <v>1</v>
      </c>
      <c r="AC27" s="2673">
        <f t="shared" si="5"/>
        <v>1</v>
      </c>
    </row>
    <row r="28" spans="1:29" s="117" customFormat="1" ht="15">
      <c r="A28" s="430"/>
      <c r="B28" s="630" t="s">
        <v>2690</v>
      </c>
      <c r="C28" s="2676"/>
      <c r="D28" s="461">
        <v>100</v>
      </c>
      <c r="E28" s="2664"/>
      <c r="F28" s="461">
        <f>SUMIF(91:91,E28,92:92)-SUMIF(91:91,C28,92:92)+100</f>
        <v>100</v>
      </c>
      <c r="G28" s="2676"/>
      <c r="H28" s="461">
        <f>SUMIF(91:91,G28,92:92)-SUMIF(91:91,C28,92:92)+100</f>
        <v>100</v>
      </c>
      <c r="I28" s="2664"/>
      <c r="J28" s="461">
        <f>SUMIF(91:91,I28,92:92)-SUMIF(91:91,C28,92:92)+100</f>
        <v>100</v>
      </c>
      <c r="K28" s="611"/>
      <c r="L28" s="1134"/>
      <c r="M28" s="1135"/>
      <c r="N28" s="1135"/>
      <c r="O28" s="1135"/>
      <c r="P28" s="3235"/>
      <c r="Q28" s="1796" t="str">
        <f t="shared" si="8"/>
        <v>朝向</v>
      </c>
      <c r="R28" s="769" t="s">
        <v>17</v>
      </c>
      <c r="S28" s="770">
        <f>F28</f>
        <v>100</v>
      </c>
      <c r="T28" s="769" t="s">
        <v>17</v>
      </c>
      <c r="U28" s="770">
        <f>H28</f>
        <v>100</v>
      </c>
      <c r="V28" s="769" t="s">
        <v>17</v>
      </c>
      <c r="W28" s="770">
        <f>J28</f>
        <v>100</v>
      </c>
      <c r="X28" s="771"/>
      <c r="Y28" s="3194"/>
      <c r="Z28" s="55" t="str">
        <f>Q28</f>
        <v>朝向</v>
      </c>
      <c r="AA28" s="1812">
        <f>D28/F28</f>
        <v>1</v>
      </c>
      <c r="AB28" s="1812">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2"/>
      <c r="M29" s="1133"/>
      <c r="N29" s="1133"/>
      <c r="O29" s="1133"/>
      <c r="P29" s="3235"/>
      <c r="Q29" s="1811">
        <f t="shared" si="8"/>
        <v>111</v>
      </c>
      <c r="R29" s="773" t="s">
        <v>17</v>
      </c>
      <c r="S29" s="774">
        <f t="shared" ref="S29:S47" si="9">F29</f>
        <v>100</v>
      </c>
      <c r="T29" s="773" t="s">
        <v>17</v>
      </c>
      <c r="U29" s="774">
        <f t="shared" ref="U29:U47" si="10">H29</f>
        <v>100</v>
      </c>
      <c r="V29" s="773" t="s">
        <v>17</v>
      </c>
      <c r="W29" s="774">
        <f t="shared" ref="W29:W47" si="11">J29</f>
        <v>100</v>
      </c>
      <c r="X29" s="1814"/>
      <c r="Y29" s="3194"/>
      <c r="Z29" s="1815">
        <f t="shared" ref="Z29:Z47" si="12">Q29</f>
        <v>111</v>
      </c>
      <c r="AA29" s="1812">
        <f t="shared" si="3"/>
        <v>1</v>
      </c>
      <c r="AB29" s="1812">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2"/>
      <c r="M30" s="1133"/>
      <c r="N30" s="1133"/>
      <c r="O30" s="1133"/>
      <c r="P30" s="3235"/>
      <c r="Q30" s="1811">
        <f t="shared" si="8"/>
        <v>111</v>
      </c>
      <c r="R30" s="773" t="s">
        <v>17</v>
      </c>
      <c r="S30" s="774">
        <f t="shared" si="9"/>
        <v>100</v>
      </c>
      <c r="T30" s="773" t="s">
        <v>17</v>
      </c>
      <c r="U30" s="774">
        <f t="shared" si="10"/>
        <v>100</v>
      </c>
      <c r="V30" s="773" t="s">
        <v>17</v>
      </c>
      <c r="W30" s="774">
        <f t="shared" si="11"/>
        <v>100</v>
      </c>
      <c r="X30" s="1814"/>
      <c r="Y30" s="3194"/>
      <c r="Z30" s="1815">
        <f t="shared" si="12"/>
        <v>111</v>
      </c>
      <c r="AA30" s="1812">
        <f t="shared" si="3"/>
        <v>1</v>
      </c>
      <c r="AB30" s="1812">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2"/>
      <c r="M31" s="1133"/>
      <c r="N31" s="1133"/>
      <c r="O31" s="1133"/>
      <c r="P31" s="3235"/>
      <c r="Q31" s="1811">
        <f t="shared" si="8"/>
        <v>111</v>
      </c>
      <c r="R31" s="773" t="s">
        <v>17</v>
      </c>
      <c r="S31" s="774">
        <f t="shared" si="9"/>
        <v>100</v>
      </c>
      <c r="T31" s="773" t="s">
        <v>17</v>
      </c>
      <c r="U31" s="774">
        <f t="shared" si="10"/>
        <v>100</v>
      </c>
      <c r="V31" s="773" t="s">
        <v>17</v>
      </c>
      <c r="W31" s="774">
        <f t="shared" si="11"/>
        <v>100</v>
      </c>
      <c r="X31" s="1814"/>
      <c r="Y31" s="3194"/>
      <c r="Z31" s="1815">
        <f t="shared" si="12"/>
        <v>111</v>
      </c>
      <c r="AA31" s="1812">
        <f t="shared" si="3"/>
        <v>1</v>
      </c>
      <c r="AB31" s="1812">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2"/>
      <c r="M32" s="1133"/>
      <c r="N32" s="1133"/>
      <c r="O32" s="1133"/>
      <c r="P32" s="3235"/>
      <c r="Q32" s="1811">
        <f t="shared" si="8"/>
        <v>111</v>
      </c>
      <c r="R32" s="773" t="s">
        <v>17</v>
      </c>
      <c r="S32" s="774">
        <f t="shared" si="9"/>
        <v>100</v>
      </c>
      <c r="T32" s="773" t="s">
        <v>17</v>
      </c>
      <c r="U32" s="774">
        <f t="shared" si="10"/>
        <v>100</v>
      </c>
      <c r="V32" s="773" t="s">
        <v>17</v>
      </c>
      <c r="W32" s="774">
        <f t="shared" si="11"/>
        <v>100</v>
      </c>
      <c r="X32" s="1814"/>
      <c r="Y32" s="3194"/>
      <c r="Z32" s="1815">
        <f t="shared" si="12"/>
        <v>111</v>
      </c>
      <c r="AA32" s="1812">
        <f t="shared" si="3"/>
        <v>1</v>
      </c>
      <c r="AB32" s="1812">
        <f t="shared" si="4"/>
        <v>1</v>
      </c>
      <c r="AC32" s="2673">
        <f t="shared" si="5"/>
        <v>1</v>
      </c>
    </row>
    <row r="33" spans="1:29" ht="15">
      <c r="A33" s="439" t="s">
        <v>2561</v>
      </c>
      <c r="B33" s="71" t="s">
        <v>2691</v>
      </c>
      <c r="C33" s="2678" t="s">
        <v>3245</v>
      </c>
      <c r="D33" s="466">
        <v>100</v>
      </c>
      <c r="E33" s="2678" t="s">
        <v>3245</v>
      </c>
      <c r="F33" s="460">
        <f>SUMIF(101:101,E33,102:102)-SUMIF(101:101,C33,102:102)+100</f>
        <v>100</v>
      </c>
      <c r="G33" s="2678" t="s">
        <v>3245</v>
      </c>
      <c r="H33" s="434">
        <f>SUMIF(101:101,G33,102:102)-SUMIF(101:101,C33,102:102)+100</f>
        <v>100</v>
      </c>
      <c r="I33" s="2678" t="s">
        <v>3245</v>
      </c>
      <c r="J33" s="466">
        <f>SUMIF(101:101,I33,102:102)-SUMIF(101:101,C33,102:102)+100</f>
        <v>100</v>
      </c>
      <c r="K33" s="611">
        <v>2</v>
      </c>
      <c r="L33" s="1142"/>
      <c r="M33" s="1133"/>
      <c r="N33" s="1133"/>
      <c r="O33" s="1133"/>
      <c r="P33" s="3236" t="s">
        <v>2563</v>
      </c>
      <c r="Q33" s="1811" t="str">
        <f t="shared" si="8"/>
        <v>建筑类型</v>
      </c>
      <c r="R33" s="773" t="s">
        <v>17</v>
      </c>
      <c r="S33" s="774">
        <f t="shared" si="9"/>
        <v>100</v>
      </c>
      <c r="T33" s="773" t="s">
        <v>17</v>
      </c>
      <c r="U33" s="774">
        <f t="shared" si="10"/>
        <v>100</v>
      </c>
      <c r="V33" s="773" t="s">
        <v>17</v>
      </c>
      <c r="W33" s="774">
        <f t="shared" si="11"/>
        <v>100</v>
      </c>
      <c r="X33" s="1814"/>
      <c r="Y33" s="3196" t="s">
        <v>2563</v>
      </c>
      <c r="Z33" s="1815" t="str">
        <f t="shared" si="12"/>
        <v>建筑类型</v>
      </c>
      <c r="AA33" s="1812">
        <f t="shared" si="3"/>
        <v>1</v>
      </c>
      <c r="AB33" s="1812">
        <f t="shared" si="4"/>
        <v>1</v>
      </c>
      <c r="AC33" s="2673">
        <f t="shared" si="5"/>
        <v>1</v>
      </c>
    </row>
    <row r="34" spans="1:29" s="470" customFormat="1" ht="15">
      <c r="A34" s="467"/>
      <c r="B34" s="421" t="s">
        <v>2564</v>
      </c>
      <c r="C34" s="468"/>
      <c r="D34" s="136">
        <v>100</v>
      </c>
      <c r="E34" s="429"/>
      <c r="F34" s="424">
        <f>LOOKUP(E34,104:104,105:105)-LOOKUP(C34,104:104,105:105)+100</f>
        <v>100</v>
      </c>
      <c r="G34" s="428"/>
      <c r="H34" s="136">
        <f>LOOKUP(G34,104:104,105:105)-LOOKUP(C34,104:104,105:105)+100</f>
        <v>100</v>
      </c>
      <c r="I34" s="428"/>
      <c r="J34" s="136">
        <f>LOOKUP(I34,104:104,105:105)-LOOKUP(C34,104:104,105:105)+100</f>
        <v>100</v>
      </c>
      <c r="K34" s="612"/>
      <c r="L34" s="1140"/>
      <c r="M34" s="1143"/>
      <c r="N34" s="1143"/>
      <c r="O34" s="1143"/>
      <c r="P34" s="3237"/>
      <c r="Q34" s="775" t="str">
        <f t="shared" si="8"/>
        <v>项目建筑规模</v>
      </c>
      <c r="R34" s="776" t="s">
        <v>17</v>
      </c>
      <c r="S34" s="777">
        <f t="shared" si="9"/>
        <v>100</v>
      </c>
      <c r="T34" s="776" t="s">
        <v>17</v>
      </c>
      <c r="U34" s="777">
        <f t="shared" si="10"/>
        <v>100</v>
      </c>
      <c r="V34" s="776" t="s">
        <v>17</v>
      </c>
      <c r="W34" s="777">
        <f t="shared" si="11"/>
        <v>100</v>
      </c>
      <c r="X34" s="778"/>
      <c r="Y34" s="3196"/>
      <c r="Z34" s="779" t="str">
        <f t="shared" si="12"/>
        <v>项目建筑规模</v>
      </c>
      <c r="AA34" s="1812">
        <f t="shared" si="3"/>
        <v>1</v>
      </c>
      <c r="AB34" s="1812">
        <f t="shared" si="4"/>
        <v>1</v>
      </c>
      <c r="AC34" s="2673">
        <f t="shared" si="5"/>
        <v>1</v>
      </c>
    </row>
    <row r="35" spans="1:29" ht="15">
      <c r="A35" s="471"/>
      <c r="B35" s="421" t="s">
        <v>2565</v>
      </c>
      <c r="C35" s="459" t="s">
        <v>3213</v>
      </c>
      <c r="D35" s="434">
        <v>100</v>
      </c>
      <c r="E35" s="459" t="s">
        <v>3213</v>
      </c>
      <c r="F35" s="460">
        <f>SUMIF(106:106,E35,107:107)-SUMIF(106:106,C35,107:107)+100</f>
        <v>100</v>
      </c>
      <c r="G35" s="459" t="s">
        <v>3213</v>
      </c>
      <c r="H35" s="434">
        <f>SUMIF(106:106,G35,107:107)-SUMIF(106:106,C35,107:107)+100</f>
        <v>100</v>
      </c>
      <c r="I35" s="459" t="s">
        <v>3213</v>
      </c>
      <c r="J35" s="434">
        <f>SUMIF(106:106,I35,107:107)-SUMIF(106:106,C35,107:107)+100</f>
        <v>100</v>
      </c>
      <c r="K35" s="611">
        <v>2</v>
      </c>
      <c r="L35" s="1142"/>
      <c r="M35" s="1133"/>
      <c r="N35" s="1133"/>
      <c r="O35" s="1133"/>
      <c r="P35" s="3237"/>
      <c r="Q35" s="1811" t="str">
        <f t="shared" si="8"/>
        <v>建筑结构</v>
      </c>
      <c r="R35" s="773" t="s">
        <v>17</v>
      </c>
      <c r="S35" s="774">
        <f t="shared" si="9"/>
        <v>100</v>
      </c>
      <c r="T35" s="773" t="s">
        <v>17</v>
      </c>
      <c r="U35" s="774">
        <f t="shared" si="10"/>
        <v>100</v>
      </c>
      <c r="V35" s="773" t="s">
        <v>17</v>
      </c>
      <c r="W35" s="774">
        <f t="shared" si="11"/>
        <v>100</v>
      </c>
      <c r="X35" s="1814"/>
      <c r="Y35" s="3196"/>
      <c r="Z35" s="1815" t="str">
        <f t="shared" si="12"/>
        <v>建筑结构</v>
      </c>
      <c r="AA35" s="1812">
        <f t="shared" si="3"/>
        <v>1</v>
      </c>
      <c r="AB35" s="1812">
        <f t="shared" si="4"/>
        <v>1</v>
      </c>
      <c r="AC35" s="2673">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7"/>
      <c r="Q36" s="1811" t="str">
        <f t="shared" si="8"/>
        <v>公共部分装修</v>
      </c>
      <c r="R36" s="773" t="s">
        <v>17</v>
      </c>
      <c r="S36" s="774">
        <f t="shared" si="9"/>
        <v>100</v>
      </c>
      <c r="T36" s="773" t="s">
        <v>17</v>
      </c>
      <c r="U36" s="774">
        <f t="shared" si="10"/>
        <v>100</v>
      </c>
      <c r="V36" s="773" t="s">
        <v>17</v>
      </c>
      <c r="W36" s="774">
        <f t="shared" si="11"/>
        <v>100</v>
      </c>
      <c r="X36" s="1814"/>
      <c r="Y36" s="3196"/>
      <c r="Z36" s="1815" t="str">
        <f t="shared" si="12"/>
        <v>公共部分装修</v>
      </c>
      <c r="AA36" s="1812">
        <f t="shared" si="3"/>
        <v>1</v>
      </c>
      <c r="AB36" s="1812">
        <f t="shared" si="4"/>
        <v>1</v>
      </c>
      <c r="AC36" s="2673">
        <f t="shared" si="5"/>
        <v>1</v>
      </c>
    </row>
    <row r="37" spans="1:29" ht="15">
      <c r="A37" s="471"/>
      <c r="B37" s="421" t="s">
        <v>2660</v>
      </c>
      <c r="C37" s="473">
        <v>1</v>
      </c>
      <c r="D37" s="434">
        <v>100</v>
      </c>
      <c r="E37" s="473">
        <v>1</v>
      </c>
      <c r="F37" s="460">
        <f>LOOKUP(E37,111:111,112:112)-LOOKUP(C37,111:111,112:112)+100</f>
        <v>100</v>
      </c>
      <c r="G37" s="473">
        <v>1</v>
      </c>
      <c r="H37" s="460">
        <f>LOOKUP(G37,111:111,112:112)-LOOKUP(C37,111:111,112:112)+100</f>
        <v>100</v>
      </c>
      <c r="I37" s="473">
        <v>0.98</v>
      </c>
      <c r="J37" s="434">
        <f>LOOKUP(I37,111:111,112:112)-LOOKUP(C37,111:111,112:112)+100</f>
        <v>100</v>
      </c>
      <c r="K37" s="611">
        <v>2</v>
      </c>
      <c r="L37" s="1142"/>
      <c r="M37" s="1133"/>
      <c r="N37" s="1133"/>
      <c r="O37" s="1133"/>
      <c r="P37" s="3237"/>
      <c r="Q37" s="1811" t="str">
        <f t="shared" si="8"/>
        <v>成新度</v>
      </c>
      <c r="R37" s="773" t="s">
        <v>17</v>
      </c>
      <c r="S37" s="774">
        <f t="shared" si="9"/>
        <v>100</v>
      </c>
      <c r="T37" s="773" t="s">
        <v>17</v>
      </c>
      <c r="U37" s="774">
        <f t="shared" si="10"/>
        <v>100</v>
      </c>
      <c r="V37" s="773" t="s">
        <v>17</v>
      </c>
      <c r="W37" s="774">
        <f t="shared" si="11"/>
        <v>100</v>
      </c>
      <c r="X37" s="1814"/>
      <c r="Y37" s="3196"/>
      <c r="Z37" s="1815" t="str">
        <f t="shared" si="12"/>
        <v>成新度</v>
      </c>
      <c r="AA37" s="1812">
        <f t="shared" si="3"/>
        <v>1</v>
      </c>
      <c r="AB37" s="1812">
        <f t="shared" si="4"/>
        <v>1</v>
      </c>
      <c r="AC37" s="2673">
        <f t="shared" si="5"/>
        <v>1</v>
      </c>
    </row>
    <row r="38" spans="1:29" s="117" customFormat="1" ht="15">
      <c r="A38" s="472"/>
      <c r="B38" s="421" t="s">
        <v>2692</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7"/>
      <c r="Q38" s="1796" t="str">
        <f t="shared" si="8"/>
        <v>写字楼等级</v>
      </c>
      <c r="R38" s="769" t="s">
        <v>17</v>
      </c>
      <c r="S38" s="770">
        <f t="shared" si="9"/>
        <v>100</v>
      </c>
      <c r="T38" s="769" t="s">
        <v>17</v>
      </c>
      <c r="U38" s="770">
        <f t="shared" si="10"/>
        <v>100</v>
      </c>
      <c r="V38" s="769" t="s">
        <v>17</v>
      </c>
      <c r="W38" s="770">
        <f t="shared" si="11"/>
        <v>100</v>
      </c>
      <c r="X38" s="771"/>
      <c r="Y38" s="3196"/>
      <c r="Z38" s="55" t="str">
        <f t="shared" si="12"/>
        <v>写字楼等级</v>
      </c>
      <c r="AA38" s="772">
        <f t="shared" si="3"/>
        <v>1</v>
      </c>
      <c r="AB38" s="772">
        <f t="shared" si="4"/>
        <v>1</v>
      </c>
      <c r="AC38" s="2670">
        <f t="shared" si="5"/>
        <v>1</v>
      </c>
    </row>
    <row r="39" spans="1:29" ht="15">
      <c r="A39" s="471"/>
      <c r="B39" s="421" t="s">
        <v>2693</v>
      </c>
      <c r="C39" s="459" t="s">
        <v>3252</v>
      </c>
      <c r="D39" s="434">
        <v>100</v>
      </c>
      <c r="E39" s="459" t="s">
        <v>3252</v>
      </c>
      <c r="F39" s="460">
        <f>SUMIF(115:115,E39,116:116)-SUMIF(115:115,C39,116:116)+100</f>
        <v>100</v>
      </c>
      <c r="G39" s="459" t="s">
        <v>3252</v>
      </c>
      <c r="H39" s="434">
        <f>SUMIF(115:115,G39,116:116)-SUMIF(115:115,C39,116:116)+100</f>
        <v>100</v>
      </c>
      <c r="I39" s="459" t="s">
        <v>3252</v>
      </c>
      <c r="J39" s="434">
        <f>SUMIF(115:115,I39,116:116)-SUMIF(115:115,C39,116:116)+100</f>
        <v>100</v>
      </c>
      <c r="K39" s="611">
        <v>2</v>
      </c>
      <c r="L39" s="1142"/>
      <c r="M39" s="1133"/>
      <c r="N39" s="1133"/>
      <c r="O39" s="1133"/>
      <c r="P39" s="3237" t="s">
        <v>2563</v>
      </c>
      <c r="Q39" s="1811" t="str">
        <f t="shared" si="8"/>
        <v>物业管理</v>
      </c>
      <c r="R39" s="773" t="s">
        <v>17</v>
      </c>
      <c r="S39" s="774">
        <f t="shared" si="9"/>
        <v>100</v>
      </c>
      <c r="T39" s="773" t="s">
        <v>17</v>
      </c>
      <c r="U39" s="774">
        <f t="shared" si="10"/>
        <v>100</v>
      </c>
      <c r="V39" s="773" t="s">
        <v>17</v>
      </c>
      <c r="W39" s="774">
        <f t="shared" si="11"/>
        <v>100</v>
      </c>
      <c r="X39" s="1814"/>
      <c r="Y39" s="3196" t="s">
        <v>2563</v>
      </c>
      <c r="Z39" s="1815" t="str">
        <f t="shared" si="12"/>
        <v>物业管理</v>
      </c>
      <c r="AA39" s="1812">
        <f t="shared" si="3"/>
        <v>1</v>
      </c>
      <c r="AB39" s="1812">
        <f t="shared" si="4"/>
        <v>1</v>
      </c>
      <c r="AC39" s="2673">
        <f t="shared" si="5"/>
        <v>1</v>
      </c>
    </row>
    <row r="40" spans="1:29" ht="15">
      <c r="A40" s="471"/>
      <c r="B40" s="421" t="s">
        <v>2661</v>
      </c>
      <c r="C40" s="459" t="s">
        <v>3221</v>
      </c>
      <c r="D40" s="434">
        <v>100</v>
      </c>
      <c r="E40" s="459" t="s">
        <v>3221</v>
      </c>
      <c r="F40" s="460">
        <f>SUMIF(117:117,E40,118:118)-SUMIF(117:117,C40,118:118)+100</f>
        <v>100</v>
      </c>
      <c r="G40" s="459" t="s">
        <v>3221</v>
      </c>
      <c r="H40" s="434">
        <f>SUMIF(117:117,G40,118:118)-SUMIF(117:117,C40,118:118)+100</f>
        <v>100</v>
      </c>
      <c r="I40" s="459" t="s">
        <v>3221</v>
      </c>
      <c r="J40" s="434">
        <f>SUMIF(117:117,I40,118:118)-SUMIF(117:117,C40,118:118)+100</f>
        <v>100</v>
      </c>
      <c r="K40" s="611">
        <v>1</v>
      </c>
      <c r="L40" s="1142"/>
      <c r="M40" s="1133"/>
      <c r="N40" s="1133"/>
      <c r="O40" s="1133"/>
      <c r="P40" s="3237"/>
      <c r="Q40" s="1811" t="str">
        <f t="shared" si="8"/>
        <v>市政基础设施</v>
      </c>
      <c r="R40" s="773" t="s">
        <v>17</v>
      </c>
      <c r="S40" s="774">
        <f t="shared" si="9"/>
        <v>100</v>
      </c>
      <c r="T40" s="773" t="s">
        <v>17</v>
      </c>
      <c r="U40" s="774">
        <f t="shared" si="10"/>
        <v>100</v>
      </c>
      <c r="V40" s="773" t="s">
        <v>17</v>
      </c>
      <c r="W40" s="774">
        <f t="shared" si="11"/>
        <v>100</v>
      </c>
      <c r="X40" s="1814"/>
      <c r="Y40" s="3196"/>
      <c r="Z40" s="1815" t="str">
        <f t="shared" si="12"/>
        <v>市政基础设施</v>
      </c>
      <c r="AA40" s="1812">
        <f t="shared" si="3"/>
        <v>1</v>
      </c>
      <c r="AB40" s="1812">
        <f t="shared" si="4"/>
        <v>1</v>
      </c>
      <c r="AC40" s="2673">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7"/>
      <c r="Q41" s="1811" t="str">
        <f t="shared" si="8"/>
        <v>层高</v>
      </c>
      <c r="R41" s="773" t="s">
        <v>17</v>
      </c>
      <c r="S41" s="774">
        <f t="shared" si="9"/>
        <v>100</v>
      </c>
      <c r="T41" s="773" t="s">
        <v>17</v>
      </c>
      <c r="U41" s="774">
        <f t="shared" si="10"/>
        <v>100</v>
      </c>
      <c r="V41" s="773" t="s">
        <v>17</v>
      </c>
      <c r="W41" s="774">
        <f t="shared" si="11"/>
        <v>100</v>
      </c>
      <c r="X41" s="1814"/>
      <c r="Y41" s="3196"/>
      <c r="Z41" s="1815" t="str">
        <f t="shared" si="12"/>
        <v>层高</v>
      </c>
      <c r="AA41" s="1812">
        <f t="shared" si="3"/>
        <v>1</v>
      </c>
      <c r="AB41" s="1812">
        <f t="shared" si="4"/>
        <v>1</v>
      </c>
      <c r="AC41" s="2673">
        <f t="shared" si="5"/>
        <v>1</v>
      </c>
    </row>
    <row r="42" spans="1:29" s="470" customFormat="1" ht="15">
      <c r="A42" s="467"/>
      <c r="B42" s="1813" t="s">
        <v>2694</v>
      </c>
      <c r="C42" s="433">
        <f>D3</f>
        <v>25792.44</v>
      </c>
      <c r="D42" s="434">
        <v>100</v>
      </c>
      <c r="E42" s="433">
        <v>1500</v>
      </c>
      <c r="F42" s="460">
        <v>105</v>
      </c>
      <c r="G42" s="433">
        <v>1234</v>
      </c>
      <c r="H42" s="434">
        <v>105</v>
      </c>
      <c r="I42" s="433">
        <v>50</v>
      </c>
      <c r="J42" s="434">
        <v>106</v>
      </c>
      <c r="K42" s="612"/>
      <c r="L42" s="1140"/>
      <c r="M42" s="1143"/>
      <c r="N42" s="1143"/>
      <c r="O42" s="1143"/>
      <c r="P42" s="3237"/>
      <c r="Q42" s="775" t="str">
        <f t="shared" si="8"/>
        <v>单套建筑面积</v>
      </c>
      <c r="R42" s="776" t="s">
        <v>17</v>
      </c>
      <c r="S42" s="777">
        <f t="shared" si="9"/>
        <v>105</v>
      </c>
      <c r="T42" s="776" t="s">
        <v>17</v>
      </c>
      <c r="U42" s="777">
        <f t="shared" si="10"/>
        <v>105</v>
      </c>
      <c r="V42" s="776" t="s">
        <v>17</v>
      </c>
      <c r="W42" s="777">
        <f t="shared" si="11"/>
        <v>106</v>
      </c>
      <c r="X42" s="778"/>
      <c r="Y42" s="3196"/>
      <c r="Z42" s="779" t="str">
        <f t="shared" si="12"/>
        <v>单套建筑面积</v>
      </c>
      <c r="AA42" s="1812">
        <f t="shared" si="3"/>
        <v>0.95238095238095233</v>
      </c>
      <c r="AB42" s="1812">
        <f t="shared" si="4"/>
        <v>0.95238095238095233</v>
      </c>
      <c r="AC42" s="2673">
        <f t="shared" si="5"/>
        <v>0.94339622641509435</v>
      </c>
    </row>
    <row r="43" spans="1:29" ht="15">
      <c r="A43" s="471"/>
      <c r="B43" s="421" t="s">
        <v>2666</v>
      </c>
      <c r="C43" s="459" t="s">
        <v>3251</v>
      </c>
      <c r="D43" s="434">
        <v>100</v>
      </c>
      <c r="E43" s="459" t="s">
        <v>3251</v>
      </c>
      <c r="F43" s="460">
        <f>SUMIF(123:123,E43,124:124)-SUMIF(123:123,C43,124:124)+100</f>
        <v>100</v>
      </c>
      <c r="G43" s="459" t="s">
        <v>3251</v>
      </c>
      <c r="H43" s="434">
        <f>SUMIF(123:123,G43,124:124)-SUMIF(123:123,C43,124:124)+100</f>
        <v>100</v>
      </c>
      <c r="I43" s="459" t="s">
        <v>3251</v>
      </c>
      <c r="J43" s="434">
        <f>SUMIF(123:123,I43,124:124)-SUMIF(123:123,C43,124:124)+100</f>
        <v>100</v>
      </c>
      <c r="K43" s="611">
        <v>2</v>
      </c>
      <c r="L43" s="1142"/>
      <c r="M43" s="1133"/>
      <c r="N43" s="1133"/>
      <c r="O43" s="1133"/>
      <c r="P43" s="3237"/>
      <c r="Q43" s="1811" t="str">
        <f t="shared" si="8"/>
        <v>内部装修</v>
      </c>
      <c r="R43" s="773" t="s">
        <v>17</v>
      </c>
      <c r="S43" s="774">
        <f t="shared" si="9"/>
        <v>100</v>
      </c>
      <c r="T43" s="773" t="s">
        <v>17</v>
      </c>
      <c r="U43" s="774">
        <f t="shared" si="10"/>
        <v>100</v>
      </c>
      <c r="V43" s="773" t="s">
        <v>17</v>
      </c>
      <c r="W43" s="774">
        <f t="shared" si="11"/>
        <v>100</v>
      </c>
      <c r="X43" s="1814"/>
      <c r="Y43" s="3196"/>
      <c r="Z43" s="1815" t="str">
        <f t="shared" si="12"/>
        <v>内部装修</v>
      </c>
      <c r="AA43" s="1812">
        <f t="shared" si="3"/>
        <v>1</v>
      </c>
      <c r="AB43" s="1812">
        <f t="shared" si="4"/>
        <v>1</v>
      </c>
      <c r="AC43" s="2673">
        <f t="shared" si="5"/>
        <v>1</v>
      </c>
    </row>
    <row r="44" spans="1:29" ht="15">
      <c r="A44" s="471"/>
      <c r="B44" s="421" t="s">
        <v>2574</v>
      </c>
      <c r="C44" s="459" t="s">
        <v>3206</v>
      </c>
      <c r="D44" s="434">
        <v>100</v>
      </c>
      <c r="E44" s="459" t="s">
        <v>3206</v>
      </c>
      <c r="F44" s="460">
        <f>SUMIF(125:125,E44,126:126)-SUMIF(125:125,C44,126:126)+100</f>
        <v>100</v>
      </c>
      <c r="G44" s="459" t="s">
        <v>3206</v>
      </c>
      <c r="H44" s="434">
        <f>SUMIF(125:125,G44,126:126)-SUMIF(125:125,C44,126:126)+100</f>
        <v>100</v>
      </c>
      <c r="I44" s="459" t="s">
        <v>3206</v>
      </c>
      <c r="J44" s="434">
        <f>SUMIF(125:125,I44,126:126)-SUMIF(125:125,C44,126:126)+100</f>
        <v>100</v>
      </c>
      <c r="K44" s="611">
        <v>2</v>
      </c>
      <c r="L44" s="1142"/>
      <c r="M44" s="1133"/>
      <c r="N44" s="1133"/>
      <c r="O44" s="1133"/>
      <c r="P44" s="3237"/>
      <c r="Q44" s="1811" t="str">
        <f t="shared" si="8"/>
        <v>内部装修维护情况</v>
      </c>
      <c r="R44" s="773" t="s">
        <v>17</v>
      </c>
      <c r="S44" s="774">
        <f t="shared" si="9"/>
        <v>100</v>
      </c>
      <c r="T44" s="773" t="s">
        <v>17</v>
      </c>
      <c r="U44" s="774">
        <f t="shared" si="10"/>
        <v>100</v>
      </c>
      <c r="V44" s="773" t="s">
        <v>17</v>
      </c>
      <c r="W44" s="774">
        <f t="shared" si="11"/>
        <v>100</v>
      </c>
      <c r="X44" s="1814"/>
      <c r="Y44" s="3196"/>
      <c r="Z44" s="1815" t="str">
        <f t="shared" si="12"/>
        <v>内部装修维护情况</v>
      </c>
      <c r="AA44" s="1812">
        <f t="shared" si="3"/>
        <v>1</v>
      </c>
      <c r="AB44" s="1812">
        <f t="shared" si="4"/>
        <v>1</v>
      </c>
      <c r="AC44" s="2673">
        <f t="shared" si="5"/>
        <v>1</v>
      </c>
    </row>
    <row r="45" spans="1:29" s="117" customFormat="1" ht="15">
      <c r="A45" s="472"/>
      <c r="B45" s="2997" t="s">
        <v>3283</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237"/>
      <c r="Q45" s="1796" t="str">
        <f t="shared" si="8"/>
        <v>楼层</v>
      </c>
      <c r="R45" s="769" t="s">
        <v>17</v>
      </c>
      <c r="S45" s="770">
        <f t="shared" si="9"/>
        <v>100</v>
      </c>
      <c r="T45" s="769" t="s">
        <v>17</v>
      </c>
      <c r="U45" s="770">
        <f t="shared" si="10"/>
        <v>100</v>
      </c>
      <c r="V45" s="769" t="s">
        <v>17</v>
      </c>
      <c r="W45" s="770">
        <f t="shared" si="11"/>
        <v>100</v>
      </c>
      <c r="X45" s="771"/>
      <c r="Y45" s="3196"/>
      <c r="Z45" s="55" t="str">
        <f t="shared" si="12"/>
        <v>楼层</v>
      </c>
      <c r="AA45" s="772">
        <f t="shared" si="3"/>
        <v>1</v>
      </c>
      <c r="AB45" s="772">
        <f t="shared" si="4"/>
        <v>1</v>
      </c>
      <c r="AC45" s="2670">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7"/>
      <c r="Q46" s="1811">
        <f t="shared" si="8"/>
        <v>111</v>
      </c>
      <c r="R46" s="773" t="s">
        <v>17</v>
      </c>
      <c r="S46" s="774">
        <f t="shared" si="9"/>
        <v>100</v>
      </c>
      <c r="T46" s="773" t="s">
        <v>17</v>
      </c>
      <c r="U46" s="774">
        <f t="shared" si="10"/>
        <v>100</v>
      </c>
      <c r="V46" s="773" t="s">
        <v>17</v>
      </c>
      <c r="W46" s="774">
        <f t="shared" si="11"/>
        <v>100</v>
      </c>
      <c r="X46" s="1814"/>
      <c r="Y46" s="3196"/>
      <c r="Z46" s="1815">
        <f t="shared" si="12"/>
        <v>111</v>
      </c>
      <c r="AA46" s="1812">
        <f t="shared" si="3"/>
        <v>1</v>
      </c>
      <c r="AB46" s="1812">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8"/>
      <c r="Q47" s="1811">
        <f t="shared" si="8"/>
        <v>111</v>
      </c>
      <c r="R47" s="773" t="s">
        <v>17</v>
      </c>
      <c r="S47" s="774">
        <f t="shared" si="9"/>
        <v>100</v>
      </c>
      <c r="T47" s="773" t="s">
        <v>17</v>
      </c>
      <c r="U47" s="774">
        <f t="shared" si="10"/>
        <v>100</v>
      </c>
      <c r="V47" s="773" t="s">
        <v>17</v>
      </c>
      <c r="W47" s="774">
        <f t="shared" si="11"/>
        <v>100</v>
      </c>
      <c r="X47" s="1814"/>
      <c r="Y47" s="3239"/>
      <c r="Z47" s="1815">
        <f t="shared" si="12"/>
        <v>111</v>
      </c>
      <c r="AA47" s="1812">
        <f t="shared" si="3"/>
        <v>1</v>
      </c>
      <c r="AB47" s="1812">
        <f t="shared" si="4"/>
        <v>1</v>
      </c>
      <c r="AC47" s="2673">
        <f t="shared" si="5"/>
        <v>1</v>
      </c>
    </row>
    <row r="48" spans="1:29" ht="15">
      <c r="A48" s="478" t="s">
        <v>2575</v>
      </c>
      <c r="B48" s="479"/>
      <c r="C48" s="1408" t="s">
        <v>1</v>
      </c>
      <c r="D48" s="1409"/>
      <c r="E48" s="1410">
        <v>8000</v>
      </c>
      <c r="F48" s="1411"/>
      <c r="G48" s="1412">
        <v>7998</v>
      </c>
      <c r="H48" s="1413"/>
      <c r="I48" s="1412">
        <v>7800</v>
      </c>
      <c r="J48" s="484"/>
      <c r="K48" s="782"/>
      <c r="L48" s="1145"/>
      <c r="M48" s="1133"/>
      <c r="N48" s="1133"/>
      <c r="O48" s="1133"/>
      <c r="P48" s="3190" t="str">
        <f>A48</f>
        <v>成交单价（元/平方米）</v>
      </c>
      <c r="Q48" s="3191"/>
      <c r="R48" s="3230">
        <f>E48</f>
        <v>8000</v>
      </c>
      <c r="S48" s="3230"/>
      <c r="T48" s="3230">
        <f>G48</f>
        <v>7998</v>
      </c>
      <c r="U48" s="3230"/>
      <c r="V48" s="3230">
        <f>I48</f>
        <v>7800</v>
      </c>
      <c r="W48" s="3230"/>
      <c r="X48" s="445"/>
      <c r="Y48" s="780"/>
      <c r="Z48" s="445"/>
      <c r="AA48" s="445"/>
      <c r="AB48" s="445"/>
      <c r="AC48" s="629"/>
    </row>
    <row r="49" spans="1:29" ht="15.75" thickBot="1">
      <c r="A49" s="485" t="s">
        <v>2667</v>
      </c>
      <c r="B49" s="486"/>
      <c r="C49" s="1414">
        <f>R50</f>
        <v>7410</v>
      </c>
      <c r="D49" s="1415"/>
      <c r="E49" s="1416">
        <f>R49</f>
        <v>7397</v>
      </c>
      <c r="F49" s="1416"/>
      <c r="G49" s="1414">
        <f>T49</f>
        <v>7395</v>
      </c>
      <c r="H49" s="1415"/>
      <c r="I49" s="1416">
        <f>V49</f>
        <v>7439</v>
      </c>
      <c r="J49" s="488"/>
      <c r="K49" s="783"/>
      <c r="L49" s="1145"/>
      <c r="M49" s="1133"/>
      <c r="N49" s="1133"/>
      <c r="O49" s="1133"/>
      <c r="P49" s="3190" t="str">
        <f>A49</f>
        <v>比较价值（元/平方米）</v>
      </c>
      <c r="Q49" s="3191"/>
      <c r="R49" s="3230">
        <f>IF(F1="售价",ROUND(PRODUCT(R48,AA7:AA47),0),ROUND(PRODUCT(R48,AA7:AA47),1))</f>
        <v>7397</v>
      </c>
      <c r="S49" s="3230"/>
      <c r="T49" s="3230">
        <f>IF(F1="售价",ROUND(PRODUCT(T48,AB7:AB47),0),ROUND(PRODUCT(T48,AB7:AB47),1))</f>
        <v>7395</v>
      </c>
      <c r="U49" s="3230"/>
      <c r="V49" s="3230">
        <f>IF(F1="售价",ROUND(PRODUCT(V48,AC7:AC47),0),ROUND(PRODUCT(V48,AC7:AC47),1))</f>
        <v>7439</v>
      </c>
      <c r="W49" s="3230"/>
      <c r="X49" s="445"/>
      <c r="Y49" s="445"/>
      <c r="Z49" s="445"/>
      <c r="AA49" s="445"/>
      <c r="AB49" s="445"/>
      <c r="AC49" s="629"/>
    </row>
    <row r="50" spans="1:29" ht="15.75" thickBot="1">
      <c r="A50" s="491" t="s">
        <v>2668</v>
      </c>
      <c r="B50" s="492"/>
      <c r="C50" s="1418">
        <f>R50</f>
        <v>7410</v>
      </c>
      <c r="D50" s="1418"/>
      <c r="E50" s="1418"/>
      <c r="F50" s="1418"/>
      <c r="G50" s="1418"/>
      <c r="H50" s="1418"/>
      <c r="I50" s="1418"/>
      <c r="J50" s="493"/>
      <c r="K50" s="784"/>
      <c r="L50" s="1145"/>
      <c r="M50" s="1133"/>
      <c r="N50" s="1133"/>
      <c r="O50" s="1133"/>
      <c r="P50" s="3231" t="str">
        <f>A50</f>
        <v>估价对象XX用房的比较价值（楼面单价，元/平方米）</v>
      </c>
      <c r="Q50" s="3232"/>
      <c r="R50" s="3233">
        <f>IF(F1="售价",ROUND(AVERAGE(R49:V49),0),ROUND(AVERAGE(R49:V49),1))</f>
        <v>7410</v>
      </c>
      <c r="S50" s="3233"/>
      <c r="T50" s="3233"/>
      <c r="U50" s="3233"/>
      <c r="V50" s="3233"/>
      <c r="W50" s="3233"/>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2669</v>
      </c>
      <c r="D53" s="497"/>
      <c r="E53" s="498">
        <f>IF(E48&lt;E49,E49/E48-1,E48/E49-1)</f>
        <v>8.1519534946600025E-2</v>
      </c>
      <c r="F53" s="499" t="str">
        <f>IF(OR(E53&gt;=0.3,E53&lt;=-0.3),"超过30%","")</f>
        <v/>
      </c>
      <c r="G53" s="498">
        <f>IF(G48&lt;G49,G49/G48-1,G48/G49-1)</f>
        <v>8.1541582150101322E-2</v>
      </c>
      <c r="H53" s="499" t="str">
        <f>IF(OR(G53&gt;=0.3,G53&lt;=-0.3),"超过30%","")</f>
        <v/>
      </c>
      <c r="I53" s="498">
        <f>IF(I48&lt;I49,I49/I48-1,I48/I49-1)</f>
        <v>4.85280279607474E-2</v>
      </c>
      <c r="J53" s="499" t="str">
        <f>IF(OR(I53&gt;=0.3,I53&lt;=-0.3),"超过30%","")</f>
        <v/>
      </c>
      <c r="K53" s="1107"/>
      <c r="L53" s="1108"/>
      <c r="M53" s="1146"/>
      <c r="N53" s="1146"/>
      <c r="O53" s="1146"/>
    </row>
    <row r="54" spans="1:29" ht="13.5" customHeight="1">
      <c r="A54" s="1146"/>
      <c r="B54" s="1146"/>
      <c r="C54" s="496" t="s">
        <v>2670</v>
      </c>
      <c r="D54" s="500"/>
      <c r="E54" s="498">
        <f>IF(E49&lt;G49,G49/E49-1,E49/G49-1)</f>
        <v>2.7045300878980605E-4</v>
      </c>
      <c r="F54" s="499" t="str">
        <f>IF(OR(E54&gt;=0.2,E54&lt;=-0.2),"超过20%","")</f>
        <v/>
      </c>
      <c r="G54" s="498">
        <f>IF(G49&lt;I49,I49/G49-1,G49/I49-1)</f>
        <v>5.9499661933739567E-3</v>
      </c>
      <c r="H54" s="499" t="str">
        <f>IF(OR(G54&gt;=0.2,G54&lt;=-0.2),"超过20%","")</f>
        <v/>
      </c>
      <c r="I54" s="498">
        <f>IF(I49&lt;E49,E49/I49-1,I49/E49-1)</f>
        <v>5.6779775584696601E-3</v>
      </c>
      <c r="J54" s="499" t="str">
        <f>IF(OR(I54&gt;=0.2,I54&lt;=-0.2),"超过20%","")</f>
        <v/>
      </c>
      <c r="K54" s="1107"/>
      <c r="L54" s="1108"/>
      <c r="M54" s="1146"/>
      <c r="N54" s="1146"/>
      <c r="O54" s="1146"/>
    </row>
    <row r="55" spans="1:29" s="501" customFormat="1" ht="13.5" customHeight="1">
      <c r="A55" s="1147"/>
      <c r="B55" s="1147"/>
      <c r="C55" s="496" t="s">
        <v>2671</v>
      </c>
      <c r="D55" s="500"/>
      <c r="E55" s="498">
        <f>IF(E48&lt;G48,G48/E48-1,E48/G48-1)</f>
        <v>2.500625156289793E-4</v>
      </c>
      <c r="F55" s="499" t="str">
        <f>IF(OR(E55&gt;=0.3,E55&lt;=-0.3),"超过30%","")</f>
        <v/>
      </c>
      <c r="G55" s="498">
        <f>IF(G48&lt;I48,I48/G48-1,G48/I48-1)</f>
        <v>2.5384615384615339E-2</v>
      </c>
      <c r="H55" s="499" t="str">
        <f>IF(OR(G55&gt;=0.3,G55&lt;=-0.3),"超过30%","")</f>
        <v/>
      </c>
      <c r="I55" s="498">
        <f>IF(I48&lt;E48,E48/I48-1,I48/E48-1)</f>
        <v>2.564102564102555E-2</v>
      </c>
      <c r="J55" s="499" t="str">
        <f>IF(OR(I55&gt;=0.3,I55&lt;=-0.3),"超过30%","")</f>
        <v/>
      </c>
      <c r="K55" s="1150"/>
      <c r="L55" s="1151"/>
      <c r="M55" s="1147"/>
      <c r="N55" s="1147"/>
      <c r="O55" s="1147"/>
      <c r="P55" s="2679"/>
    </row>
    <row r="56" spans="1:29" s="501"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0"/>
      <c r="Q58" s="503"/>
    </row>
    <row r="59" spans="1:29" s="507" customFormat="1" ht="15">
      <c r="A59" s="504" t="s">
        <v>2546</v>
      </c>
      <c r="B59" s="505"/>
      <c r="C59" s="1575" t="str">
        <f>YEAR(C7)&amp;"-"&amp;MONTH(C7)</f>
        <v>2019-8</v>
      </c>
      <c r="D59" s="1576">
        <f>EDATE(C59,-1)</f>
        <v>43647</v>
      </c>
      <c r="E59" s="1576">
        <f>EDATE(D59,-1)</f>
        <v>43617</v>
      </c>
      <c r="F59" s="1576">
        <f t="shared" ref="F59:O59" si="13">EDATE(E59,-1)</f>
        <v>43586</v>
      </c>
      <c r="G59" s="1576">
        <f t="shared" si="13"/>
        <v>43556</v>
      </c>
      <c r="H59" s="1576">
        <f t="shared" si="13"/>
        <v>43525</v>
      </c>
      <c r="I59" s="1576">
        <f t="shared" si="13"/>
        <v>43497</v>
      </c>
      <c r="J59" s="1576">
        <f t="shared" si="13"/>
        <v>43466</v>
      </c>
      <c r="K59" s="1576">
        <f t="shared" si="13"/>
        <v>43435</v>
      </c>
      <c r="L59" s="1576">
        <f t="shared" si="13"/>
        <v>43405</v>
      </c>
      <c r="M59" s="1576">
        <f t="shared" si="13"/>
        <v>43374</v>
      </c>
      <c r="N59" s="1576">
        <f t="shared" si="13"/>
        <v>43344</v>
      </c>
      <c r="O59" s="1576">
        <f t="shared" si="13"/>
        <v>43313</v>
      </c>
      <c r="P59" s="1572"/>
    </row>
    <row r="60" spans="1:29" s="117" customFormat="1" ht="15">
      <c r="A60" s="508"/>
      <c r="B60" s="509"/>
      <c r="C60" s="1574">
        <v>100</v>
      </c>
      <c r="D60" s="511"/>
      <c r="E60" s="511"/>
      <c r="F60" s="511"/>
      <c r="G60" s="511"/>
      <c r="H60" s="511"/>
      <c r="I60" s="511"/>
      <c r="J60" s="511"/>
      <c r="K60" s="511"/>
      <c r="L60" s="511"/>
      <c r="M60" s="512"/>
      <c r="N60" s="511"/>
      <c r="O60" s="512"/>
      <c r="P60" s="2681"/>
    </row>
    <row r="61" spans="1:29" s="117" customFormat="1" ht="15.75" thickBot="1">
      <c r="A61" s="514" t="s">
        <v>2583</v>
      </c>
      <c r="B61" s="515"/>
      <c r="C61" s="516"/>
      <c r="D61" s="517"/>
      <c r="E61" s="517"/>
      <c r="F61" s="517"/>
      <c r="G61" s="517"/>
      <c r="H61" s="517"/>
      <c r="I61" s="517"/>
      <c r="J61" s="517"/>
      <c r="K61" s="517"/>
      <c r="L61" s="517"/>
      <c r="M61" s="518"/>
      <c r="N61" s="517"/>
      <c r="O61" s="518"/>
      <c r="P61" s="2681"/>
      <c r="Q61" s="503"/>
    </row>
    <row r="62" spans="1:29" s="117" customFormat="1" ht="15">
      <c r="A62" s="520" t="s">
        <v>2548</v>
      </c>
      <c r="B62" s="509"/>
      <c r="C62" s="521" t="s">
        <v>2650</v>
      </c>
      <c r="D62" s="522"/>
      <c r="E62" s="522"/>
      <c r="F62" s="522"/>
      <c r="G62" s="522"/>
      <c r="H62" s="522"/>
      <c r="I62" s="522"/>
      <c r="J62" s="522"/>
      <c r="K62" s="522"/>
      <c r="L62" s="523"/>
      <c r="M62" s="524"/>
      <c r="N62" s="1153"/>
      <c r="O62" s="1153"/>
      <c r="P62" s="2682"/>
      <c r="Q62" s="503"/>
    </row>
    <row r="63" spans="1:29" s="117" customFormat="1" ht="15.75" thickBot="1">
      <c r="A63" s="520"/>
      <c r="B63" s="509"/>
      <c r="C63" s="510">
        <v>100</v>
      </c>
      <c r="D63" s="511"/>
      <c r="E63" s="511"/>
      <c r="F63" s="511"/>
      <c r="G63" s="511"/>
      <c r="H63" s="511"/>
      <c r="I63" s="511"/>
      <c r="J63" s="511"/>
      <c r="K63" s="511"/>
      <c r="L63" s="511"/>
      <c r="M63" s="513"/>
      <c r="N63" s="1153"/>
      <c r="O63" s="1153"/>
      <c r="P63" s="2681"/>
      <c r="Q63" s="503"/>
    </row>
    <row r="64" spans="1:29">
      <c r="A64" s="526" t="s">
        <v>2586</v>
      </c>
      <c r="B64" s="527" t="s">
        <v>2552</v>
      </c>
      <c r="C64" s="528">
        <f>C9</f>
        <v>0</v>
      </c>
      <c r="D64" s="529"/>
      <c r="E64" s="529"/>
      <c r="F64" s="529"/>
      <c r="G64" s="529"/>
      <c r="H64" s="529"/>
      <c r="I64" s="529"/>
      <c r="J64" s="529"/>
      <c r="K64" s="530"/>
      <c r="L64" s="531"/>
      <c r="M64" s="532"/>
      <c r="N64" s="1154"/>
      <c r="O64" s="1154"/>
      <c r="P64" s="2683"/>
      <c r="Q64" s="503"/>
    </row>
    <row r="65" spans="1:17" ht="15.75" thickBot="1">
      <c r="A65" s="533"/>
      <c r="B65" s="534"/>
      <c r="C65" s="535">
        <v>100</v>
      </c>
      <c r="D65" s="535"/>
      <c r="E65" s="535"/>
      <c r="F65" s="535"/>
      <c r="G65" s="535"/>
      <c r="H65" s="535"/>
      <c r="I65" s="535"/>
      <c r="J65" s="535"/>
      <c r="K65" s="535"/>
      <c r="L65" s="535"/>
      <c r="M65" s="536"/>
      <c r="N65" s="1155"/>
      <c r="O65" s="1155"/>
      <c r="P65" s="2683"/>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54"/>
      <c r="O66" s="1154"/>
      <c r="P66" s="2683"/>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3"/>
      <c r="Q67" s="503"/>
    </row>
    <row r="68" spans="1:17" ht="15.75" thickTop="1">
      <c r="A68" s="533"/>
      <c r="B68" s="545" t="s">
        <v>2556</v>
      </c>
      <c r="C68" s="546" t="str">
        <f>C69&amp;"（含）"&amp;"-"&amp;D69</f>
        <v>0（含）-1</v>
      </c>
      <c r="D68" s="546" t="str">
        <f t="shared" ref="D68:L68" si="14">D69&amp;"（含）"&amp;"-"&amp;E69</f>
        <v>1（含）-2</v>
      </c>
      <c r="E68" s="546" t="str">
        <f t="shared" si="14"/>
        <v>2（含）-3</v>
      </c>
      <c r="F68" s="546" t="str">
        <f t="shared" si="14"/>
        <v>3（含）-</v>
      </c>
      <c r="G68" s="546" t="str">
        <f t="shared" si="14"/>
        <v>（含）-</v>
      </c>
      <c r="H68" s="546" t="str">
        <f t="shared" si="14"/>
        <v>（含）-</v>
      </c>
      <c r="I68" s="546" t="str">
        <f t="shared" si="14"/>
        <v>（含）-</v>
      </c>
      <c r="J68" s="546" t="str">
        <f t="shared" si="14"/>
        <v>（含）-</v>
      </c>
      <c r="K68" s="546" t="str">
        <f t="shared" si="14"/>
        <v>（含）-</v>
      </c>
      <c r="L68" s="546" t="str">
        <f t="shared" si="14"/>
        <v>（含）-</v>
      </c>
      <c r="M68" s="447" t="str">
        <f>M69&amp;"（含）"&amp;"-"&amp;P69</f>
        <v>（含）-</v>
      </c>
      <c r="N68" s="1155"/>
      <c r="O68" s="1155"/>
      <c r="P68" s="2683"/>
      <c r="Q68" s="503"/>
    </row>
    <row r="69" spans="1:17" ht="15">
      <c r="A69" s="533"/>
      <c r="B69" s="547"/>
      <c r="C69" s="548">
        <v>0</v>
      </c>
      <c r="D69" s="548">
        <v>1</v>
      </c>
      <c r="E69" s="548">
        <v>2</v>
      </c>
      <c r="F69" s="548">
        <v>3</v>
      </c>
      <c r="G69" s="548"/>
      <c r="H69" s="548"/>
      <c r="I69" s="548"/>
      <c r="J69" s="548"/>
      <c r="K69" s="549"/>
      <c r="L69" s="550"/>
      <c r="M69" s="551"/>
      <c r="N69" s="1154"/>
      <c r="O69" s="1154"/>
      <c r="P69" s="2683"/>
      <c r="Q69" s="503"/>
    </row>
    <row r="70" spans="1:17" ht="15.75" thickBot="1">
      <c r="A70" s="533"/>
      <c r="B70" s="534"/>
      <c r="C70" s="543">
        <v>100</v>
      </c>
      <c r="D70" s="543">
        <f t="shared" ref="D70:M70" si="15">C70-$K11</f>
        <v>99</v>
      </c>
      <c r="E70" s="543">
        <f t="shared" si="15"/>
        <v>98</v>
      </c>
      <c r="F70" s="543">
        <f t="shared" si="15"/>
        <v>97</v>
      </c>
      <c r="G70" s="543">
        <f t="shared" si="15"/>
        <v>96</v>
      </c>
      <c r="H70" s="543">
        <f t="shared" si="15"/>
        <v>95</v>
      </c>
      <c r="I70" s="543">
        <f t="shared" si="15"/>
        <v>94</v>
      </c>
      <c r="J70" s="543">
        <f t="shared" si="15"/>
        <v>93</v>
      </c>
      <c r="K70" s="543">
        <f t="shared" si="15"/>
        <v>92</v>
      </c>
      <c r="L70" s="543">
        <f t="shared" si="15"/>
        <v>91</v>
      </c>
      <c r="M70" s="544">
        <f t="shared" si="15"/>
        <v>90</v>
      </c>
      <c r="N70" s="1155"/>
      <c r="O70" s="1155"/>
      <c r="P70" s="2683"/>
      <c r="Q70" s="503"/>
    </row>
    <row r="71" spans="1:17" s="470" customFormat="1" ht="15.75" thickTop="1">
      <c r="A71" s="552"/>
      <c r="B71" s="537">
        <f>B12</f>
        <v>111</v>
      </c>
      <c r="C71" s="553"/>
      <c r="D71" s="553"/>
      <c r="E71" s="553"/>
      <c r="F71" s="553"/>
      <c r="G71" s="553"/>
      <c r="H71" s="554"/>
      <c r="I71" s="554"/>
      <c r="J71" s="554"/>
      <c r="K71" s="554"/>
      <c r="L71" s="555"/>
      <c r="M71" s="556"/>
      <c r="N71" s="1156"/>
      <c r="O71" s="1156"/>
      <c r="P71" s="2684"/>
      <c r="Q71" s="558"/>
    </row>
    <row r="72" spans="1:17" s="470" customFormat="1" ht="15.75" thickBot="1">
      <c r="A72" s="552"/>
      <c r="B72" s="542"/>
      <c r="C72" s="559"/>
      <c r="D72" s="535"/>
      <c r="E72" s="535"/>
      <c r="F72" s="535"/>
      <c r="G72" s="535"/>
      <c r="H72" s="535"/>
      <c r="I72" s="535"/>
      <c r="J72" s="535"/>
      <c r="K72" s="535"/>
      <c r="L72" s="535"/>
      <c r="M72" s="536"/>
      <c r="N72" s="1155"/>
      <c r="O72" s="1155"/>
      <c r="P72" s="2684"/>
      <c r="Q72" s="558"/>
    </row>
    <row r="73" spans="1:17" s="470" customFormat="1" ht="15.75" thickTop="1">
      <c r="A73" s="552"/>
      <c r="B73" s="537">
        <f>B13</f>
        <v>111</v>
      </c>
      <c r="C73" s="553"/>
      <c r="D73" s="553"/>
      <c r="E73" s="553"/>
      <c r="F73" s="553"/>
      <c r="G73" s="553"/>
      <c r="H73" s="554"/>
      <c r="I73" s="554"/>
      <c r="J73" s="554"/>
      <c r="K73" s="554"/>
      <c r="L73" s="555"/>
      <c r="M73" s="556"/>
      <c r="N73" s="1156"/>
      <c r="O73" s="1156"/>
      <c r="P73" s="2685"/>
      <c r="Q73" s="560"/>
    </row>
    <row r="74" spans="1:17" s="470" customFormat="1" ht="15.75" thickBot="1">
      <c r="A74" s="552"/>
      <c r="B74" s="542"/>
      <c r="C74" s="559"/>
      <c r="D74" s="559"/>
      <c r="E74" s="559"/>
      <c r="F74" s="559"/>
      <c r="G74" s="559"/>
      <c r="H74" s="561"/>
      <c r="I74" s="561"/>
      <c r="J74" s="561"/>
      <c r="K74" s="561"/>
      <c r="L74" s="561"/>
      <c r="M74" s="562"/>
      <c r="N74" s="1156"/>
      <c r="O74" s="1156"/>
      <c r="P74" s="2684"/>
      <c r="Q74" s="558"/>
    </row>
    <row r="75" spans="1:17" s="470" customFormat="1" ht="15.75" thickTop="1">
      <c r="A75" s="552"/>
      <c r="B75" s="545">
        <f>B14</f>
        <v>111</v>
      </c>
      <c r="C75" s="522"/>
      <c r="D75" s="522"/>
      <c r="E75" s="522"/>
      <c r="F75" s="522"/>
      <c r="G75" s="522"/>
      <c r="H75" s="563"/>
      <c r="I75" s="563"/>
      <c r="J75" s="563"/>
      <c r="K75" s="563"/>
      <c r="L75" s="564"/>
      <c r="M75" s="565"/>
      <c r="N75" s="1156"/>
      <c r="O75" s="1156"/>
      <c r="P75" s="2686"/>
      <c r="Q75" s="558"/>
    </row>
    <row r="76" spans="1:17" s="470" customFormat="1" ht="15.75" thickBot="1">
      <c r="A76" s="567"/>
      <c r="B76" s="568"/>
      <c r="C76" s="569"/>
      <c r="D76" s="569"/>
      <c r="E76" s="569"/>
      <c r="F76" s="569"/>
      <c r="G76" s="569"/>
      <c r="H76" s="570"/>
      <c r="I76" s="570"/>
      <c r="J76" s="570"/>
      <c r="K76" s="570"/>
      <c r="L76" s="570"/>
      <c r="M76" s="571"/>
      <c r="N76" s="1156"/>
      <c r="O76" s="1156"/>
      <c r="P76" s="2684"/>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54"/>
      <c r="O77" s="1154"/>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3"/>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54"/>
      <c r="O79" s="1154"/>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3"/>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54"/>
      <c r="O81" s="1154"/>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3"/>
      <c r="Q82" s="503"/>
    </row>
    <row r="83" spans="1:17" ht="15.75" thickTop="1">
      <c r="A83" s="533"/>
      <c r="B83" s="545" t="s">
        <v>2687</v>
      </c>
      <c r="C83" s="659" t="s">
        <v>2673</v>
      </c>
      <c r="D83" s="659" t="s">
        <v>2674</v>
      </c>
      <c r="E83" s="659" t="s">
        <v>2675</v>
      </c>
      <c r="F83" s="659" t="s">
        <v>2676</v>
      </c>
      <c r="G83" s="659" t="s">
        <v>2677</v>
      </c>
      <c r="H83" s="538"/>
      <c r="I83" s="538"/>
      <c r="J83" s="538"/>
      <c r="K83" s="538"/>
      <c r="L83" s="538"/>
      <c r="M83" s="1383"/>
      <c r="N83" s="1155"/>
      <c r="O83" s="1155"/>
      <c r="P83" s="2683"/>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3"/>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54"/>
      <c r="O85" s="1154"/>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3"/>
      <c r="Q86" s="503"/>
    </row>
    <row r="87" spans="1:17" s="117" customFormat="1" ht="27.75" thickTop="1">
      <c r="A87" s="578"/>
      <c r="B87" s="537" t="s">
        <v>2697</v>
      </c>
      <c r="C87" s="2985" t="s">
        <v>3254</v>
      </c>
      <c r="D87" s="2985" t="s">
        <v>3255</v>
      </c>
      <c r="E87" s="2985" t="s">
        <v>3256</v>
      </c>
      <c r="F87" s="2985" t="s">
        <v>3257</v>
      </c>
      <c r="G87" s="2985" t="s">
        <v>3258</v>
      </c>
      <c r="H87" s="553"/>
      <c r="I87" s="553"/>
      <c r="J87" s="553"/>
      <c r="K87" s="553"/>
      <c r="L87" s="579"/>
      <c r="M87" s="580"/>
      <c r="N87" s="1153"/>
      <c r="O87" s="1153"/>
      <c r="P87" s="2683"/>
      <c r="Q87" s="503"/>
    </row>
    <row r="88" spans="1:17" s="117" customFormat="1" ht="15.75" thickBot="1">
      <c r="A88" s="578"/>
      <c r="B88" s="542"/>
      <c r="C88" s="581">
        <v>100</v>
      </c>
      <c r="D88" s="543">
        <f t="shared" ref="D88:M88" si="16">C88-$K25</f>
        <v>98</v>
      </c>
      <c r="E88" s="543">
        <f t="shared" si="16"/>
        <v>96</v>
      </c>
      <c r="F88" s="543">
        <f t="shared" si="16"/>
        <v>94</v>
      </c>
      <c r="G88" s="543">
        <f t="shared" si="16"/>
        <v>92</v>
      </c>
      <c r="H88" s="543">
        <f t="shared" si="16"/>
        <v>90</v>
      </c>
      <c r="I88" s="543">
        <f t="shared" si="16"/>
        <v>88</v>
      </c>
      <c r="J88" s="543">
        <f t="shared" si="16"/>
        <v>86</v>
      </c>
      <c r="K88" s="543">
        <f t="shared" si="16"/>
        <v>84</v>
      </c>
      <c r="L88" s="543">
        <f t="shared" si="16"/>
        <v>82</v>
      </c>
      <c r="M88" s="543">
        <f t="shared" si="16"/>
        <v>80</v>
      </c>
      <c r="N88" s="1155"/>
      <c r="O88" s="1155"/>
      <c r="P88" s="2683"/>
      <c r="Q88" s="503"/>
    </row>
    <row r="89" spans="1:17" s="117" customFormat="1" ht="15.75" thickTop="1">
      <c r="A89" s="578"/>
      <c r="B89" s="537" t="str">
        <f>B27</f>
        <v>楼层</v>
      </c>
      <c r="C89" s="553"/>
      <c r="D89" s="553"/>
      <c r="E89" s="553"/>
      <c r="F89" s="2634"/>
      <c r="G89" s="553"/>
      <c r="H89" s="553"/>
      <c r="I89" s="553"/>
      <c r="J89" s="553"/>
      <c r="K89" s="553"/>
      <c r="L89" s="553"/>
      <c r="M89" s="580"/>
      <c r="N89" s="1153"/>
      <c r="O89" s="1153"/>
      <c r="P89" s="2683"/>
      <c r="Q89" s="503"/>
    </row>
    <row r="90" spans="1:17" s="117" customFormat="1" ht="15.75" thickBot="1">
      <c r="A90" s="578"/>
      <c r="B90" s="542"/>
      <c r="C90" s="581">
        <v>100</v>
      </c>
      <c r="D90" s="543">
        <f>C90-$K27</f>
        <v>100</v>
      </c>
      <c r="E90" s="543">
        <f t="shared" ref="E90:M90" si="17">D90-$K27</f>
        <v>100</v>
      </c>
      <c r="F90" s="543">
        <f t="shared" si="17"/>
        <v>100</v>
      </c>
      <c r="G90" s="543">
        <f t="shared" si="17"/>
        <v>100</v>
      </c>
      <c r="H90" s="543">
        <f t="shared" si="17"/>
        <v>100</v>
      </c>
      <c r="I90" s="543">
        <f t="shared" si="17"/>
        <v>100</v>
      </c>
      <c r="J90" s="543">
        <f t="shared" si="17"/>
        <v>100</v>
      </c>
      <c r="K90" s="543">
        <f t="shared" si="17"/>
        <v>100</v>
      </c>
      <c r="L90" s="543">
        <f t="shared" si="17"/>
        <v>100</v>
      </c>
      <c r="M90" s="543">
        <f t="shared" si="17"/>
        <v>100</v>
      </c>
      <c r="N90" s="1155"/>
      <c r="O90" s="1155"/>
      <c r="P90" s="2683"/>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4"/>
      <c r="Q91" s="558"/>
    </row>
    <row r="92" spans="1:17" s="470" customFormat="1" ht="15.75" thickBot="1">
      <c r="A92" s="552"/>
      <c r="B92" s="542"/>
      <c r="C92" s="581">
        <v>100</v>
      </c>
      <c r="D92" s="543">
        <f t="shared" ref="D92:M92" si="18">C92-$K28</f>
        <v>100</v>
      </c>
      <c r="E92" s="543">
        <f t="shared" si="18"/>
        <v>100</v>
      </c>
      <c r="F92" s="543">
        <f t="shared" si="18"/>
        <v>100</v>
      </c>
      <c r="G92" s="543">
        <f t="shared" si="18"/>
        <v>100</v>
      </c>
      <c r="H92" s="543">
        <f t="shared" si="18"/>
        <v>100</v>
      </c>
      <c r="I92" s="543">
        <f t="shared" si="18"/>
        <v>100</v>
      </c>
      <c r="J92" s="543">
        <f t="shared" si="18"/>
        <v>100</v>
      </c>
      <c r="K92" s="543">
        <f t="shared" si="18"/>
        <v>100</v>
      </c>
      <c r="L92" s="543">
        <f t="shared" si="18"/>
        <v>100</v>
      </c>
      <c r="M92" s="543">
        <f t="shared" si="18"/>
        <v>100</v>
      </c>
      <c r="N92" s="1156"/>
      <c r="O92" s="1156"/>
      <c r="P92" s="2684"/>
      <c r="Q92" s="558"/>
    </row>
    <row r="93" spans="1:17" ht="15.75" thickTop="1">
      <c r="A93" s="533"/>
      <c r="B93" s="537">
        <f>B29</f>
        <v>111</v>
      </c>
      <c r="C93" s="553"/>
      <c r="D93" s="553"/>
      <c r="E93" s="553"/>
      <c r="F93" s="553"/>
      <c r="G93" s="553"/>
      <c r="H93" s="553"/>
      <c r="I93" s="553"/>
      <c r="J93" s="553"/>
      <c r="K93" s="553"/>
      <c r="L93" s="579"/>
      <c r="M93" s="580"/>
      <c r="N93" s="1154"/>
      <c r="O93" s="1154"/>
      <c r="P93" s="2683"/>
      <c r="Q93" s="503"/>
    </row>
    <row r="94" spans="1:17" ht="15.75" thickBot="1">
      <c r="A94" s="533"/>
      <c r="B94" s="542"/>
      <c r="C94" s="559"/>
      <c r="D94" s="535"/>
      <c r="E94" s="535"/>
      <c r="F94" s="535"/>
      <c r="G94" s="535"/>
      <c r="H94" s="535"/>
      <c r="I94" s="535"/>
      <c r="J94" s="535"/>
      <c r="K94" s="535"/>
      <c r="L94" s="535"/>
      <c r="M94" s="536"/>
      <c r="N94" s="1155"/>
      <c r="O94" s="1155"/>
      <c r="P94" s="2683"/>
      <c r="Q94" s="503"/>
    </row>
    <row r="95" spans="1:17" ht="15.75" thickTop="1">
      <c r="A95" s="533"/>
      <c r="B95" s="537">
        <f>B30</f>
        <v>111</v>
      </c>
      <c r="C95" s="553"/>
      <c r="D95" s="553"/>
      <c r="E95" s="553"/>
      <c r="F95" s="553"/>
      <c r="G95" s="582"/>
      <c r="H95" s="582"/>
      <c r="I95" s="582"/>
      <c r="J95" s="582"/>
      <c r="K95" s="583"/>
      <c r="L95" s="584"/>
      <c r="M95" s="585"/>
      <c r="N95" s="1154"/>
      <c r="O95" s="1154"/>
      <c r="P95" s="2683"/>
      <c r="Q95" s="503"/>
    </row>
    <row r="96" spans="1:17" ht="15.75" thickBot="1">
      <c r="A96" s="533"/>
      <c r="B96" s="542"/>
      <c r="C96" s="559"/>
      <c r="D96" s="559"/>
      <c r="E96" s="559"/>
      <c r="F96" s="559"/>
      <c r="G96" s="535"/>
      <c r="H96" s="535"/>
      <c r="I96" s="535"/>
      <c r="J96" s="535"/>
      <c r="K96" s="535"/>
      <c r="L96" s="535"/>
      <c r="M96" s="536"/>
      <c r="N96" s="1155"/>
      <c r="O96" s="1155"/>
      <c r="P96" s="2683"/>
      <c r="Q96" s="503"/>
    </row>
    <row r="97" spans="1:17" ht="15.75" thickTop="1">
      <c r="A97" s="533"/>
      <c r="B97" s="537">
        <f>B31</f>
        <v>111</v>
      </c>
      <c r="C97" s="553"/>
      <c r="D97" s="553"/>
      <c r="E97" s="553"/>
      <c r="F97" s="553"/>
      <c r="G97" s="582"/>
      <c r="H97" s="582"/>
      <c r="I97" s="582"/>
      <c r="J97" s="582"/>
      <c r="K97" s="583"/>
      <c r="L97" s="584"/>
      <c r="M97" s="585"/>
      <c r="N97" s="1154"/>
      <c r="O97" s="1154"/>
      <c r="P97" s="2683"/>
      <c r="Q97" s="503"/>
    </row>
    <row r="98" spans="1:17" ht="15.75" thickBot="1">
      <c r="A98" s="533"/>
      <c r="B98" s="542"/>
      <c r="C98" s="559"/>
      <c r="D98" s="535"/>
      <c r="E98" s="535"/>
      <c r="F98" s="535"/>
      <c r="G98" s="535"/>
      <c r="H98" s="535"/>
      <c r="I98" s="535"/>
      <c r="J98" s="535"/>
      <c r="K98" s="535"/>
      <c r="L98" s="535"/>
      <c r="M98" s="536"/>
      <c r="N98" s="1155"/>
      <c r="O98" s="1155"/>
      <c r="P98" s="2683"/>
      <c r="Q98" s="503"/>
    </row>
    <row r="99" spans="1:17" ht="15.75" thickTop="1">
      <c r="A99" s="533"/>
      <c r="B99" s="545">
        <f>B32</f>
        <v>111</v>
      </c>
      <c r="C99" s="522"/>
      <c r="D99" s="522"/>
      <c r="E99" s="522"/>
      <c r="F99" s="522"/>
      <c r="G99" s="586"/>
      <c r="H99" s="586"/>
      <c r="I99" s="586"/>
      <c r="J99" s="586"/>
      <c r="K99" s="587"/>
      <c r="L99" s="588"/>
      <c r="M99" s="589"/>
      <c r="N99" s="1154"/>
      <c r="O99" s="1154"/>
      <c r="P99" s="2683"/>
      <c r="Q99" s="503"/>
    </row>
    <row r="100" spans="1:17" ht="15.75" thickBot="1">
      <c r="A100" s="2635"/>
      <c r="B100" s="568"/>
      <c r="C100" s="569"/>
      <c r="D100" s="569"/>
      <c r="E100" s="569"/>
      <c r="F100" s="569"/>
      <c r="G100" s="590"/>
      <c r="H100" s="590"/>
      <c r="I100" s="590"/>
      <c r="J100" s="590"/>
      <c r="K100" s="590"/>
      <c r="L100" s="590"/>
      <c r="M100" s="591"/>
      <c r="N100" s="1155"/>
      <c r="O100" s="1155"/>
      <c r="P100" s="2683"/>
      <c r="Q100" s="503"/>
    </row>
    <row r="101" spans="1:17">
      <c r="A101" s="526" t="s">
        <v>2561</v>
      </c>
      <c r="B101" s="527" t="s">
        <v>2610</v>
      </c>
      <c r="C101" s="2983" t="s">
        <v>3246</v>
      </c>
      <c r="D101" s="529"/>
      <c r="E101" s="529"/>
      <c r="F101" s="529"/>
      <c r="G101" s="529"/>
      <c r="H101" s="529"/>
      <c r="I101" s="529"/>
      <c r="J101" s="529"/>
      <c r="K101" s="530"/>
      <c r="L101" s="531"/>
      <c r="M101" s="532"/>
      <c r="N101" s="1154"/>
      <c r="O101" s="1154"/>
      <c r="P101" s="2683"/>
      <c r="Q101" s="503"/>
    </row>
    <row r="102" spans="1:17" ht="15.75" thickBot="1">
      <c r="A102" s="533"/>
      <c r="B102" s="542"/>
      <c r="C102" s="543">
        <v>100</v>
      </c>
      <c r="D102" s="543">
        <f t="shared" ref="D102:M102" si="19">C102-$K33</f>
        <v>98</v>
      </c>
      <c r="E102" s="543">
        <f t="shared" si="19"/>
        <v>96</v>
      </c>
      <c r="F102" s="543">
        <f t="shared" si="19"/>
        <v>94</v>
      </c>
      <c r="G102" s="543">
        <f t="shared" si="19"/>
        <v>92</v>
      </c>
      <c r="H102" s="543">
        <f t="shared" si="19"/>
        <v>90</v>
      </c>
      <c r="I102" s="543">
        <f t="shared" si="19"/>
        <v>88</v>
      </c>
      <c r="J102" s="543">
        <f t="shared" si="19"/>
        <v>86</v>
      </c>
      <c r="K102" s="543">
        <f t="shared" si="19"/>
        <v>84</v>
      </c>
      <c r="L102" s="543">
        <f t="shared" si="19"/>
        <v>82</v>
      </c>
      <c r="M102" s="544">
        <f t="shared" si="19"/>
        <v>80</v>
      </c>
      <c r="N102" s="1155"/>
      <c r="O102" s="1155"/>
      <c r="P102" s="2683"/>
      <c r="Q102" s="503"/>
    </row>
    <row r="103" spans="1:17" ht="29.25" thickTop="1">
      <c r="A103" s="533"/>
      <c r="B103" s="537" t="s">
        <v>2611</v>
      </c>
      <c r="C103" s="577" t="str">
        <f>C104&amp;"(含)"&amp;"-"&amp;D104</f>
        <v>0(含)-1000</v>
      </c>
      <c r="D103" s="577" t="str">
        <f t="shared" ref="D103:L103" si="20">D104&amp;"(含)"&amp;"-"&amp;E104</f>
        <v>1000(含)-2000</v>
      </c>
      <c r="E103" s="577" t="str">
        <f t="shared" si="20"/>
        <v>2000(含)-3000</v>
      </c>
      <c r="F103" s="577" t="str">
        <f t="shared" si="20"/>
        <v>3000(含)-</v>
      </c>
      <c r="G103" s="577" t="str">
        <f t="shared" si="20"/>
        <v>(含)-</v>
      </c>
      <c r="H103" s="577" t="str">
        <f t="shared" si="20"/>
        <v>(含)-</v>
      </c>
      <c r="I103" s="577" t="str">
        <f t="shared" si="20"/>
        <v>(含)-</v>
      </c>
      <c r="J103" s="577" t="str">
        <f t="shared" si="20"/>
        <v>(含)-</v>
      </c>
      <c r="K103" s="577" t="str">
        <f t="shared" si="20"/>
        <v>(含)-</v>
      </c>
      <c r="L103" s="577" t="str">
        <f t="shared" si="20"/>
        <v>(含)-</v>
      </c>
      <c r="M103" s="621" t="str">
        <f>M104&amp;"(含)"&amp;"-"&amp;P104</f>
        <v>(含)-</v>
      </c>
      <c r="N103" s="1153"/>
      <c r="O103" s="1153"/>
      <c r="P103" s="2683"/>
      <c r="Q103" s="503"/>
    </row>
    <row r="104" spans="1:17" s="470" customFormat="1">
      <c r="A104" s="592"/>
      <c r="B104" s="593"/>
      <c r="C104" s="594">
        <v>0</v>
      </c>
      <c r="D104" s="594">
        <v>1000</v>
      </c>
      <c r="E104" s="594">
        <v>2000</v>
      </c>
      <c r="F104" s="594">
        <v>3000</v>
      </c>
      <c r="G104" s="594"/>
      <c r="H104" s="594"/>
      <c r="I104" s="594"/>
      <c r="J104" s="595"/>
      <c r="K104" s="595"/>
      <c r="L104" s="596"/>
      <c r="M104" s="597"/>
      <c r="N104" s="1156"/>
      <c r="O104" s="1156"/>
      <c r="P104" s="2684"/>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4"/>
      <c r="Q105" s="558"/>
    </row>
    <row r="106" spans="1:17" ht="15" thickTop="1">
      <c r="A106" s="598"/>
      <c r="B106" s="537" t="s">
        <v>2612</v>
      </c>
      <c r="C106" s="2984" t="s">
        <v>3247</v>
      </c>
      <c r="D106" s="553"/>
      <c r="E106" s="582"/>
      <c r="F106" s="582"/>
      <c r="G106" s="582"/>
      <c r="H106" s="582"/>
      <c r="I106" s="582"/>
      <c r="J106" s="582"/>
      <c r="K106" s="583"/>
      <c r="L106" s="584"/>
      <c r="M106" s="585"/>
      <c r="N106" s="1154"/>
      <c r="O106" s="1154"/>
      <c r="P106" s="2683"/>
      <c r="Q106" s="503"/>
    </row>
    <row r="107" spans="1:17" ht="15.75" thickBot="1">
      <c r="A107" s="533"/>
      <c r="B107" s="542"/>
      <c r="C107" s="543">
        <v>100</v>
      </c>
      <c r="D107" s="543">
        <f t="shared" ref="D107:M107" si="21">C107-$K35</f>
        <v>98</v>
      </c>
      <c r="E107" s="543">
        <f t="shared" si="21"/>
        <v>96</v>
      </c>
      <c r="F107" s="543">
        <f t="shared" si="21"/>
        <v>94</v>
      </c>
      <c r="G107" s="543">
        <f t="shared" si="21"/>
        <v>92</v>
      </c>
      <c r="H107" s="543">
        <f t="shared" si="21"/>
        <v>90</v>
      </c>
      <c r="I107" s="543">
        <f t="shared" si="21"/>
        <v>88</v>
      </c>
      <c r="J107" s="543">
        <f t="shared" si="21"/>
        <v>86</v>
      </c>
      <c r="K107" s="543">
        <f t="shared" si="21"/>
        <v>84</v>
      </c>
      <c r="L107" s="543">
        <f t="shared" si="21"/>
        <v>82</v>
      </c>
      <c r="M107" s="544">
        <f t="shared" si="21"/>
        <v>80</v>
      </c>
      <c r="N107" s="1155"/>
      <c r="O107" s="1155"/>
      <c r="P107" s="2683"/>
      <c r="Q107" s="503"/>
    </row>
    <row r="108" spans="1:17" ht="15" thickTop="1">
      <c r="A108" s="598"/>
      <c r="B108" s="537" t="s">
        <v>2614</v>
      </c>
      <c r="C108" s="2985" t="s">
        <v>3248</v>
      </c>
      <c r="D108" s="2985" t="s">
        <v>3249</v>
      </c>
      <c r="E108" s="2985" t="s">
        <v>3250</v>
      </c>
      <c r="F108" s="2986" t="s">
        <v>3251</v>
      </c>
      <c r="G108" s="582"/>
      <c r="H108" s="582"/>
      <c r="I108" s="582"/>
      <c r="J108" s="582"/>
      <c r="K108" s="583"/>
      <c r="L108" s="584"/>
      <c r="M108" s="585"/>
      <c r="N108" s="1154"/>
      <c r="O108" s="1154"/>
      <c r="P108" s="2683"/>
      <c r="Q108" s="503"/>
    </row>
    <row r="109" spans="1:17" ht="15.75" thickBot="1">
      <c r="A109" s="533"/>
      <c r="B109" s="542"/>
      <c r="C109" s="543">
        <v>100</v>
      </c>
      <c r="D109" s="543">
        <f t="shared" ref="D109:M109" si="22">C109-$K36</f>
        <v>100</v>
      </c>
      <c r="E109" s="543">
        <f t="shared" si="22"/>
        <v>100</v>
      </c>
      <c r="F109" s="543">
        <f t="shared" si="22"/>
        <v>100</v>
      </c>
      <c r="G109" s="543">
        <f t="shared" si="22"/>
        <v>100</v>
      </c>
      <c r="H109" s="543">
        <f t="shared" si="22"/>
        <v>100</v>
      </c>
      <c r="I109" s="543">
        <f t="shared" si="22"/>
        <v>100</v>
      </c>
      <c r="J109" s="543">
        <f t="shared" si="22"/>
        <v>100</v>
      </c>
      <c r="K109" s="543">
        <f t="shared" si="22"/>
        <v>100</v>
      </c>
      <c r="L109" s="543">
        <f t="shared" si="22"/>
        <v>100</v>
      </c>
      <c r="M109" s="544">
        <f t="shared" si="22"/>
        <v>100</v>
      </c>
      <c r="N109" s="1155"/>
      <c r="O109" s="1155"/>
      <c r="P109" s="2683"/>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3"/>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3"/>
      <c r="Q111" s="503"/>
    </row>
    <row r="112" spans="1:17" ht="15.75" thickBot="1">
      <c r="A112" s="533"/>
      <c r="B112" s="542"/>
      <c r="C112" s="581">
        <v>100</v>
      </c>
      <c r="D112" s="543">
        <f>C112+$K37</f>
        <v>102</v>
      </c>
      <c r="E112" s="543">
        <f t="shared" ref="E112:M112" si="23">D112+$K37</f>
        <v>104</v>
      </c>
      <c r="F112" s="543">
        <f t="shared" si="23"/>
        <v>106</v>
      </c>
      <c r="G112" s="543">
        <f t="shared" si="23"/>
        <v>108</v>
      </c>
      <c r="H112" s="543">
        <f t="shared" si="23"/>
        <v>110</v>
      </c>
      <c r="I112" s="543">
        <f t="shared" si="23"/>
        <v>112</v>
      </c>
      <c r="J112" s="543">
        <f t="shared" si="23"/>
        <v>114</v>
      </c>
      <c r="K112" s="543">
        <f t="shared" si="23"/>
        <v>116</v>
      </c>
      <c r="L112" s="543">
        <f t="shared" si="23"/>
        <v>118</v>
      </c>
      <c r="M112" s="543">
        <f t="shared" si="23"/>
        <v>120</v>
      </c>
      <c r="N112" s="1155"/>
      <c r="O112" s="1155"/>
      <c r="P112" s="2683"/>
      <c r="Q112" s="503"/>
    </row>
    <row r="113" spans="1:17" s="470" customFormat="1" ht="15" thickTop="1">
      <c r="A113" s="592"/>
      <c r="B113" s="537" t="s">
        <v>2698</v>
      </c>
      <c r="C113" s="553"/>
      <c r="D113" s="553"/>
      <c r="E113" s="553"/>
      <c r="F113" s="553"/>
      <c r="G113" s="553"/>
      <c r="H113" s="582"/>
      <c r="I113" s="582"/>
      <c r="J113" s="582"/>
      <c r="K113" s="583"/>
      <c r="L113" s="584"/>
      <c r="M113" s="585"/>
      <c r="N113" s="1156"/>
      <c r="O113" s="1156"/>
      <c r="P113" s="2684"/>
      <c r="Q113" s="558"/>
    </row>
    <row r="114" spans="1:17" s="470" customFormat="1" ht="15.75" thickBot="1">
      <c r="A114" s="552"/>
      <c r="B114" s="542"/>
      <c r="C114" s="543">
        <v>100</v>
      </c>
      <c r="D114" s="543">
        <f>C114-$K38</f>
        <v>100</v>
      </c>
      <c r="E114" s="543">
        <f t="shared" ref="E114:M114" si="24">D114-$K38</f>
        <v>100</v>
      </c>
      <c r="F114" s="543">
        <f t="shared" si="24"/>
        <v>100</v>
      </c>
      <c r="G114" s="543">
        <f t="shared" si="24"/>
        <v>100</v>
      </c>
      <c r="H114" s="543">
        <f t="shared" si="24"/>
        <v>100</v>
      </c>
      <c r="I114" s="543">
        <f t="shared" si="24"/>
        <v>100</v>
      </c>
      <c r="J114" s="543">
        <f t="shared" si="24"/>
        <v>100</v>
      </c>
      <c r="K114" s="543">
        <f t="shared" si="24"/>
        <v>100</v>
      </c>
      <c r="L114" s="543">
        <f t="shared" si="24"/>
        <v>100</v>
      </c>
      <c r="M114" s="543">
        <f t="shared" si="24"/>
        <v>100</v>
      </c>
      <c r="N114" s="1156"/>
      <c r="O114" s="1156"/>
      <c r="P114" s="2684"/>
      <c r="Q114" s="558"/>
    </row>
    <row r="115" spans="1:17" ht="15" thickTop="1">
      <c r="A115" s="598"/>
      <c r="B115" s="537" t="s">
        <v>2615</v>
      </c>
      <c r="C115" s="2985" t="s">
        <v>3252</v>
      </c>
      <c r="D115" s="2985" t="s">
        <v>3253</v>
      </c>
      <c r="E115" s="582"/>
      <c r="F115" s="582"/>
      <c r="G115" s="582"/>
      <c r="H115" s="582"/>
      <c r="I115" s="582"/>
      <c r="J115" s="582"/>
      <c r="K115" s="583"/>
      <c r="L115" s="584"/>
      <c r="M115" s="585"/>
      <c r="N115" s="1154"/>
      <c r="O115" s="1154"/>
      <c r="P115" s="2683"/>
      <c r="Q115" s="503"/>
    </row>
    <row r="116" spans="1:17" ht="15.75" thickBot="1">
      <c r="A116" s="533"/>
      <c r="B116" s="542"/>
      <c r="C116" s="543">
        <v>100</v>
      </c>
      <c r="D116" s="543">
        <f t="shared" ref="D116:M116" si="25">C116-$K39</f>
        <v>98</v>
      </c>
      <c r="E116" s="543">
        <f t="shared" si="25"/>
        <v>96</v>
      </c>
      <c r="F116" s="543">
        <f t="shared" si="25"/>
        <v>94</v>
      </c>
      <c r="G116" s="543">
        <f t="shared" si="25"/>
        <v>92</v>
      </c>
      <c r="H116" s="543">
        <f t="shared" si="25"/>
        <v>90</v>
      </c>
      <c r="I116" s="543">
        <f t="shared" si="25"/>
        <v>88</v>
      </c>
      <c r="J116" s="543">
        <f t="shared" si="25"/>
        <v>86</v>
      </c>
      <c r="K116" s="543">
        <f t="shared" si="25"/>
        <v>84</v>
      </c>
      <c r="L116" s="543">
        <f t="shared" si="25"/>
        <v>82</v>
      </c>
      <c r="M116" s="544">
        <f t="shared" si="25"/>
        <v>80</v>
      </c>
      <c r="N116" s="1155"/>
      <c r="O116" s="1155"/>
      <c r="P116" s="2683"/>
      <c r="Q116" s="503"/>
    </row>
    <row r="117" spans="1:17" ht="15" thickTop="1">
      <c r="A117" s="598"/>
      <c r="B117" s="537" t="s">
        <v>2616</v>
      </c>
      <c r="C117" s="2985" t="s">
        <v>3219</v>
      </c>
      <c r="D117" s="2985" t="s">
        <v>3220</v>
      </c>
      <c r="E117" s="2985" t="s">
        <v>3221</v>
      </c>
      <c r="F117" s="2985" t="s">
        <v>3222</v>
      </c>
      <c r="G117" s="2985" t="s">
        <v>3223</v>
      </c>
      <c r="H117" s="582"/>
      <c r="I117" s="582"/>
      <c r="J117" s="582"/>
      <c r="K117" s="583"/>
      <c r="L117" s="584"/>
      <c r="M117" s="585"/>
      <c r="N117" s="1154"/>
      <c r="O117" s="1154"/>
      <c r="P117" s="2683"/>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3"/>
      <c r="Q118" s="503"/>
    </row>
    <row r="119" spans="1:17" ht="15" thickTop="1">
      <c r="A119" s="598"/>
      <c r="B119" s="635" t="s">
        <v>2699</v>
      </c>
      <c r="C119" s="582"/>
      <c r="D119" s="582"/>
      <c r="E119" s="582"/>
      <c r="F119" s="582"/>
      <c r="G119" s="582"/>
      <c r="H119" s="582"/>
      <c r="I119" s="582"/>
      <c r="J119" s="582"/>
      <c r="K119" s="582"/>
      <c r="L119" s="2688"/>
      <c r="M119" s="2689"/>
      <c r="N119" s="1155"/>
      <c r="O119" s="1155"/>
      <c r="P119" s="2690"/>
      <c r="Q119" s="637"/>
    </row>
    <row r="120" spans="1:17" ht="15.75" thickBot="1">
      <c r="A120" s="533"/>
      <c r="B120" s="542"/>
      <c r="C120" s="581">
        <v>100</v>
      </c>
      <c r="D120" s="543">
        <f>C120-$K41</f>
        <v>100</v>
      </c>
      <c r="E120" s="543">
        <f t="shared" ref="E120:M120" si="26">D120-$K41</f>
        <v>100</v>
      </c>
      <c r="F120" s="543">
        <f t="shared" si="26"/>
        <v>100</v>
      </c>
      <c r="G120" s="543">
        <f t="shared" si="26"/>
        <v>100</v>
      </c>
      <c r="H120" s="543">
        <f t="shared" si="26"/>
        <v>100</v>
      </c>
      <c r="I120" s="543">
        <f t="shared" si="26"/>
        <v>100</v>
      </c>
      <c r="J120" s="543">
        <f t="shared" si="26"/>
        <v>100</v>
      </c>
      <c r="K120" s="543">
        <f t="shared" si="26"/>
        <v>100</v>
      </c>
      <c r="L120" s="543">
        <f t="shared" si="26"/>
        <v>100</v>
      </c>
      <c r="M120" s="543">
        <f t="shared" si="26"/>
        <v>100</v>
      </c>
      <c r="N120" s="1155"/>
      <c r="O120" s="1155"/>
      <c r="P120" s="2683"/>
      <c r="Q120" s="503"/>
    </row>
    <row r="121" spans="1:17" s="470" customFormat="1" ht="15" thickTop="1">
      <c r="A121" s="592"/>
      <c r="B121" s="537" t="s">
        <v>2682</v>
      </c>
      <c r="C121" s="553"/>
      <c r="D121" s="553"/>
      <c r="E121" s="553"/>
      <c r="F121" s="582"/>
      <c r="G121" s="554"/>
      <c r="H121" s="554"/>
      <c r="I121" s="554"/>
      <c r="J121" s="554"/>
      <c r="K121" s="554"/>
      <c r="L121" s="555"/>
      <c r="M121" s="556"/>
      <c r="N121" s="1156"/>
      <c r="O121" s="1156"/>
      <c r="P121" s="2684"/>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4"/>
      <c r="Q122" s="558"/>
    </row>
    <row r="123" spans="1:17" ht="15" thickTop="1">
      <c r="A123" s="598"/>
      <c r="B123" s="537" t="s">
        <v>2618</v>
      </c>
      <c r="C123" s="2985" t="s">
        <v>3248</v>
      </c>
      <c r="D123" s="2985" t="s">
        <v>3249</v>
      </c>
      <c r="E123" s="2985" t="s">
        <v>3250</v>
      </c>
      <c r="F123" s="2986" t="s">
        <v>3251</v>
      </c>
      <c r="G123" s="582"/>
      <c r="H123" s="582"/>
      <c r="I123" s="582"/>
      <c r="J123" s="582"/>
      <c r="K123" s="583"/>
      <c r="L123" s="584"/>
      <c r="M123" s="585"/>
      <c r="N123" s="1154"/>
      <c r="O123" s="1154"/>
      <c r="P123" s="2683"/>
      <c r="Q123" s="503"/>
    </row>
    <row r="124" spans="1:17" ht="15.75" thickBot="1">
      <c r="A124" s="533"/>
      <c r="B124" s="542"/>
      <c r="C124" s="543">
        <v>100</v>
      </c>
      <c r="D124" s="543">
        <f t="shared" ref="D124:M124" si="27">C124-$K43</f>
        <v>98</v>
      </c>
      <c r="E124" s="543">
        <f t="shared" si="27"/>
        <v>96</v>
      </c>
      <c r="F124" s="543">
        <f t="shared" si="27"/>
        <v>94</v>
      </c>
      <c r="G124" s="543">
        <f t="shared" si="27"/>
        <v>92</v>
      </c>
      <c r="H124" s="543">
        <f t="shared" si="27"/>
        <v>90</v>
      </c>
      <c r="I124" s="543">
        <f t="shared" si="27"/>
        <v>88</v>
      </c>
      <c r="J124" s="543">
        <f t="shared" si="27"/>
        <v>86</v>
      </c>
      <c r="K124" s="543">
        <f t="shared" si="27"/>
        <v>84</v>
      </c>
      <c r="L124" s="543">
        <f t="shared" si="27"/>
        <v>82</v>
      </c>
      <c r="M124" s="544">
        <f t="shared" si="27"/>
        <v>80</v>
      </c>
      <c r="N124" s="1155"/>
      <c r="O124" s="1155"/>
      <c r="P124" s="2683"/>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54"/>
      <c r="O125" s="1154"/>
      <c r="P125" s="2684"/>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3"/>
      <c r="Q126" s="503"/>
    </row>
    <row r="127" spans="1:17" s="470" customFormat="1" ht="15" thickTop="1">
      <c r="A127" s="592"/>
      <c r="B127" s="537" t="str">
        <f>B45</f>
        <v>楼层</v>
      </c>
      <c r="C127" s="553"/>
      <c r="D127" s="553"/>
      <c r="E127" s="553"/>
      <c r="F127" s="553"/>
      <c r="G127" s="553"/>
      <c r="H127" s="554"/>
      <c r="I127" s="554"/>
      <c r="J127" s="554"/>
      <c r="K127" s="554"/>
      <c r="L127" s="555"/>
      <c r="M127" s="556"/>
      <c r="N127" s="1156"/>
      <c r="O127" s="1156"/>
      <c r="P127" s="2684"/>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4"/>
      <c r="Q128" s="558"/>
    </row>
    <row r="129" spans="1:17" ht="15" thickTop="1">
      <c r="A129" s="598"/>
      <c r="B129" s="537">
        <f>B46</f>
        <v>111</v>
      </c>
      <c r="C129" s="553"/>
      <c r="D129" s="553"/>
      <c r="E129" s="553"/>
      <c r="F129" s="553"/>
      <c r="G129" s="582"/>
      <c r="H129" s="582"/>
      <c r="I129" s="582"/>
      <c r="J129" s="582"/>
      <c r="K129" s="583"/>
      <c r="L129" s="584"/>
      <c r="M129" s="585"/>
      <c r="N129" s="1154"/>
      <c r="O129" s="1154"/>
      <c r="P129" s="2683"/>
      <c r="Q129" s="503"/>
    </row>
    <row r="130" spans="1:17" ht="15.75" thickBot="1">
      <c r="A130" s="533"/>
      <c r="B130" s="542"/>
      <c r="C130" s="559"/>
      <c r="D130" s="559"/>
      <c r="E130" s="559"/>
      <c r="F130" s="559"/>
      <c r="G130" s="535"/>
      <c r="H130" s="535"/>
      <c r="I130" s="535"/>
      <c r="J130" s="535"/>
      <c r="K130" s="535"/>
      <c r="L130" s="535"/>
      <c r="M130" s="536"/>
      <c r="N130" s="1155"/>
      <c r="O130" s="1155"/>
      <c r="P130" s="2683"/>
      <c r="Q130" s="503"/>
    </row>
    <row r="131" spans="1:17" ht="15" thickTop="1">
      <c r="A131" s="598"/>
      <c r="B131" s="545">
        <f>B47</f>
        <v>111</v>
      </c>
      <c r="C131" s="522"/>
      <c r="D131" s="522"/>
      <c r="E131" s="522"/>
      <c r="F131" s="522"/>
      <c r="G131" s="586"/>
      <c r="H131" s="586"/>
      <c r="I131" s="586"/>
      <c r="J131" s="586"/>
      <c r="K131" s="522"/>
      <c r="L131" s="523"/>
      <c r="M131" s="589"/>
      <c r="N131" s="1154"/>
      <c r="O131" s="1154"/>
      <c r="P131" s="2683"/>
      <c r="Q131" s="503"/>
    </row>
    <row r="132" spans="1:17" ht="15.75" thickBot="1">
      <c r="A132" s="2635"/>
      <c r="B132" s="568"/>
      <c r="C132" s="569"/>
      <c r="D132" s="569"/>
      <c r="E132" s="569"/>
      <c r="F132" s="569"/>
      <c r="G132" s="590"/>
      <c r="H132" s="590"/>
      <c r="I132" s="590"/>
      <c r="J132" s="590"/>
      <c r="K132" s="590"/>
      <c r="L132" s="590"/>
      <c r="M132" s="591"/>
      <c r="N132" s="1155"/>
      <c r="O132" s="1155"/>
      <c r="P132" s="2683"/>
      <c r="Q132" s="503"/>
    </row>
  </sheetData>
  <sheetProtection formatCells="0" formatColumns="0" formatRows="0"/>
  <mergeCells count="40">
    <mergeCell ref="AB4:AB6"/>
    <mergeCell ref="Y7:Z7"/>
    <mergeCell ref="R4:S6"/>
    <mergeCell ref="E5:F5"/>
    <mergeCell ref="I5:J5"/>
    <mergeCell ref="C6:D6"/>
    <mergeCell ref="G5:H5"/>
    <mergeCell ref="E6:F6"/>
    <mergeCell ref="G6:H6"/>
    <mergeCell ref="AA4:AA6"/>
    <mergeCell ref="P9:P14"/>
    <mergeCell ref="Y9:Y14"/>
    <mergeCell ref="AC4:AC6"/>
    <mergeCell ref="C4:D4"/>
    <mergeCell ref="E4:F4"/>
    <mergeCell ref="G4:H4"/>
    <mergeCell ref="I4:J4"/>
    <mergeCell ref="P4:Q6"/>
    <mergeCell ref="T4:U6"/>
    <mergeCell ref="V4:W6"/>
    <mergeCell ref="I6:J6"/>
    <mergeCell ref="P8:Q8"/>
    <mergeCell ref="Y8:Z8"/>
    <mergeCell ref="Y4:Z6"/>
    <mergeCell ref="P7:Q7"/>
    <mergeCell ref="C5:D5"/>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F55 H53:H55 J53:J55">
    <cfRule type="containsText" dxfId="106" priority="16" stopIfTrue="1" operator="containsText" text="超过">
      <formula>NOT(ISERROR(SEARCH("超过",F53)))</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I35 G35 E35">
      <formula1>办公建筑结构</formula1>
    </dataValidation>
    <dataValidation type="list" allowBlank="1" showInputMessage="1" showErrorMessage="1" sqref="E24 C24 I24 G24">
      <formula1>环境</formula1>
    </dataValidation>
    <dataValidation type="list" allowBlank="1" showInputMessage="1" showErrorMessage="1" sqref="E18 C18 I18 G18">
      <formula1>交通便捷度</formula1>
    </dataValidation>
    <dataValidation type="list" allowBlank="1" showInputMessage="1" showErrorMessage="1" sqref="E20 C20 G20 I20">
      <formula1>公共配套设施</formula1>
    </dataValidation>
    <dataValidation type="list" allowBlank="1" showInputMessage="1" showErrorMessage="1" sqref="C44 I44 G44 E44">
      <formula1>内部装修维护情况</formula1>
    </dataValidation>
    <dataValidation type="list" allowBlank="1" showInputMessage="1" showErrorMessage="1" sqref="D1">
      <formula1>项目类型</formula1>
    </dataValidation>
    <dataValidation type="list" allowBlank="1" showInputMessage="1" showErrorMessage="1" sqref="C10 I10 G10 E10">
      <formula1>土地年限区间</formula1>
    </dataValidation>
    <dataValidation type="list" allowBlank="1" showInputMessage="1" showErrorMessage="1" sqref="E9 I9 G9">
      <formula1>办公用途</formula1>
    </dataValidation>
    <dataValidation type="list" allowBlank="1" showInputMessage="1" showErrorMessage="1" sqref="C16 I16 G16 E16">
      <formula1>办公集聚程度</formula1>
    </dataValidation>
    <dataValidation type="list" allowBlank="1" showInputMessage="1" showErrorMessage="1" sqref="G26 I26 E26 C26">
      <formula1>办公道路级别</formula1>
    </dataValidation>
    <dataValidation type="list" allowBlank="1" showInputMessage="1" showErrorMessage="1" sqref="C28 I28 G28 E28">
      <formula1>办公朝向</formula1>
    </dataValidation>
    <dataValidation type="list" allowBlank="1" showInputMessage="1" showErrorMessage="1" sqref="C27 I27 G27 E27">
      <formula1>办公楼层</formula1>
    </dataValidation>
    <dataValidation type="list" allowBlank="1" showInputMessage="1" showErrorMessage="1" sqref="C33 I33 G33 E33">
      <formula1>办公建筑类型</formula1>
    </dataValidation>
    <dataValidation type="list" allowBlank="1" showInputMessage="1" showErrorMessage="1" sqref="C36 I36 G36 E36">
      <formula1>办公公共部分装修</formula1>
    </dataValidation>
    <dataValidation type="list" allowBlank="1" showInputMessage="1" showErrorMessage="1" sqref="C38 I38 G38 E38">
      <formula1>写字楼等级</formula1>
    </dataValidation>
    <dataValidation type="list" allowBlank="1" showInputMessage="1" showErrorMessage="1" sqref="C39 I39 G39 E39">
      <formula1>办公物业管理</formula1>
    </dataValidation>
    <dataValidation type="list" allowBlank="1" showInputMessage="1" showErrorMessage="1" sqref="C40 I40 G40 E40">
      <formula1>办公基础设施水平</formula1>
    </dataValidation>
    <dataValidation type="list" allowBlank="1" showInputMessage="1" showErrorMessage="1" sqref="C41 I41 G41 E41">
      <formula1>办公层高</formula1>
    </dataValidation>
    <dataValidation type="list" allowBlank="1" showInputMessage="1" showErrorMessage="1" sqref="C43 I43 G43 E43">
      <formula1>办公内部装修</formula1>
    </dataValidation>
    <dataValidation type="list" allowBlank="1" showInputMessage="1" showErrorMessage="1" sqref="C8 I8 G8 E8">
      <formula1>办公交易情况</formula1>
    </dataValidation>
    <dataValidation type="list" allowBlank="1" showInputMessage="1" showErrorMessage="1" sqref="C22 I22 G22 E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85" zoomScaleNormal="85" zoomScaleSheetLayoutView="90" workbookViewId="0">
      <selection activeCell="M6" sqref="M6"/>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3240</v>
      </c>
      <c r="D1" s="1821" t="s">
        <v>70</v>
      </c>
      <c r="E1" s="1822" t="s">
        <v>1387</v>
      </c>
      <c r="F1" s="1284">
        <f ca="1">J53</f>
        <v>38.020000000000003</v>
      </c>
      <c r="G1" s="183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20072</v>
      </c>
      <c r="C2" s="1846" t="s">
        <v>1516</v>
      </c>
      <c r="D2" s="1846"/>
      <c r="E2" s="1847"/>
      <c r="F2" s="1848"/>
      <c r="G2" s="1849"/>
      <c r="H2" s="1841"/>
      <c r="I2" s="1841"/>
      <c r="J2" s="1841"/>
      <c r="K2" s="1842"/>
      <c r="L2" s="1841"/>
      <c r="M2" s="1841"/>
    </row>
    <row r="3" spans="1:37" ht="18" customHeight="1" thickBot="1">
      <c r="A3" s="1850" t="s">
        <v>1517</v>
      </c>
      <c r="B3" s="1851">
        <f ca="1">IF(ISERROR(B2*10000/F43),0,ROUND(B2*10000/F43,0))</f>
        <v>7782</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1273</v>
      </c>
      <c r="D5" s="1823" t="s">
        <v>1402</v>
      </c>
      <c r="E5" s="1294"/>
      <c r="F5" s="1295"/>
      <c r="G5" s="1852"/>
      <c r="H5" s="344">
        <v>1</v>
      </c>
      <c r="I5" s="345" t="s">
        <v>1401</v>
      </c>
      <c r="J5" s="1293">
        <f ca="1">J6+J10+J12</f>
        <v>0</v>
      </c>
      <c r="K5" s="1823" t="s">
        <v>1402</v>
      </c>
      <c r="L5" s="1294"/>
      <c r="M5" s="1295"/>
    </row>
    <row r="6" spans="1:37" ht="18" customHeight="1">
      <c r="A6" s="1292" t="s">
        <v>1035</v>
      </c>
      <c r="B6" s="3256" t="s">
        <v>1403</v>
      </c>
      <c r="C6" s="1297">
        <f ca="1">ROUND(F6*F8*F7*(1-F9)/10000,0)</f>
        <v>1271</v>
      </c>
      <c r="D6" s="164" t="s">
        <v>3031</v>
      </c>
      <c r="E6" s="347" t="s">
        <v>1405</v>
      </c>
      <c r="F6" s="348">
        <f ca="1">INDIRECT("'数据-取费表'!u"&amp;$G$1)</f>
        <v>1.5</v>
      </c>
      <c r="G6" s="1852"/>
      <c r="H6" s="1292" t="s">
        <v>1035</v>
      </c>
      <c r="I6" s="3256" t="s">
        <v>1403</v>
      </c>
      <c r="J6" s="346">
        <f ca="1">ROUND(M6*M8*M7*(1-M9)/10000,0)</f>
        <v>0</v>
      </c>
      <c r="K6" s="164" t="s">
        <v>3030</v>
      </c>
      <c r="L6" s="347" t="s">
        <v>1405</v>
      </c>
      <c r="M6" s="348">
        <f ca="1">INDIRECT("'数据-取费表'!z"&amp;$G$1)</f>
        <v>0</v>
      </c>
    </row>
    <row r="7" spans="1:37" ht="18" customHeight="1">
      <c r="A7" s="1296"/>
      <c r="B7" s="3257"/>
      <c r="C7" s="1298"/>
      <c r="D7" s="352"/>
      <c r="E7" s="1299" t="s">
        <v>1406</v>
      </c>
      <c r="F7" s="348">
        <f ca="1">IF(INDIRECT("'数据-取费表'!ah"&amp;$G$1)="",INDIRECT("'数据-取费表'!k"&amp;$G$1),INDIRECT("'数据-取费表'!ah"&amp;$G$1))</f>
        <v>25792.44</v>
      </c>
      <c r="G7" s="1852"/>
      <c r="H7" s="349"/>
      <c r="I7" s="3257"/>
      <c r="J7" s="351"/>
      <c r="K7" s="352"/>
      <c r="L7" s="347" t="s">
        <v>1406</v>
      </c>
      <c r="M7" s="348">
        <f ca="1">F7</f>
        <v>25792.44</v>
      </c>
    </row>
    <row r="8" spans="1:37" ht="18" customHeight="1">
      <c r="A8" s="349"/>
      <c r="B8" s="3257"/>
      <c r="C8" s="351"/>
      <c r="D8" s="352"/>
      <c r="E8" s="347" t="s">
        <v>1407</v>
      </c>
      <c r="F8" s="348">
        <f ca="1">INDIRECT("'数据-取费表'!ai"&amp;$G$1)</f>
        <v>365</v>
      </c>
      <c r="G8" s="1852"/>
      <c r="H8" s="349"/>
      <c r="I8" s="3257"/>
      <c r="J8" s="351"/>
      <c r="K8" s="352"/>
      <c r="L8" s="347" t="s">
        <v>1407</v>
      </c>
      <c r="M8" s="348">
        <f ca="1">INDIRECT("'数据-取费表'!ai"&amp;$G$1)</f>
        <v>365</v>
      </c>
    </row>
    <row r="9" spans="1:37" ht="18" customHeight="1">
      <c r="A9" s="349"/>
      <c r="B9" s="3258"/>
      <c r="C9" s="351"/>
      <c r="D9" s="352"/>
      <c r="E9" s="347" t="s">
        <v>1408</v>
      </c>
      <c r="F9" s="357">
        <f ca="1">INDIRECT("'数据-取费表'!w"&amp;$G$1)</f>
        <v>0.1</v>
      </c>
      <c r="G9" s="1852"/>
      <c r="H9" s="349"/>
      <c r="I9" s="3258"/>
      <c r="J9" s="351"/>
      <c r="K9" s="352"/>
      <c r="L9" s="358" t="s">
        <v>1408</v>
      </c>
      <c r="M9" s="359">
        <f ca="1">INDIRECT("'数据-取费表'!ab"&amp;$G$1)</f>
        <v>0</v>
      </c>
    </row>
    <row r="10" spans="1:37" ht="18" customHeight="1">
      <c r="A10" s="1292" t="s">
        <v>1039</v>
      </c>
      <c r="B10" s="1824" t="s">
        <v>1409</v>
      </c>
      <c r="C10" s="361">
        <f ca="1">ROUND(IF(F10="押一",C6/12*F11,IF(F10="押二",C6/12*2*F11,IF(F10="押三",C6/12*3*F11,C11*F11))),0)</f>
        <v>2</v>
      </c>
      <c r="D10" s="1825" t="s">
        <v>3040</v>
      </c>
      <c r="E10" s="358" t="s">
        <v>1410</v>
      </c>
      <c r="F10" s="1367" t="s">
        <v>3205</v>
      </c>
      <c r="G10" s="1852"/>
      <c r="H10" s="1292" t="s">
        <v>1039</v>
      </c>
      <c r="I10" s="1824" t="s">
        <v>1409</v>
      </c>
      <c r="J10" s="346">
        <f ca="1">ROUND(IF(M10="押一",J6/12*M11,IF(M10="押二",J6/12*2*M11,IF(M10="押三",J6/12*3*M11,J11*M11))),0)</f>
        <v>0</v>
      </c>
      <c r="K10" s="1825" t="s">
        <v>3039</v>
      </c>
      <c r="L10" s="358" t="s">
        <v>1410</v>
      </c>
      <c r="M10" s="1367" t="s">
        <v>1411</v>
      </c>
    </row>
    <row r="11" spans="1:37" ht="18" customHeight="1">
      <c r="A11" s="353"/>
      <c r="B11" s="1826" t="s">
        <v>1388</v>
      </c>
      <c r="C11" s="1180"/>
      <c r="D11" s="1827"/>
      <c r="E11" s="358" t="s">
        <v>1412</v>
      </c>
      <c r="F11" s="359">
        <f ca="1">'数据-取费表'!B39</f>
        <v>1.4999999999999999E-2</v>
      </c>
      <c r="G11" s="1852"/>
      <c r="H11" s="1300"/>
      <c r="I11" s="1826" t="s">
        <v>1388</v>
      </c>
      <c r="J11" s="1180"/>
      <c r="K11" s="747"/>
      <c r="L11" s="358" t="s">
        <v>1412</v>
      </c>
      <c r="M11" s="1058">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16180</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3" t="s">
        <v>1034</v>
      </c>
      <c r="B14" s="347" t="s">
        <v>1417</v>
      </c>
      <c r="C14" s="363">
        <f ca="1">INDIRECT("'数据-取费表'!m"&amp;$G$1)+INDIRECT("'数据-取费表'!t"&amp;$G$1)</f>
        <v>11607</v>
      </c>
      <c r="D14" s="1801" t="s">
        <v>1418</v>
      </c>
      <c r="E14" s="1795"/>
      <c r="F14" s="364"/>
      <c r="G14" s="1852"/>
      <c r="H14" s="1203" t="s">
        <v>1035</v>
      </c>
      <c r="I14" s="347" t="s">
        <v>1419</v>
      </c>
      <c r="J14" s="24">
        <f ca="1">C29</f>
        <v>16180</v>
      </c>
      <c r="K14" s="15"/>
      <c r="L14" s="981"/>
      <c r="M14" s="982"/>
    </row>
    <row r="15" spans="1:37" s="1859" customFormat="1" ht="18" customHeight="1" thickBot="1">
      <c r="A15" s="1203" t="s">
        <v>1036</v>
      </c>
      <c r="B15" s="347" t="s">
        <v>1420</v>
      </c>
      <c r="C15" s="24">
        <f ca="1">ROUND(C14*F15,0)</f>
        <v>348</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379</v>
      </c>
      <c r="K16" s="1338" t="s">
        <v>1425</v>
      </c>
      <c r="L16" s="1339"/>
      <c r="M16" s="1295"/>
    </row>
    <row r="17" spans="1:37" s="1859" customFormat="1" ht="18" customHeight="1">
      <c r="A17" s="1203" t="s">
        <v>1390</v>
      </c>
      <c r="B17" s="347" t="s">
        <v>1426</v>
      </c>
      <c r="C17" s="24">
        <f ca="1">ROUND(F17*(F43+INDIRECT("'数据-取费表'!S"&amp;$G$1))/10000,0)</f>
        <v>387</v>
      </c>
      <c r="D17" s="347" t="s">
        <v>1427</v>
      </c>
      <c r="E17" s="347" t="s">
        <v>1428</v>
      </c>
      <c r="F17" s="26">
        <f>'数据-取费表'!B35</f>
        <v>150</v>
      </c>
      <c r="G17" s="1855"/>
      <c r="H17" s="1203" t="s">
        <v>1035</v>
      </c>
      <c r="I17" s="347" t="s">
        <v>1429</v>
      </c>
      <c r="J17" s="24">
        <f ca="1">ROUND(IF(项目基本情况!B11="自然人",J5*M17,J18+J19+J20),1)</f>
        <v>135.9</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174</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12516</v>
      </c>
      <c r="D19" s="140" t="s">
        <v>1436</v>
      </c>
      <c r="E19" s="1819"/>
      <c r="F19" s="26"/>
      <c r="G19" s="1852"/>
      <c r="H19" s="1203" t="s">
        <v>1036</v>
      </c>
      <c r="I19" s="347" t="s">
        <v>1437</v>
      </c>
      <c r="J19" s="24">
        <f ca="1">IF(K19="按租金收入计税",ROUND(J5*M19,2),ROUND(C29*M19*0.7,2))</f>
        <v>135.91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125</v>
      </c>
      <c r="D20" s="369" t="s">
        <v>1440</v>
      </c>
      <c r="E20" s="347" t="s">
        <v>1422</v>
      </c>
      <c r="F20" s="367">
        <f>'数据-取费表'!B37</f>
        <v>0.01</v>
      </c>
      <c r="G20" s="1855"/>
      <c r="H20" s="1203" t="s">
        <v>1389</v>
      </c>
      <c r="I20" s="164" t="s">
        <v>1441</v>
      </c>
      <c r="J20" s="25">
        <f ca="1">ROUND(M20*M21/10000,2)</f>
        <v>0</v>
      </c>
      <c r="K20" s="370" t="s">
        <v>1442</v>
      </c>
      <c r="L20" s="347" t="s">
        <v>1443</v>
      </c>
      <c r="M20" s="371">
        <f>'数据-取费表'!B52</f>
        <v>11</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0.01</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242.7</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601</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f ca="1">ROUND(J13*M23,1)</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ROUND(J5*M24,1)</f>
        <v>0</v>
      </c>
      <c r="K24" s="1343" t="s">
        <v>1459</v>
      </c>
      <c r="L24" s="1341" t="s">
        <v>1455</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0" t="s">
        <v>1031</v>
      </c>
      <c r="I25" s="1345" t="s">
        <v>1463</v>
      </c>
      <c r="J25" s="355">
        <f ca="1">J5-J16</f>
        <v>-379</v>
      </c>
      <c r="K25" s="1346" t="s">
        <v>1464</v>
      </c>
      <c r="L25" s="1347"/>
      <c r="M25" s="1348"/>
    </row>
    <row r="26" spans="1:37">
      <c r="A26" s="1203" t="s">
        <v>1034</v>
      </c>
      <c r="B26" s="347" t="s">
        <v>1465</v>
      </c>
      <c r="C26" s="24">
        <f ca="1">ROUND((C19+C20)*F26,0)</f>
        <v>1896</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1.5E-3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16180</v>
      </c>
      <c r="D29" s="1343"/>
      <c r="E29" s="1341"/>
      <c r="F29" s="1344"/>
      <c r="G29" s="1855"/>
      <c r="H29" s="380" t="s">
        <v>1033</v>
      </c>
      <c r="I29" s="381" t="s">
        <v>1479</v>
      </c>
      <c r="J29" s="382">
        <f ca="1">ROUND(J26/(1+F40)^F41,0)</f>
        <v>0</v>
      </c>
      <c r="K29" s="383" t="s">
        <v>1480</v>
      </c>
      <c r="L29" s="384"/>
      <c r="M29" s="385">
        <f ca="1">INDIRECT("'数据-取费表'!k"&amp;$G$1)</f>
        <v>25792.44</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499</v>
      </c>
      <c r="D30" s="1338" t="s">
        <v>1425</v>
      </c>
      <c r="E30" s="1339"/>
      <c r="F30" s="1295"/>
      <c r="G30" s="1852"/>
      <c r="H30" s="744"/>
      <c r="I30" s="745"/>
      <c r="J30" s="746"/>
      <c r="K30" s="747"/>
      <c r="L30" s="748"/>
      <c r="M30" s="749"/>
    </row>
    <row r="31" spans="1:37" ht="18" customHeight="1">
      <c r="A31" s="1203" t="s">
        <v>1035</v>
      </c>
      <c r="B31" s="347" t="s">
        <v>1429</v>
      </c>
      <c r="C31" s="24">
        <f ca="1">ROUND(IF(项目基本情况!B11="自然人",C5*F31,C32+C33+C34),1)</f>
        <v>219.4</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66.680000000000007</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152.76</v>
      </c>
      <c r="D33" s="1829" t="s">
        <v>3212</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0</v>
      </c>
      <c r="D34" s="370" t="s">
        <v>1442</v>
      </c>
      <c r="E34" s="347" t="s">
        <v>1443</v>
      </c>
      <c r="F34" s="371">
        <f>'数据-取费表'!B52</f>
        <v>11</v>
      </c>
      <c r="G34" s="1852"/>
      <c r="H34" s="744"/>
      <c r="I34" s="1861"/>
      <c r="J34" s="1862"/>
      <c r="K34" s="1864"/>
      <c r="L34" s="1865"/>
      <c r="M34" s="1865"/>
    </row>
    <row r="35" spans="1:18" ht="18" customHeight="1">
      <c r="A35" s="1354"/>
      <c r="B35" s="1352"/>
      <c r="C35" s="29"/>
      <c r="D35" s="373"/>
      <c r="E35" s="347" t="s">
        <v>1447</v>
      </c>
      <c r="F35" s="348">
        <f ca="1">INDIRECT("'数据-取费表'!r"&amp;$G$1)</f>
        <v>0</v>
      </c>
      <c r="G35" s="1852"/>
      <c r="H35" s="744"/>
      <c r="I35" s="1861"/>
      <c r="J35" s="1862"/>
      <c r="K35" s="1863"/>
      <c r="L35" s="1860"/>
      <c r="M35" s="1860"/>
    </row>
    <row r="36" spans="1:18" ht="18" customHeight="1">
      <c r="A36" s="1353" t="s">
        <v>1039</v>
      </c>
      <c r="B36" s="347" t="s">
        <v>1449</v>
      </c>
      <c r="C36" s="24">
        <f ca="1">ROUND(C29*F36,1)</f>
        <v>242.7</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24.3</v>
      </c>
      <c r="D37" s="1799" t="s">
        <v>1454</v>
      </c>
      <c r="E37" s="347" t="s">
        <v>1455</v>
      </c>
      <c r="F37" s="376">
        <f ca="1">INDIRECT("'数据-取费表'!Al"&amp;$G$1)</f>
        <v>1.5E-3</v>
      </c>
      <c r="G37" s="1852"/>
      <c r="H37" s="1860"/>
      <c r="I37" s="1861"/>
      <c r="J37" s="1862"/>
      <c r="K37" s="750"/>
      <c r="L37" s="1860"/>
      <c r="M37" s="1860"/>
    </row>
    <row r="38" spans="1:18" ht="18" customHeight="1" thickBot="1">
      <c r="A38" s="1340" t="s">
        <v>1393</v>
      </c>
      <c r="B38" s="1341" t="s">
        <v>1439</v>
      </c>
      <c r="C38" s="1342">
        <f ca="1">ROUND(C5*F38,1)</f>
        <v>12.7</v>
      </c>
      <c r="D38" s="1343" t="s">
        <v>1459</v>
      </c>
      <c r="E38" s="1341" t="s">
        <v>1455</v>
      </c>
      <c r="F38" s="1337">
        <f ca="1">INDIRECT("'数据-取费表'!Am"&amp;$G$1)</f>
        <v>0.01</v>
      </c>
      <c r="G38" s="1852"/>
      <c r="H38" s="1860"/>
      <c r="I38" s="1861"/>
      <c r="J38" s="1862"/>
      <c r="K38" s="1866"/>
      <c r="L38" s="1860"/>
      <c r="M38" s="1860"/>
    </row>
    <row r="39" spans="1:18" ht="24.6" customHeight="1" thickTop="1">
      <c r="A39" s="1330" t="s">
        <v>1031</v>
      </c>
      <c r="B39" s="1345" t="s">
        <v>1483</v>
      </c>
      <c r="C39" s="355">
        <f ca="1">C5-C30</f>
        <v>774</v>
      </c>
      <c r="D39" s="1346" t="s">
        <v>1484</v>
      </c>
      <c r="E39" s="1347"/>
      <c r="F39" s="1348"/>
      <c r="G39" s="1852"/>
      <c r="H39" s="1860"/>
      <c r="I39" s="1861"/>
      <c r="J39" s="1862"/>
      <c r="K39" s="1866"/>
      <c r="L39" s="1860"/>
      <c r="M39" s="1860"/>
    </row>
    <row r="40" spans="1:18" ht="18" customHeight="1">
      <c r="A40" s="344" t="s">
        <v>1032</v>
      </c>
      <c r="B40" s="345" t="s">
        <v>1485</v>
      </c>
      <c r="C40" s="346">
        <f ca="1">ROUND(C39*(1-((1+F42)/(1+F40))^F41)/(F40-F42),0)</f>
        <v>20072</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38.020000000000003</v>
      </c>
      <c r="G41" s="1852"/>
      <c r="H41" s="731"/>
      <c r="I41" s="1861"/>
      <c r="J41" s="1862"/>
      <c r="K41" s="750"/>
      <c r="L41" s="731"/>
      <c r="M41" s="731"/>
    </row>
    <row r="42" spans="1:18" ht="18" customHeight="1">
      <c r="A42" s="353"/>
      <c r="B42" s="354"/>
      <c r="C42" s="355"/>
      <c r="D42" s="373"/>
      <c r="E42" s="347" t="s">
        <v>1477</v>
      </c>
      <c r="F42" s="357">
        <f ca="1">INDIRECT("'数据-取费表'!v"&amp;$G$1)</f>
        <v>0.03</v>
      </c>
      <c r="G42" s="1852"/>
      <c r="H42" s="731"/>
      <c r="I42" s="1861"/>
      <c r="J42" s="1862"/>
      <c r="K42" s="750"/>
      <c r="L42" s="731"/>
      <c r="M42" s="731"/>
    </row>
    <row r="43" spans="1:18" ht="18" customHeight="1" thickBot="1">
      <c r="A43" s="380" t="s">
        <v>1033</v>
      </c>
      <c r="B43" s="381" t="s">
        <v>1487</v>
      </c>
      <c r="C43" s="382">
        <f ca="1">ROUND(C40*10000/F43,0)</f>
        <v>7782</v>
      </c>
      <c r="D43" s="383" t="s">
        <v>1488</v>
      </c>
      <c r="E43" s="384" t="s">
        <v>1489</v>
      </c>
      <c r="F43" s="385">
        <f ca="1">INDIRECT("'数据-取费表'!k"&amp;$G$1)</f>
        <v>25792.44</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-47504</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8" t="s">
        <v>1398</v>
      </c>
      <c r="D47" s="1199" t="s">
        <v>1399</v>
      </c>
      <c r="E47" s="1280" t="s">
        <v>1400</v>
      </c>
      <c r="F47" s="1281"/>
      <c r="G47" s="791"/>
      <c r="I47" s="1881" t="s">
        <v>1526</v>
      </c>
      <c r="J47" s="1882" t="s">
        <v>3213</v>
      </c>
      <c r="K47" s="1883" t="s">
        <v>1527</v>
      </c>
      <c r="L47" s="1884">
        <f ca="1">INDIRECT("'数据-取费表'!d"&amp;$G$1)</f>
        <v>40</v>
      </c>
      <c r="M47" s="1839" t="str">
        <f>IF(ISNUMBER(FIND("住宅",C1)),"住宅","非住宅")</f>
        <v>非住宅</v>
      </c>
      <c r="O47" s="1885" t="s">
        <v>1040</v>
      </c>
      <c r="P47" s="1886" t="s">
        <v>1528</v>
      </c>
      <c r="Q47" s="1887">
        <f ca="1">C40+J29</f>
        <v>20072</v>
      </c>
      <c r="R47" s="1887" t="s">
        <v>1529</v>
      </c>
    </row>
    <row r="48" spans="1:18" s="1843" customFormat="1" ht="28.5" thickBot="1">
      <c r="A48" s="1361" t="s">
        <v>1135</v>
      </c>
      <c r="B48" s="345" t="s">
        <v>1401</v>
      </c>
      <c r="C48" s="1818">
        <f ca="1">C49+C53+C55</f>
        <v>0</v>
      </c>
      <c r="D48" s="1363"/>
      <c r="E48" s="1364"/>
      <c r="F48" s="1183"/>
      <c r="G48" s="791"/>
      <c r="H48" s="792"/>
      <c r="I48" s="1888" t="s">
        <v>1530</v>
      </c>
      <c r="J48" s="1889" t="s">
        <v>3214</v>
      </c>
      <c r="K48" s="1890" t="s">
        <v>1531</v>
      </c>
      <c r="L48" s="1891">
        <f ca="1">INDIRECT("'数据-取费表'!f"&amp;$G$1)</f>
        <v>38.020000000000003</v>
      </c>
      <c r="O48" s="1885" t="s">
        <v>1041</v>
      </c>
      <c r="P48" s="1886" t="s">
        <v>1532</v>
      </c>
      <c r="Q48" s="1887" t="str">
        <f ca="1">J60</f>
        <v>0</v>
      </c>
      <c r="R48" s="1887" t="s">
        <v>1533</v>
      </c>
    </row>
    <row r="49" spans="1:18" s="1843" customFormat="1" ht="13.5" thickBot="1">
      <c r="A49" s="1196" t="s">
        <v>1136</v>
      </c>
      <c r="B49" s="1830" t="s">
        <v>1490</v>
      </c>
      <c r="C49" s="1365">
        <f ca="1">ROUND(F49*F51*F50*(1-F52)/10000,0)</f>
        <v>0</v>
      </c>
      <c r="D49" s="1277" t="s">
        <v>3032</v>
      </c>
      <c r="E49" s="1831" t="s">
        <v>1491</v>
      </c>
      <c r="F49" s="1282"/>
      <c r="G49" s="1892"/>
      <c r="H49" s="792"/>
      <c r="I49" s="1888" t="s">
        <v>1534</v>
      </c>
      <c r="J49" s="1893"/>
      <c r="K49" s="1890" t="s">
        <v>1535</v>
      </c>
      <c r="L49" s="1894"/>
      <c r="O49" s="1895" t="s">
        <v>1042</v>
      </c>
      <c r="P49" s="1886" t="s">
        <v>1536</v>
      </c>
      <c r="Q49" s="1887">
        <f ca="1">C29</f>
        <v>16180</v>
      </c>
      <c r="R49" s="1887" t="s">
        <v>1529</v>
      </c>
    </row>
    <row r="50" spans="1:18" s="1843" customFormat="1" ht="13.5" thickBot="1">
      <c r="A50" s="1197"/>
      <c r="B50" s="1200"/>
      <c r="C50" s="1369"/>
      <c r="D50" s="1174"/>
      <c r="E50" s="1278" t="s">
        <v>1406</v>
      </c>
      <c r="F50" s="1279">
        <f ca="1">F7</f>
        <v>25792.44</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-10081</v>
      </c>
      <c r="M51" s="1903"/>
      <c r="O51" s="1895" t="s">
        <v>1044</v>
      </c>
      <c r="P51" s="1886" t="s">
        <v>1542</v>
      </c>
      <c r="Q51" s="1898">
        <f>J52</f>
        <v>0</v>
      </c>
      <c r="R51" s="1887"/>
    </row>
    <row r="52" spans="1:18" s="1843" customFormat="1" ht="13.5" thickBot="1">
      <c r="A52" s="1198"/>
      <c r="B52" s="1200"/>
      <c r="C52" s="1201"/>
      <c r="D52" s="1174"/>
      <c r="E52" s="1202" t="s">
        <v>1408</v>
      </c>
      <c r="F52" s="1276"/>
      <c r="I52" s="1904" t="s">
        <v>1543</v>
      </c>
      <c r="J52" s="1905"/>
      <c r="K52" s="1904" t="s">
        <v>1544</v>
      </c>
      <c r="L52" s="1905"/>
      <c r="O52" s="1895" t="s">
        <v>1045</v>
      </c>
      <c r="P52" s="1886" t="s">
        <v>1545</v>
      </c>
      <c r="Q52" s="1887">
        <f ca="1">J53</f>
        <v>38.020000000000003</v>
      </c>
      <c r="R52" s="1887" t="s">
        <v>1546</v>
      </c>
    </row>
    <row r="53" spans="1:18" s="1843" customFormat="1" ht="24.75" thickBot="1">
      <c r="A53" s="1406" t="s">
        <v>1137</v>
      </c>
      <c r="B53" s="1832" t="s">
        <v>1409</v>
      </c>
      <c r="C53" s="361">
        <f ca="1">ROUND(IF(F53="押一",C49/12*F11,IF(F53="押二",C49/12*2*F11,IF(F53="押三",C49/12*3*F11,C54*F11))),0)</f>
        <v>0</v>
      </c>
      <c r="D53" s="1825" t="s">
        <v>3039</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38.020000000000003</v>
      </c>
      <c r="K53" s="3254" t="s">
        <v>1548</v>
      </c>
      <c r="L53" s="3255"/>
      <c r="O53" s="1885" t="s">
        <v>1046</v>
      </c>
      <c r="P53" s="1886" t="s">
        <v>1549</v>
      </c>
      <c r="Q53" s="1887">
        <f ca="1">Q47+Q48</f>
        <v>20072</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16180</v>
      </c>
      <c r="D56" s="1915"/>
      <c r="E56" s="1916"/>
      <c r="F56" s="1908"/>
      <c r="I56" s="1917" t="s">
        <v>1554</v>
      </c>
      <c r="J56" s="1918" t="s">
        <v>3112</v>
      </c>
      <c r="K56" s="1888" t="s">
        <v>1555</v>
      </c>
      <c r="L56" s="1891" t="str">
        <f ca="1">IF(L48&lt;J51,"——",L48-J53)</f>
        <v>——</v>
      </c>
      <c r="O56" s="1885" t="s">
        <v>1040</v>
      </c>
      <c r="P56" s="1886" t="s">
        <v>1528</v>
      </c>
      <c r="Q56" s="1887">
        <f ca="1">C40+J29</f>
        <v>20072</v>
      </c>
      <c r="R56" s="1887" t="s">
        <v>1529</v>
      </c>
    </row>
    <row r="57" spans="1:18" s="1843" customFormat="1" ht="24.75" thickBot="1">
      <c r="A57" s="1919"/>
      <c r="B57" s="1171" t="s">
        <v>1478</v>
      </c>
      <c r="C57" s="282">
        <f ca="1">C29</f>
        <v>16180</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1626</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1359.1</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1359.12</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v>
      </c>
      <c r="D62" s="1186" t="s">
        <v>1497</v>
      </c>
      <c r="E62" s="1171" t="s">
        <v>1498</v>
      </c>
      <c r="F62" s="371">
        <f t="shared" si="0"/>
        <v>11</v>
      </c>
      <c r="I62" s="1930" t="s">
        <v>1570</v>
      </c>
      <c r="J62" s="1931" t="s">
        <v>1571</v>
      </c>
      <c r="K62" s="1931" t="s">
        <v>1572</v>
      </c>
      <c r="L62" s="1931" t="s">
        <v>1573</v>
      </c>
      <c r="M62" s="1932" t="s">
        <v>1574</v>
      </c>
      <c r="O62" s="1885" t="s">
        <v>1046</v>
      </c>
      <c r="P62" s="1886" t="s">
        <v>1575</v>
      </c>
      <c r="Q62" s="1887">
        <f ca="1">Q56+Q57</f>
        <v>20072</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242.7</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24.3</v>
      </c>
      <c r="D65" s="1185" t="s">
        <v>1454</v>
      </c>
      <c r="E65" s="1171" t="s">
        <v>1455</v>
      </c>
      <c r="F65" s="376">
        <f t="shared" ca="1" si="0"/>
        <v>1.5E-3</v>
      </c>
      <c r="I65" s="1930" t="s">
        <v>1579</v>
      </c>
      <c r="J65" s="1931">
        <v>40</v>
      </c>
      <c r="K65" s="1931">
        <v>30</v>
      </c>
      <c r="L65" s="1931">
        <v>50</v>
      </c>
      <c r="M65" s="1933">
        <v>0.02</v>
      </c>
      <c r="O65" s="1885" t="s">
        <v>1040</v>
      </c>
      <c r="P65" s="1886" t="s">
        <v>1580</v>
      </c>
      <c r="Q65" s="1887">
        <f ca="1">C40+J29</f>
        <v>20072</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-1626</v>
      </c>
      <c r="D67" s="1184" t="s">
        <v>1464</v>
      </c>
      <c r="E67" s="1189"/>
      <c r="F67" s="1190"/>
      <c r="O67" s="1895" t="s">
        <v>1042</v>
      </c>
      <c r="P67" s="1886" t="s">
        <v>1562</v>
      </c>
      <c r="Q67" s="1934">
        <f ca="1">L51</f>
        <v>-10081</v>
      </c>
      <c r="R67" s="1887" t="s">
        <v>1582</v>
      </c>
    </row>
    <row r="68" spans="1:18" s="1843" customFormat="1" ht="16.5" thickBot="1">
      <c r="A68" s="1168" t="s">
        <v>1032</v>
      </c>
      <c r="B68" s="1169" t="s">
        <v>1485</v>
      </c>
      <c r="C68" s="346">
        <f ca="1">ROUND(C67*(1-((1+F70)/(1+F68))^F69)/(F68-F70),0)</f>
        <v>-27432</v>
      </c>
      <c r="D68" s="1186" t="s">
        <v>1469</v>
      </c>
      <c r="E68" s="1171" t="s">
        <v>1470</v>
      </c>
      <c r="F68" s="357">
        <f ca="1">F40</f>
        <v>0.05</v>
      </c>
      <c r="O68" s="1895" t="s">
        <v>1043</v>
      </c>
      <c r="P68" s="1935" t="s">
        <v>1583</v>
      </c>
      <c r="Q68" s="1887">
        <f ca="1">ROUND(Q69-Q70*Q71,0)</f>
        <v>-520</v>
      </c>
      <c r="R68" s="1887" t="s">
        <v>1051</v>
      </c>
    </row>
    <row r="69" spans="1:18" s="1843" customFormat="1" ht="13.5" thickBot="1">
      <c r="A69" s="1172"/>
      <c r="B69" s="1173"/>
      <c r="C69" s="351"/>
      <c r="D69" s="1191" t="s">
        <v>1473</v>
      </c>
      <c r="E69" s="1171" t="s">
        <v>1474</v>
      </c>
      <c r="F69" s="379">
        <f ca="1">F41</f>
        <v>38.020000000000003</v>
      </c>
      <c r="O69" s="1895" t="s">
        <v>1048</v>
      </c>
      <c r="P69" s="1935" t="s">
        <v>1584</v>
      </c>
      <c r="Q69" s="1887">
        <f ca="1">C39</f>
        <v>774</v>
      </c>
      <c r="R69" s="1887" t="s">
        <v>1529</v>
      </c>
    </row>
    <row r="70" spans="1:18" s="1843" customFormat="1" ht="13.5" thickBot="1">
      <c r="A70" s="1175"/>
      <c r="B70" s="1176"/>
      <c r="C70" s="355"/>
      <c r="D70" s="1187"/>
      <c r="E70" s="1171" t="s">
        <v>1477</v>
      </c>
      <c r="F70" s="1276"/>
      <c r="O70" s="1895" t="s">
        <v>1049</v>
      </c>
      <c r="P70" s="1935" t="s">
        <v>1585</v>
      </c>
      <c r="Q70" s="1887">
        <f ca="1">C13</f>
        <v>16180</v>
      </c>
      <c r="R70" s="1887" t="s">
        <v>1529</v>
      </c>
    </row>
    <row r="71" spans="1:18" s="1843" customFormat="1" ht="13.5" thickBot="1">
      <c r="A71" s="1192" t="s">
        <v>1033</v>
      </c>
      <c r="B71" s="1193" t="s">
        <v>1487</v>
      </c>
      <c r="C71" s="382">
        <f ca="1">ROUND(C68*10000/F71,0)</f>
        <v>-10636</v>
      </c>
      <c r="D71" s="1194" t="s">
        <v>1488</v>
      </c>
      <c r="E71" s="1195" t="s">
        <v>1489</v>
      </c>
      <c r="F71" s="385">
        <f ca="1">F43</f>
        <v>25792.44</v>
      </c>
      <c r="O71" s="1895" t="s">
        <v>1050</v>
      </c>
      <c r="P71" s="1935" t="s">
        <v>1586</v>
      </c>
      <c r="Q71" s="1898">
        <f ca="1">C76</f>
        <v>0.08</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1294</v>
      </c>
      <c r="D75" s="1843"/>
      <c r="E75" s="1843"/>
      <c r="F75" s="1843"/>
      <c r="K75" s="1869"/>
      <c r="L75" s="1843"/>
      <c r="O75" s="1885" t="s">
        <v>1046</v>
      </c>
      <c r="P75" s="1886" t="s">
        <v>1549</v>
      </c>
      <c r="Q75" s="1887">
        <f ca="1">Q65+Q66</f>
        <v>20072</v>
      </c>
      <c r="R75" s="1887" t="s">
        <v>1047</v>
      </c>
    </row>
    <row r="76" spans="1:18">
      <c r="B76" s="388" t="s">
        <v>1507</v>
      </c>
      <c r="C76" s="389">
        <f ca="1">INDIRECT("'数据-取费表'!j"&amp;$G$1)</f>
        <v>0.08</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-0.67199999999999993</v>
      </c>
    </row>
    <row r="80" spans="1:18">
      <c r="B80" s="386" t="s">
        <v>1511</v>
      </c>
      <c r="C80" s="318">
        <f ca="1">ROUND(C75/C39,3)</f>
        <v>1.6719999999999999</v>
      </c>
    </row>
    <row r="81" spans="2:3">
      <c r="B81" s="314" t="s">
        <v>1512</v>
      </c>
      <c r="C81" s="282"/>
    </row>
    <row r="82" spans="2:3">
      <c r="B82" s="317" t="s">
        <v>1513</v>
      </c>
      <c r="C82" s="319">
        <f ca="1">1-C83</f>
        <v>0.19399999999999995</v>
      </c>
    </row>
    <row r="83" spans="2:3">
      <c r="B83" s="317" t="s">
        <v>1514</v>
      </c>
      <c r="C83" s="318">
        <f ca="1">ROUND(C13/C40,3)</f>
        <v>0.80600000000000005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6" priority="56">
      <formula>$L$48&gt;$J$51</formula>
    </cfRule>
  </conditionalFormatting>
  <conditionalFormatting sqref="I55 I60">
    <cfRule type="expression" dxfId="95"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A38" sqref="A38:D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8"/>
      <c r="C1" s="2552" t="s">
        <v>2428</v>
      </c>
      <c r="D1" s="242"/>
      <c r="E1" s="242"/>
      <c r="F1" s="242"/>
      <c r="G1" s="1380">
        <f>MATCH(B1,'数据-取费表'!A6:A16,0)+5</f>
        <v>7</v>
      </c>
      <c r="H1" s="1283" t="str">
        <f>IF(ISERROR(FIND("住宅",B1)),"非住宅","住宅")</f>
        <v>非住宅</v>
      </c>
    </row>
    <row r="2" spans="1:8" s="244" customFormat="1" ht="18" customHeight="1">
      <c r="A2" s="245" t="s">
        <v>2327</v>
      </c>
      <c r="B2" s="246">
        <f ca="1">ROUND(IF(D2="——",C52/10000,C52/10000-E2),0)</f>
        <v>17499</v>
      </c>
      <c r="C2" s="243" t="s">
        <v>2328</v>
      </c>
      <c r="D2" s="2546" t="s">
        <v>70</v>
      </c>
      <c r="E2" s="1441" t="e">
        <f ca="1">SUMIF(INDIRECT("'"&amp;G2&amp;"'"&amp;"!A:A"),"承租人权益价值",INDIRECT("'"&amp;G2&amp;"'"&amp;"!c:c"))</f>
        <v>#REF!</v>
      </c>
      <c r="F2" s="2547" t="s">
        <v>2328</v>
      </c>
      <c r="G2" s="2548"/>
    </row>
    <row r="3" spans="1:8" s="244" customFormat="1" ht="18" customHeight="1" thickBot="1">
      <c r="A3" s="247" t="s">
        <v>2329</v>
      </c>
      <c r="B3" s="248">
        <f ca="1">ROUND(B2*10000/(IF(B1="",'数据-汇总表'!E3,INDIRECT("'数据-取费表'!k"&amp;$G$1))),0)</f>
        <v>6785</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5932261</v>
      </c>
      <c r="D5" s="255" t="s">
        <v>2334</v>
      </c>
      <c r="E5" s="256" t="s">
        <v>2335</v>
      </c>
      <c r="F5" s="256" t="s">
        <v>2336</v>
      </c>
      <c r="G5" s="257"/>
    </row>
    <row r="6" spans="1:8" s="258" customFormat="1" ht="13.5" customHeight="1">
      <c r="A6" s="951" t="s">
        <v>2337</v>
      </c>
      <c r="B6" s="259" t="s">
        <v>2338</v>
      </c>
      <c r="C6" s="260"/>
      <c r="D6" s="261"/>
      <c r="E6" s="262"/>
      <c r="F6" s="262"/>
      <c r="G6" s="263"/>
    </row>
    <row r="7" spans="1:8" s="258" customFormat="1" ht="13.5" customHeight="1">
      <c r="A7" s="951" t="s">
        <v>2339</v>
      </c>
      <c r="B7" s="259" t="s">
        <v>2340</v>
      </c>
      <c r="C7" s="264">
        <f>ROUND(C6*F7,0)</f>
        <v>0</v>
      </c>
      <c r="D7" s="264"/>
      <c r="E7" s="262"/>
      <c r="F7" s="265">
        <f>'数据-取费表'!B48+'数据-取费表'!B49</f>
        <v>3.0499999999999999E-2</v>
      </c>
      <c r="G7" s="263"/>
    </row>
    <row r="8" spans="1:8" s="267" customFormat="1">
      <c r="A8" s="951" t="s">
        <v>2341</v>
      </c>
      <c r="B8" s="259" t="s">
        <v>2342</v>
      </c>
      <c r="C8" s="264">
        <f ca="1">IF(G8="已包含在土地购买价格中",0,C9+C10)</f>
        <v>5932261</v>
      </c>
      <c r="D8" s="266"/>
      <c r="E8" s="264"/>
      <c r="F8" s="265"/>
      <c r="G8" s="2549"/>
    </row>
    <row r="9" spans="1:8" s="258" customFormat="1" ht="13.5" customHeight="1">
      <c r="A9" s="952" t="s">
        <v>800</v>
      </c>
      <c r="B9" s="268" t="s">
        <v>2343</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2345</v>
      </c>
      <c r="C10" s="269">
        <f ca="1">ROUND(D10*E10,0)</f>
        <v>5932261</v>
      </c>
      <c r="D10" s="1034">
        <f ca="1">IF(B1="",'数据-汇总表'!E6,IF(INDIRECT("'数据-取费表'!c"&amp;$G$1)="住宅",INDIRECT("'数据-取费表'!s"&amp;$G$1),INDIRECT("'数据-取费表'!k"&amp;$G$1)+INDIRECT("'数据-取费表'!s"&amp;$G$1)))</f>
        <v>25792.44</v>
      </c>
      <c r="E10" s="269">
        <f>'数据-取费表'!B28</f>
        <v>230</v>
      </c>
      <c r="F10" s="265"/>
      <c r="G10" s="270"/>
    </row>
    <row r="11" spans="1:8" s="258" customFormat="1" ht="13.5" hidden="1" customHeight="1">
      <c r="A11" s="271" t="s">
        <v>7</v>
      </c>
      <c r="B11" s="259" t="s">
        <v>2346</v>
      </c>
      <c r="C11" s="255"/>
      <c r="D11" s="1036"/>
      <c r="E11" s="262"/>
      <c r="F11" s="262"/>
      <c r="G11" s="263"/>
    </row>
    <row r="12" spans="1:8" s="258" customFormat="1" ht="13.5" hidden="1" customHeight="1">
      <c r="A12" s="271" t="s">
        <v>8</v>
      </c>
      <c r="B12" s="259" t="s">
        <v>2429</v>
      </c>
      <c r="C12" s="255">
        <v>0</v>
      </c>
      <c r="D12" s="1036"/>
      <c r="E12" s="272"/>
      <c r="F12" s="265">
        <v>3.0499999999999999E-2</v>
      </c>
      <c r="G12" s="263"/>
    </row>
    <row r="13" spans="1:8" s="258" customFormat="1" ht="13.5" hidden="1" customHeight="1">
      <c r="A13" s="271" t="s">
        <v>9</v>
      </c>
      <c r="B13" s="259" t="s">
        <v>2430</v>
      </c>
      <c r="C13" s="255"/>
      <c r="D13" s="1036"/>
      <c r="E13" s="262"/>
      <c r="F13" s="262"/>
      <c r="G13" s="263"/>
    </row>
    <row r="14" spans="1:8" s="258" customFormat="1" ht="13.5" hidden="1" customHeight="1">
      <c r="A14" s="271" t="s">
        <v>10</v>
      </c>
      <c r="B14" s="259" t="s">
        <v>2342</v>
      </c>
      <c r="C14" s="255"/>
      <c r="D14" s="1036"/>
      <c r="E14" s="262"/>
      <c r="F14" s="262"/>
      <c r="G14" s="263" t="s">
        <v>2431</v>
      </c>
    </row>
    <row r="15" spans="1:8" s="258" customFormat="1" ht="13.5" hidden="1" customHeight="1">
      <c r="A15" s="271" t="s">
        <v>11</v>
      </c>
      <c r="B15" s="259" t="s">
        <v>2432</v>
      </c>
      <c r="C15" s="264"/>
      <c r="D15" s="1036"/>
      <c r="E15" s="262"/>
      <c r="F15" s="262"/>
      <c r="G15" s="263" t="s">
        <v>2433</v>
      </c>
    </row>
    <row r="16" spans="1:8" s="258" customFormat="1" ht="13.5" hidden="1" customHeight="1">
      <c r="A16" s="271" t="s">
        <v>12</v>
      </c>
      <c r="B16" s="259" t="s">
        <v>2342</v>
      </c>
      <c r="C16" s="264"/>
      <c r="D16" s="1036"/>
      <c r="E16" s="262"/>
      <c r="F16" s="262"/>
      <c r="G16" s="263"/>
    </row>
    <row r="17" spans="1:7" s="258" customFormat="1" ht="13.5" hidden="1" customHeight="1">
      <c r="A17" s="271" t="s">
        <v>13</v>
      </c>
      <c r="B17" s="259" t="s">
        <v>2434</v>
      </c>
      <c r="C17" s="273"/>
      <c r="D17" s="1037"/>
      <c r="E17" s="273"/>
      <c r="F17" s="273"/>
      <c r="G17" s="263" t="s">
        <v>2433</v>
      </c>
    </row>
    <row r="18" spans="1:7" s="258" customFormat="1" ht="13.5" hidden="1" customHeight="1">
      <c r="A18" s="271" t="s">
        <v>14</v>
      </c>
      <c r="B18" s="259" t="s">
        <v>2435</v>
      </c>
      <c r="C18" s="264">
        <v>0</v>
      </c>
      <c r="D18" s="1036"/>
      <c r="E18" s="262"/>
      <c r="F18" s="265">
        <v>3.0499999999999999E-2</v>
      </c>
      <c r="G18" s="263" t="s">
        <v>2436</v>
      </c>
    </row>
    <row r="19" spans="1:7" s="267" customFormat="1" ht="13.5" customHeight="1">
      <c r="A19" s="299" t="s">
        <v>2437</v>
      </c>
      <c r="B19" s="254" t="s">
        <v>2438</v>
      </c>
      <c r="C19" s="255">
        <f ca="1">IF(G19="已包含在土地取得成本中","0",ROUND(D19*E19,0))</f>
        <v>3868866</v>
      </c>
      <c r="D19" s="1038">
        <f ca="1">D9+D10</f>
        <v>25792.44</v>
      </c>
      <c r="E19" s="255">
        <f>'数据-取费表'!B31</f>
        <v>150</v>
      </c>
      <c r="F19" s="275"/>
      <c r="G19" s="2549"/>
    </row>
    <row r="20" spans="1:7" s="258" customFormat="1" ht="13.5" customHeight="1">
      <c r="A20" s="299" t="s">
        <v>2439</v>
      </c>
      <c r="B20" s="254" t="s">
        <v>2440</v>
      </c>
      <c r="C20" s="276">
        <f ca="1">ROUND((C5+C19)*F20,0)</f>
        <v>98011</v>
      </c>
      <c r="D20" s="276"/>
      <c r="E20" s="276"/>
      <c r="F20" s="277">
        <f>'数据-取费表'!B37</f>
        <v>0.01</v>
      </c>
      <c r="G20" s="278" t="s">
        <v>2441</v>
      </c>
    </row>
    <row r="21" spans="1:7" s="258" customFormat="1" ht="13.5" customHeight="1">
      <c r="A21" s="299" t="s">
        <v>2442</v>
      </c>
      <c r="B21" s="254" t="s">
        <v>2443</v>
      </c>
      <c r="C21" s="279">
        <f>F21</f>
        <v>0.01</v>
      </c>
      <c r="D21" s="280" t="s">
        <v>2444</v>
      </c>
      <c r="E21" s="276"/>
      <c r="F21" s="277">
        <f>'数据-取费表'!B38</f>
        <v>0.01</v>
      </c>
      <c r="G21" s="278" t="s">
        <v>2445</v>
      </c>
    </row>
    <row r="22" spans="1:7" s="258" customFormat="1" ht="13.5" customHeight="1">
      <c r="A22" s="299" t="s">
        <v>2446</v>
      </c>
      <c r="B22" s="254" t="s">
        <v>2447</v>
      </c>
      <c r="C22" s="1381">
        <f ca="1">ROUND(SUM(C23:C25),0)</f>
        <v>957876</v>
      </c>
      <c r="D22" s="279">
        <f ca="1">C26</f>
        <v>5.0000000000000001E-4</v>
      </c>
      <c r="E22" s="280" t="s">
        <v>2444</v>
      </c>
      <c r="F22" s="281">
        <f ca="1">'数据-取费表'!B40</f>
        <v>4.7500000000000001E-2</v>
      </c>
      <c r="G22" s="278" t="str">
        <f>IF('数据-取费表'!B22&lt;=1,"单利计息","复利计息")</f>
        <v>复利计息</v>
      </c>
    </row>
    <row r="23" spans="1:7" s="258" customFormat="1" ht="13.5" customHeight="1">
      <c r="A23" s="953" t="s">
        <v>2337</v>
      </c>
      <c r="B23" s="259" t="s">
        <v>2448</v>
      </c>
      <c r="C23" s="1382">
        <f ca="1">ROUND(IF('数据-取费表'!B22&lt;=1,C5*F22*'数据-取费表'!B22,C5*(POWER((1+F22),'数据-取费表'!B22)-1)),0)</f>
        <v>576949</v>
      </c>
      <c r="D23" s="282"/>
      <c r="E23" s="282"/>
      <c r="F23" s="283"/>
      <c r="G23" s="284" t="s">
        <v>2449</v>
      </c>
    </row>
    <row r="24" spans="1:7" s="258" customFormat="1" ht="13.5" customHeight="1">
      <c r="A24" s="953" t="s">
        <v>2339</v>
      </c>
      <c r="B24" s="259" t="s">
        <v>2450</v>
      </c>
      <c r="C24" s="1382">
        <f ca="1">ROUND(IF('数据-取费表'!B22&lt;=1,C19*F22*('数据-取费表'!B19/2+'数据-取费表'!B20),C19*(POWER((1+F22),('数据-取费表'!B19/2+'数据-取费表'!B20))-1)),0)</f>
        <v>376271</v>
      </c>
      <c r="D24" s="282"/>
      <c r="E24" s="282"/>
      <c r="F24" s="283"/>
      <c r="G24" s="284" t="s">
        <v>2451</v>
      </c>
    </row>
    <row r="25" spans="1:7" s="258" customFormat="1" ht="24">
      <c r="A25" s="953" t="s">
        <v>2341</v>
      </c>
      <c r="B25" s="259" t="s">
        <v>2452</v>
      </c>
      <c r="C25" s="1382">
        <f ca="1">ROUND(IF('数据-取费表'!B22&lt;=1,C20*F22*'数据-取费表'!B22/2,C20*(POWER((1+F22),'数据-取费表'!B22/2)-1)),0)</f>
        <v>4656</v>
      </c>
      <c r="D25" s="282"/>
      <c r="E25" s="285"/>
      <c r="F25" s="283"/>
      <c r="G25" s="286" t="s">
        <v>2453</v>
      </c>
    </row>
    <row r="26" spans="1:7" s="258" customFormat="1">
      <c r="A26" s="953" t="s">
        <v>795</v>
      </c>
      <c r="B26" s="259" t="s">
        <v>2376</v>
      </c>
      <c r="C26" s="282">
        <f ca="1">ROUND(IF('数据-取费表'!B22&lt;=1,F21*F22*'数据-取费表'!B22/2,F21*(POWER((1+F22),'数据-取费表'!B22/2)-1)),4)</f>
        <v>5.0000000000000001E-4</v>
      </c>
      <c r="D26" s="282"/>
      <c r="E26" s="285"/>
      <c r="F26" s="283"/>
      <c r="G26" s="287"/>
    </row>
    <row r="27" spans="1:7" s="258" customFormat="1" ht="24.75">
      <c r="A27" s="299" t="s">
        <v>2377</v>
      </c>
      <c r="B27" s="288" t="s">
        <v>2378</v>
      </c>
      <c r="C27" s="289">
        <f ca="1">C28</f>
        <v>1484871</v>
      </c>
      <c r="D27" s="279">
        <f ca="1">C29</f>
        <v>1.5E-3</v>
      </c>
      <c r="E27" s="280" t="s">
        <v>2379</v>
      </c>
      <c r="F27" s="290">
        <f ca="1">IF(B1="",'数据-取费表'!Q16,INDIRECT("'数据-取费表'!q"&amp;$G$1))</f>
        <v>0.15</v>
      </c>
      <c r="G27" s="291" t="s">
        <v>2380</v>
      </c>
    </row>
    <row r="28" spans="1:7" s="258" customFormat="1" ht="13.5" customHeight="1">
      <c r="A28" s="953" t="s">
        <v>791</v>
      </c>
      <c r="B28" s="292" t="s">
        <v>2381</v>
      </c>
      <c r="C28" s="293">
        <f ca="1">ROUND((C5+C19+C20)*F27,0)</f>
        <v>1484871</v>
      </c>
      <c r="D28" s="279"/>
      <c r="E28" s="280"/>
      <c r="F28" s="290"/>
      <c r="G28" s="291"/>
    </row>
    <row r="29" spans="1:7" s="258" customFormat="1" ht="13.5" customHeight="1">
      <c r="A29" s="953" t="s">
        <v>792</v>
      </c>
      <c r="B29" s="292" t="s">
        <v>2382</v>
      </c>
      <c r="C29" s="282">
        <f ca="1">ROUND(C21*F27,4)</f>
        <v>1.5E-3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13191412</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125157815</v>
      </c>
      <c r="D33" s="276"/>
      <c r="E33" s="256"/>
      <c r="F33" s="285"/>
      <c r="G33" s="278"/>
    </row>
    <row r="34" spans="1:7" s="302" customFormat="1" ht="13.5" customHeight="1">
      <c r="A34" s="953" t="s">
        <v>791</v>
      </c>
      <c r="B34" s="259" t="s">
        <v>2390</v>
      </c>
      <c r="C34" s="264">
        <f ca="1">ROUND(IF(B1="",SUMPRODUCT('数据-取费表'!K6:K14,'数据-取费表'!L6:L14),INDIRECT("'数据-取费表'!l"&amp;$G$1)*INDIRECT("'数据-取费表'!k"&amp;$G$1)+'数据-取费表'!L14*INDIRECT("'数据-取费表'!S"&amp;$G$1)),0)</f>
        <v>116065980</v>
      </c>
      <c r="D34" s="261"/>
      <c r="E34" s="264"/>
      <c r="F34" s="301"/>
      <c r="G34" s="263"/>
    </row>
    <row r="35" spans="1:7" ht="13.5" customHeight="1">
      <c r="A35" s="953" t="s">
        <v>796</v>
      </c>
      <c r="B35" s="259" t="s">
        <v>2392</v>
      </c>
      <c r="C35" s="264">
        <f ca="1">ROUND(C34*F35,0)</f>
        <v>3481979</v>
      </c>
      <c r="D35" s="264"/>
      <c r="E35" s="264"/>
      <c r="F35" s="303">
        <f>'数据-取费表'!B33</f>
        <v>0.03</v>
      </c>
      <c r="G35" s="263" t="s">
        <v>2393</v>
      </c>
    </row>
    <row r="36" spans="1:7" ht="24">
      <c r="A36" s="953"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3" t="s">
        <v>798</v>
      </c>
      <c r="B37" s="259" t="s">
        <v>2396</v>
      </c>
      <c r="C37" s="293">
        <f ca="1">ROUND(E37*D37,0)</f>
        <v>3868866</v>
      </c>
      <c r="D37" s="261">
        <f ca="1">D19</f>
        <v>25792.44</v>
      </c>
      <c r="E37" s="293">
        <f>'数据-取费表'!B35</f>
        <v>150</v>
      </c>
      <c r="F37" s="303"/>
      <c r="G37" s="305"/>
    </row>
    <row r="38" spans="1:7" ht="13.5" customHeight="1">
      <c r="A38" s="953" t="s">
        <v>799</v>
      </c>
      <c r="B38" s="259" t="s">
        <v>2398</v>
      </c>
      <c r="C38" s="264">
        <f ca="1">ROUND(C34*F38,0)</f>
        <v>1740990</v>
      </c>
      <c r="D38" s="264"/>
      <c r="E38" s="264"/>
      <c r="F38" s="303">
        <f>'数据-取费表'!B36</f>
        <v>1.4999999999999999E-2</v>
      </c>
      <c r="G38" s="263" t="s">
        <v>2393</v>
      </c>
    </row>
    <row r="39" spans="1:7" s="258" customFormat="1" ht="13.5" customHeight="1">
      <c r="A39" s="299" t="s">
        <v>2399</v>
      </c>
      <c r="B39" s="254" t="s">
        <v>2400</v>
      </c>
      <c r="C39" s="276">
        <f ca="1">ROUND(C33*F20,0)</f>
        <v>1251578</v>
      </c>
      <c r="D39" s="276"/>
      <c r="E39" s="276"/>
      <c r="F39" s="277"/>
      <c r="G39" s="278" t="s">
        <v>2401</v>
      </c>
    </row>
    <row r="40" spans="1:7" s="258" customFormat="1" ht="13.5" customHeight="1">
      <c r="A40" s="299" t="s">
        <v>2402</v>
      </c>
      <c r="B40" s="254" t="s">
        <v>2403</v>
      </c>
      <c r="C40" s="1729">
        <f>F21</f>
        <v>0.01</v>
      </c>
      <c r="D40" s="280" t="s">
        <v>2404</v>
      </c>
      <c r="E40" s="276"/>
      <c r="F40" s="277"/>
      <c r="G40" s="278" t="s">
        <v>2405</v>
      </c>
    </row>
    <row r="41" spans="1:7" s="258" customFormat="1" ht="13.5" customHeight="1">
      <c r="A41" s="299" t="s">
        <v>2406</v>
      </c>
      <c r="B41" s="254" t="s">
        <v>2407</v>
      </c>
      <c r="C41" s="276">
        <f ca="1">ROUND(SUM(C42:C43),0)</f>
        <v>6004446</v>
      </c>
      <c r="D41" s="279">
        <f ca="1">C44</f>
        <v>5.0000000000000001E-4</v>
      </c>
      <c r="E41" s="280" t="s">
        <v>2404</v>
      </c>
      <c r="F41" s="281"/>
      <c r="G41" s="278" t="str">
        <f>IF('数据-取费表'!B22&lt;=1,"单利计息","复利计息")</f>
        <v>复利计息</v>
      </c>
    </row>
    <row r="42" spans="1:7" ht="13.5" customHeight="1">
      <c r="A42" s="953" t="s">
        <v>791</v>
      </c>
      <c r="B42" s="259" t="s">
        <v>2408</v>
      </c>
      <c r="C42" s="282">
        <f ca="1">ROUND(IF('数据-取费表'!B22&lt;=1,C33*F22*'数据-取费表'!B20/2,C33*(POWER((1+F22),'数据-取费表'!B20/2)-1)),0)</f>
        <v>5944996</v>
      </c>
      <c r="D42" s="282"/>
      <c r="E42" s="282"/>
      <c r="F42" s="283"/>
      <c r="G42" s="3227" t="s">
        <v>2456</v>
      </c>
    </row>
    <row r="43" spans="1:7" ht="13.5" customHeight="1">
      <c r="A43" s="953" t="s">
        <v>792</v>
      </c>
      <c r="B43" s="259" t="s">
        <v>2410</v>
      </c>
      <c r="C43" s="282">
        <f ca="1">ROUND(IF('数据-取费表'!B22&lt;=1,C39*F22*'数据-取费表'!B20/2,C39*(POWER((1+F22),'数据-取费表'!B20/2)-1)),0)</f>
        <v>59450</v>
      </c>
      <c r="D43" s="282"/>
      <c r="E43" s="282"/>
      <c r="F43" s="283"/>
      <c r="G43" s="3228"/>
    </row>
    <row r="44" spans="1:7" ht="13.5" customHeight="1">
      <c r="A44" s="953" t="s">
        <v>793</v>
      </c>
      <c r="B44" s="259" t="s">
        <v>2411</v>
      </c>
      <c r="C44" s="282">
        <f ca="1">ROUND(IF('数据-取费表'!B22&lt;=1,C40*F22*'数据-取费表'!B20/2,C40*(POWER((1+F22),'数据-取费表'!B20/2)-1)),4)</f>
        <v>5.0000000000000001E-4</v>
      </c>
      <c r="D44" s="282"/>
      <c r="E44" s="282"/>
      <c r="F44" s="283"/>
      <c r="G44" s="3229"/>
    </row>
    <row r="45" spans="1:7" s="258" customFormat="1" ht="13.5" customHeight="1">
      <c r="A45" s="299" t="s">
        <v>2412</v>
      </c>
      <c r="B45" s="288" t="s">
        <v>2378</v>
      </c>
      <c r="C45" s="289">
        <f ca="1">C46</f>
        <v>18961409</v>
      </c>
      <c r="D45" s="279">
        <f ca="1">C47</f>
        <v>1.5E-3</v>
      </c>
      <c r="E45" s="280" t="s">
        <v>2404</v>
      </c>
      <c r="F45" s="290"/>
      <c r="G45" s="291" t="s">
        <v>2413</v>
      </c>
    </row>
    <row r="46" spans="1:7" s="258" customFormat="1" ht="13.5" customHeight="1">
      <c r="A46" s="953" t="s">
        <v>791</v>
      </c>
      <c r="B46" s="292" t="s">
        <v>2414</v>
      </c>
      <c r="C46" s="293">
        <f ca="1">ROUND((C33+C39)*F27,0)</f>
        <v>18961409</v>
      </c>
      <c r="D46" s="307"/>
      <c r="E46" s="280"/>
      <c r="F46" s="290"/>
      <c r="G46" s="291"/>
    </row>
    <row r="47" spans="1:7" s="258" customFormat="1" ht="13.5" customHeight="1">
      <c r="A47" s="953" t="s">
        <v>792</v>
      </c>
      <c r="B47" s="292" t="s">
        <v>2415</v>
      </c>
      <c r="C47" s="282">
        <f ca="1">ROUND(C40*F27,4)</f>
        <v>1.5E-3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161794835</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161794835</v>
      </c>
      <c r="D51" s="276"/>
      <c r="E51" s="276"/>
      <c r="F51" s="308"/>
      <c r="G51" s="278" t="s">
        <v>2425</v>
      </c>
    </row>
    <row r="52" spans="1:7" s="252" customFormat="1" ht="16.5" thickBot="1">
      <c r="A52" s="309" t="s">
        <v>2426</v>
      </c>
      <c r="B52" s="310"/>
      <c r="C52" s="311">
        <f ca="1">C31+C51</f>
        <v>174986247</v>
      </c>
      <c r="D52" s="310"/>
      <c r="E52" s="310"/>
      <c r="F52" s="310"/>
      <c r="G52" s="312"/>
    </row>
    <row r="55" spans="1:7" ht="15">
      <c r="B55" s="314" t="s">
        <v>2427</v>
      </c>
      <c r="C55" s="315"/>
    </row>
    <row r="56" spans="1:7">
      <c r="B56" s="317" t="s">
        <v>1513</v>
      </c>
      <c r="C56" s="319">
        <f ca="1">1-C57</f>
        <v>7.4999999999999956E-2</v>
      </c>
    </row>
    <row r="57" spans="1:7">
      <c r="B57" s="317" t="s">
        <v>1514</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A38" sqref="A38:D38"/>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4" t="b">
        <f>J53</f>
        <v>0</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3">
        <f ca="1">C6+C10+C12</f>
        <v>0</v>
      </c>
      <c r="D5" s="1823" t="s">
        <v>1601</v>
      </c>
      <c r="E5" s="1294"/>
      <c r="F5" s="1295"/>
      <c r="G5" s="1852"/>
      <c r="H5" s="344">
        <v>1</v>
      </c>
      <c r="I5" s="345" t="s">
        <v>1600</v>
      </c>
      <c r="J5" s="1293">
        <f ca="1">J6+J10+J12</f>
        <v>0</v>
      </c>
      <c r="K5" s="1823" t="s">
        <v>1601</v>
      </c>
      <c r="L5" s="1294"/>
      <c r="M5" s="1295"/>
    </row>
    <row r="6" spans="1:37" ht="18" customHeight="1">
      <c r="A6" s="1292" t="s">
        <v>1035</v>
      </c>
      <c r="B6" s="3256" t="s">
        <v>1403</v>
      </c>
      <c r="C6" s="1297">
        <f ca="1">ROUND(F6*F8*F7*(1-F9),0)</f>
        <v>0</v>
      </c>
      <c r="D6" s="164" t="s">
        <v>3028</v>
      </c>
      <c r="E6" s="347" t="s">
        <v>1405</v>
      </c>
      <c r="F6" s="348">
        <f ca="1">INDIRECT("'数据-取费表'!u"&amp;$G$1)</f>
        <v>0</v>
      </c>
      <c r="G6" s="1852"/>
      <c r="H6" s="1292" t="s">
        <v>1035</v>
      </c>
      <c r="I6" s="3256" t="s">
        <v>1403</v>
      </c>
      <c r="J6" s="346">
        <f ca="1">ROUND(M6*M8*M7*(1-M9),0)</f>
        <v>0</v>
      </c>
      <c r="K6" s="1835" t="s">
        <v>3029</v>
      </c>
      <c r="L6" s="347" t="s">
        <v>1405</v>
      </c>
      <c r="M6" s="348">
        <f ca="1">INDIRECT("'数据-取费表'!z"&amp;$G$1)</f>
        <v>0</v>
      </c>
    </row>
    <row r="7" spans="1:37" ht="18" customHeight="1">
      <c r="A7" s="1296"/>
      <c r="B7" s="3257"/>
      <c r="C7" s="1298"/>
      <c r="D7" s="352"/>
      <c r="E7" s="1299" t="s">
        <v>1406</v>
      </c>
      <c r="F7" s="348">
        <f ca="1">IF(INDIRECT("'数据-取费表'!ah"&amp;$G$1)="",INDIRECT("'数据-取费表'!k"&amp;$G$1),INDIRECT("'数据-取费表'!ah"&amp;$G$1))</f>
        <v>0</v>
      </c>
      <c r="G7" s="1852"/>
      <c r="H7" s="349"/>
      <c r="I7" s="3257"/>
      <c r="J7" s="351"/>
      <c r="K7" s="352"/>
      <c r="L7" s="347" t="s">
        <v>1406</v>
      </c>
      <c r="M7" s="348">
        <f ca="1">F7</f>
        <v>0</v>
      </c>
    </row>
    <row r="8" spans="1:37" ht="18" customHeight="1">
      <c r="A8" s="349"/>
      <c r="B8" s="3257"/>
      <c r="C8" s="351"/>
      <c r="D8" s="352"/>
      <c r="E8" s="347" t="s">
        <v>1407</v>
      </c>
      <c r="F8" s="348">
        <f ca="1">INDIRECT("'数据-取费表'!ai"&amp;$G$1)</f>
        <v>0</v>
      </c>
      <c r="G8" s="1852"/>
      <c r="H8" s="349"/>
      <c r="I8" s="3257"/>
      <c r="J8" s="351"/>
      <c r="K8" s="352"/>
      <c r="L8" s="347" t="s">
        <v>1407</v>
      </c>
      <c r="M8" s="348">
        <f ca="1">INDIRECT("'数据-取费表'!ai"&amp;$G$1)</f>
        <v>0</v>
      </c>
    </row>
    <row r="9" spans="1:37" ht="18" customHeight="1">
      <c r="A9" s="349"/>
      <c r="B9" s="3258"/>
      <c r="C9" s="351"/>
      <c r="D9" s="352"/>
      <c r="E9" s="347" t="s">
        <v>1408</v>
      </c>
      <c r="F9" s="357">
        <f ca="1">INDIRECT("'数据-取费表'!w"&amp;$G$1)</f>
        <v>0</v>
      </c>
      <c r="G9" s="1852"/>
      <c r="H9" s="349"/>
      <c r="I9" s="3258"/>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3039</v>
      </c>
      <c r="E10" s="358" t="s">
        <v>1410</v>
      </c>
      <c r="F10" s="1367"/>
      <c r="G10" s="1852"/>
      <c r="H10" s="1292" t="s">
        <v>1039</v>
      </c>
      <c r="I10" s="1824" t="s">
        <v>1409</v>
      </c>
      <c r="J10" s="346">
        <f ca="1">ROUND(IF(M10="押一",J6/12*M11,IF(M10="押二",J6/12*2*M11,IF(M10="押三",J6/12*3*M11,J11*M11))),0)</f>
        <v>0</v>
      </c>
      <c r="K10" s="1836" t="s">
        <v>3041</v>
      </c>
      <c r="L10" s="358" t="s">
        <v>1410</v>
      </c>
      <c r="M10" s="1367"/>
    </row>
    <row r="11" spans="1:37" ht="18" customHeight="1">
      <c r="A11" s="353"/>
      <c r="B11" s="1826" t="s">
        <v>1602</v>
      </c>
      <c r="C11" s="1180"/>
      <c r="D11" s="352"/>
      <c r="E11" s="358" t="s">
        <v>1412</v>
      </c>
      <c r="F11" s="359">
        <f ca="1">'数据-取费表'!B39</f>
        <v>1.4999999999999999E-2</v>
      </c>
      <c r="G11" s="1852"/>
      <c r="H11" s="1300"/>
      <c r="I11" s="1826" t="s">
        <v>1603</v>
      </c>
      <c r="J11" s="1180"/>
      <c r="K11" s="747"/>
      <c r="L11" s="358" t="s">
        <v>1412</v>
      </c>
      <c r="M11" s="1058">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3" t="s">
        <v>1034</v>
      </c>
      <c r="B14" s="347" t="s">
        <v>1417</v>
      </c>
      <c r="C14" s="363">
        <f ca="1">ROUND(INDIRECT("'数据-取费表'!l"&amp;$G$1)*F43+'数据-取费表'!L14*INDIRECT("'数据-取费表'!S"&amp;$G$1),0)</f>
        <v>0</v>
      </c>
      <c r="D14" s="1801" t="s">
        <v>1418</v>
      </c>
      <c r="E14" s="1795"/>
      <c r="F14" s="364"/>
      <c r="G14" s="1852"/>
      <c r="H14" s="1203" t="s">
        <v>1035</v>
      </c>
      <c r="I14" s="347" t="s">
        <v>1419</v>
      </c>
      <c r="J14" s="24">
        <f ca="1">C29</f>
        <v>0</v>
      </c>
      <c r="K14" s="15"/>
      <c r="L14" s="981"/>
      <c r="M14" s="982"/>
    </row>
    <row r="15" spans="1:37" s="1859" customFormat="1" ht="18" customHeight="1" thickBot="1">
      <c r="A15" s="1203" t="s">
        <v>1036</v>
      </c>
      <c r="B15" s="347" t="s">
        <v>1420</v>
      </c>
      <c r="C15" s="24">
        <f ca="1">ROUND(C14*F15,0)</f>
        <v>0</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0" t="s">
        <v>1030</v>
      </c>
      <c r="I16" s="1331" t="s">
        <v>1424</v>
      </c>
      <c r="J16" s="355">
        <f ca="1">ROUND(J17+J22+J23+J24,0)</f>
        <v>0</v>
      </c>
      <c r="K16" s="1338" t="s">
        <v>1425</v>
      </c>
      <c r="L16" s="1339"/>
      <c r="M16" s="1295"/>
    </row>
    <row r="17" spans="1:37" s="1859" customFormat="1" ht="18" customHeight="1">
      <c r="A17" s="1203" t="s">
        <v>1390</v>
      </c>
      <c r="B17" s="347" t="s">
        <v>1426</v>
      </c>
      <c r="C17" s="24">
        <f ca="1">ROUND(F17*(F43+INDIRECT("'数据-取费表'!S"&amp;$G$1)),0)</f>
        <v>0</v>
      </c>
      <c r="D17" s="347" t="s">
        <v>1427</v>
      </c>
      <c r="E17" s="347" t="s">
        <v>1428</v>
      </c>
      <c r="F17" s="26">
        <f>'数据-取费表'!B35</f>
        <v>150</v>
      </c>
      <c r="G17" s="1855"/>
      <c r="H17" s="1203"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1819"/>
      <c r="F19" s="26"/>
      <c r="G19" s="1852"/>
      <c r="H19" s="1203"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0.01</v>
      </c>
      <c r="G20" s="1855"/>
      <c r="H20" s="1203" t="s">
        <v>1389</v>
      </c>
      <c r="I20" s="164" t="s">
        <v>1441</v>
      </c>
      <c r="J20" s="25">
        <f ca="1">ROUND(M20*M21,0)</f>
        <v>0</v>
      </c>
      <c r="K20" s="370" t="s">
        <v>1442</v>
      </c>
      <c r="L20" s="347" t="s">
        <v>1443</v>
      </c>
      <c r="M20" s="371">
        <f>'数据-取费表'!B52</f>
        <v>11</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0.01</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0</v>
      </c>
      <c r="K22" s="1799"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0" t="s">
        <v>1031</v>
      </c>
      <c r="I25" s="1345" t="s">
        <v>1463</v>
      </c>
      <c r="J25" s="355">
        <f ca="1">J5-J16</f>
        <v>0</v>
      </c>
      <c r="K25" s="1346" t="s">
        <v>1464</v>
      </c>
      <c r="L25" s="1347"/>
      <c r="M25" s="1348"/>
    </row>
    <row r="26" spans="1:37" ht="18" customHeight="1">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0</v>
      </c>
      <c r="D30" s="1338" t="s">
        <v>1425</v>
      </c>
      <c r="E30" s="1339"/>
      <c r="F30" s="1295"/>
      <c r="G30" s="1852"/>
      <c r="H30" s="744"/>
      <c r="I30" s="745"/>
      <c r="J30" s="746"/>
      <c r="K30" s="747"/>
      <c r="L30" s="748"/>
      <c r="M30" s="749"/>
    </row>
    <row r="31" spans="1:37" ht="18" customHeight="1">
      <c r="A31" s="1203"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0</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2" t="s">
        <v>1389</v>
      </c>
      <c r="B34" s="164" t="s">
        <v>1441</v>
      </c>
      <c r="C34" s="25">
        <f ca="1">IF(项目基本情况!B11="自然人","——",ROUND(F34*F35,))</f>
        <v>0</v>
      </c>
      <c r="D34" s="370" t="s">
        <v>1442</v>
      </c>
      <c r="E34" s="347" t="s">
        <v>1443</v>
      </c>
      <c r="F34" s="371">
        <f>'数据-取费表'!B52</f>
        <v>11</v>
      </c>
      <c r="G34" s="1852"/>
      <c r="H34" s="744"/>
      <c r="I34" s="1861"/>
      <c r="J34" s="1862"/>
      <c r="K34" s="1864"/>
      <c r="L34" s="1865"/>
      <c r="M34" s="1865"/>
    </row>
    <row r="35" spans="1:18" ht="18" customHeight="1">
      <c r="A35" s="1354"/>
      <c r="B35" s="1352"/>
      <c r="C35" s="29"/>
      <c r="D35" s="373"/>
      <c r="E35" s="347" t="s">
        <v>1447</v>
      </c>
      <c r="F35" s="348">
        <f ca="1">INDIRECT("'数据-取费表'!r"&amp;$G$1)</f>
        <v>0</v>
      </c>
      <c r="G35" s="1852"/>
      <c r="H35" s="744"/>
      <c r="I35" s="1861"/>
      <c r="J35" s="1862"/>
      <c r="K35" s="1863"/>
      <c r="L35" s="1860"/>
      <c r="M35" s="1860"/>
    </row>
    <row r="36" spans="1:18" ht="18" customHeight="1">
      <c r="A36" s="1353" t="s">
        <v>1039</v>
      </c>
      <c r="B36" s="347" t="s">
        <v>1449</v>
      </c>
      <c r="C36" s="24">
        <f ca="1">ROUND(C29*F36,0)</f>
        <v>0</v>
      </c>
      <c r="D36" s="1799"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ROUND(C13*F37,0)</f>
        <v>0</v>
      </c>
      <c r="D37" s="1799" t="s">
        <v>1454</v>
      </c>
      <c r="E37" s="347" t="s">
        <v>1455</v>
      </c>
      <c r="F37" s="376">
        <f ca="1">INDIRECT("'数据-取费表'!Al"&amp;$G$1)</f>
        <v>0</v>
      </c>
      <c r="G37" s="1852"/>
      <c r="H37" s="1860"/>
      <c r="I37" s="1861"/>
      <c r="J37" s="1862"/>
      <c r="K37" s="750"/>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5">
        <f ca="1">C5-C30</f>
        <v>0</v>
      </c>
      <c r="D39" s="1346" t="s">
        <v>1484</v>
      </c>
      <c r="E39" s="1347"/>
      <c r="F39" s="1348"/>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199" t="s">
        <v>1398</v>
      </c>
      <c r="D47" s="1199" t="s">
        <v>1399</v>
      </c>
      <c r="E47" s="1280" t="s">
        <v>1400</v>
      </c>
      <c r="F47" s="1281"/>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5" t="s">
        <v>1401</v>
      </c>
      <c r="C48" s="1818">
        <f ca="1">C49+C53+C55</f>
        <v>0</v>
      </c>
      <c r="D48" s="1363"/>
      <c r="E48" s="1364"/>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5">
        <f ca="1">ROUND(F49*F51*F50*(1-F52),0)</f>
        <v>0</v>
      </c>
      <c r="D49" s="1277" t="s">
        <v>1404</v>
      </c>
      <c r="E49" s="1831" t="s">
        <v>1491</v>
      </c>
      <c r="F49" s="1282"/>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201"/>
      <c r="D50" s="1174"/>
      <c r="E50" s="1278" t="s">
        <v>1406</v>
      </c>
      <c r="F50" s="1279">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9" t="s">
        <v>1409</v>
      </c>
      <c r="C53" s="361">
        <f ca="1">ROUND(IF(F53="押一",C49/12*F11,IF(F53="押二",C49/12*2*F11,IF(F53="押三",C49/12*3*F11,C54*F11))),0)</f>
        <v>0</v>
      </c>
      <c r="D53" s="1825" t="s">
        <v>3042</v>
      </c>
      <c r="E53" s="358"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254" t="s">
        <v>1548</v>
      </c>
      <c r="L53" s="3255"/>
      <c r="O53" s="1885" t="s">
        <v>1046</v>
      </c>
      <c r="P53" s="1886" t="s">
        <v>1549</v>
      </c>
      <c r="Q53" s="1887" t="e">
        <f ca="1">Q47+Q48</f>
        <v>#DIV/0!</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0</v>
      </c>
      <c r="D61" s="1829" t="s">
        <v>1438</v>
      </c>
      <c r="E61" s="1171"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11</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0</v>
      </c>
      <c r="D64" s="1185" t="s">
        <v>1502</v>
      </c>
      <c r="E64" s="1171"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0</v>
      </c>
      <c r="D65" s="1185" t="s">
        <v>1454</v>
      </c>
      <c r="E65" s="1171"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3" t="s">
        <v>1504</v>
      </c>
      <c r="B66" s="1171" t="s">
        <v>1439</v>
      </c>
      <c r="C66" s="24">
        <f ca="1">ROUND(C48*F66,0)</f>
        <v>0</v>
      </c>
      <c r="D66" s="1185" t="s">
        <v>1505</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6">
        <f ca="1">F42</f>
        <v>0</v>
      </c>
      <c r="O70" s="1895" t="s">
        <v>1049</v>
      </c>
      <c r="P70" s="1935" t="s">
        <v>1585</v>
      </c>
      <c r="Q70" s="1887">
        <f ca="1">C13</f>
        <v>0</v>
      </c>
      <c r="R70" s="1887" t="s">
        <v>1529</v>
      </c>
    </row>
    <row r="71" spans="1:18" s="1843" customFormat="1" ht="13.5" thickBot="1">
      <c r="A71" s="1192" t="s">
        <v>1033</v>
      </c>
      <c r="B71" s="1193" t="s">
        <v>1487</v>
      </c>
      <c r="C71" s="382" t="e">
        <f ca="1">ROUND(C68/F71,0)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4" priority="4">
      <formula>$L$48&gt;$J$51</formula>
    </cfRule>
  </conditionalFormatting>
  <conditionalFormatting sqref="I55 I60">
    <cfRule type="expression" dxfId="93"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A38" sqref="A38:D38"/>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0" t="s">
        <v>2524</v>
      </c>
      <c r="B1" s="2561"/>
      <c r="C1" s="2561"/>
      <c r="D1" s="2561"/>
      <c r="E1" s="2562"/>
    </row>
    <row r="2" spans="1:6" ht="15.75">
      <c r="A2" s="2563" t="s">
        <v>2327</v>
      </c>
      <c r="B2" s="2564">
        <f ca="1">SUMIF(B6:B13,"&lt;&gt;#ref!",B6:B13)</f>
        <v>20072</v>
      </c>
      <c r="C2" s="2565" t="s">
        <v>2517</v>
      </c>
      <c r="D2" s="2566" t="s">
        <v>2518</v>
      </c>
      <c r="E2" s="2567">
        <f>SUM(E6:E13)</f>
        <v>25792.44</v>
      </c>
    </row>
    <row r="3" spans="1:6" ht="15.75">
      <c r="A3" s="2563" t="s">
        <v>1395</v>
      </c>
      <c r="B3" s="2564">
        <f ca="1">ROUND(B2*10000/E2,0)</f>
        <v>7782</v>
      </c>
      <c r="C3" s="2565" t="s">
        <v>2525</v>
      </c>
      <c r="D3" s="2568"/>
      <c r="E3" s="2569"/>
    </row>
    <row r="4" spans="1:6" ht="15.75">
      <c r="A4" s="2570"/>
      <c r="B4" s="2568"/>
      <c r="C4" s="2568"/>
      <c r="D4" s="2568"/>
      <c r="E4" s="2569"/>
    </row>
    <row r="5" spans="1:6" ht="15">
      <c r="A5" s="2571" t="s">
        <v>2519</v>
      </c>
      <c r="B5" s="3259" t="s">
        <v>2520</v>
      </c>
      <c r="C5" s="3259"/>
      <c r="D5" s="2572"/>
      <c r="E5" s="2573" t="s">
        <v>2521</v>
      </c>
      <c r="F5" s="2574" t="s">
        <v>2522</v>
      </c>
    </row>
    <row r="6" spans="1:6">
      <c r="A6" s="2575" t="str">
        <f>'数据-取费表'!AN6</f>
        <v>收益法</v>
      </c>
      <c r="B6" s="2574">
        <f ca="1">IF(F6="是",'数据-取费表'!AO6,0)</f>
        <v>20072</v>
      </c>
      <c r="C6" s="2565" t="s">
        <v>2517</v>
      </c>
      <c r="D6" s="2568"/>
      <c r="E6" s="2576">
        <f>IF(OR(A6=0,F6="否"),0,'数据-取费表'!K6+'数据-取费表'!S6)</f>
        <v>25792.44</v>
      </c>
      <c r="F6" s="2577" t="s">
        <v>2523</v>
      </c>
    </row>
    <row r="7" spans="1:6">
      <c r="A7" s="2575">
        <f>'数据-取费表'!AN7</f>
        <v>0</v>
      </c>
      <c r="B7" s="2574" t="e">
        <f ca="1">IF(F7="是",'数据-取费表'!AO7,0)</f>
        <v>#REF!</v>
      </c>
      <c r="C7" s="2565" t="s">
        <v>2517</v>
      </c>
      <c r="D7" s="2568"/>
      <c r="E7" s="2576">
        <f>IF(OR(A7=0,F7="否"),0,'数据-取费表'!K7+'数据-取费表'!S7)</f>
        <v>0</v>
      </c>
      <c r="F7" s="2577" t="s">
        <v>2523</v>
      </c>
    </row>
    <row r="8" spans="1:6">
      <c r="A8" s="2575">
        <f>'数据-取费表'!AN8</f>
        <v>0</v>
      </c>
      <c r="B8" s="2574" t="e">
        <f ca="1">IF(F8="是",'数据-取费表'!AO8,0)</f>
        <v>#REF!</v>
      </c>
      <c r="C8" s="2565" t="s">
        <v>2517</v>
      </c>
      <c r="D8" s="2568"/>
      <c r="E8" s="2576">
        <f>IF(OR(A8=0,F8="否"),0,'数据-取费表'!K8+'数据-取费表'!S8)</f>
        <v>0</v>
      </c>
      <c r="F8" s="2577" t="s">
        <v>2523</v>
      </c>
    </row>
    <row r="9" spans="1:6">
      <c r="A9" s="2575">
        <f>'数据-取费表'!AN9</f>
        <v>0</v>
      </c>
      <c r="B9" s="2574" t="e">
        <f ca="1">IF(F9="是",'数据-取费表'!AO9,0)</f>
        <v>#REF!</v>
      </c>
      <c r="C9" s="2565" t="s">
        <v>2517</v>
      </c>
      <c r="D9" s="2568"/>
      <c r="E9" s="2576">
        <f>IF(OR(A9=0,F9="否"),0,'数据-取费表'!K9+'数据-取费表'!S9)</f>
        <v>0</v>
      </c>
      <c r="F9" s="2577" t="s">
        <v>2523</v>
      </c>
    </row>
    <row r="10" spans="1:6">
      <c r="A10" s="2575">
        <f>'数据-取费表'!AN10</f>
        <v>0</v>
      </c>
      <c r="B10" s="2574" t="e">
        <f ca="1">IF(F10="是",'数据-取费表'!AO10,0)</f>
        <v>#REF!</v>
      </c>
      <c r="C10" s="2565" t="s">
        <v>2517</v>
      </c>
      <c r="D10" s="2568"/>
      <c r="E10" s="2576">
        <f>IF(OR(A10=0,F10="否"),0,'数据-取费表'!K10+'数据-取费表'!S10)</f>
        <v>0</v>
      </c>
      <c r="F10" s="2577" t="s">
        <v>2523</v>
      </c>
    </row>
    <row r="11" spans="1:6">
      <c r="A11" s="2575">
        <f>'数据-取费表'!AN11</f>
        <v>0</v>
      </c>
      <c r="B11" s="2574" t="e">
        <f ca="1">IF(F11="是",'数据-取费表'!AO11,0)</f>
        <v>#REF!</v>
      </c>
      <c r="C11" s="2565" t="s">
        <v>2517</v>
      </c>
      <c r="D11" s="2568"/>
      <c r="E11" s="2576">
        <f>IF(OR(A11=0,F11="否"),0,'数据-取费表'!K11+'数据-取费表'!S11)</f>
        <v>0</v>
      </c>
      <c r="F11" s="2577" t="s">
        <v>2523</v>
      </c>
    </row>
    <row r="12" spans="1:6">
      <c r="A12" s="2575">
        <f>'数据-取费表'!AN12</f>
        <v>0</v>
      </c>
      <c r="B12" s="2574" t="e">
        <f ca="1">IF(F12="是",'数据-取费表'!AO12,0)</f>
        <v>#REF!</v>
      </c>
      <c r="C12" s="2565" t="s">
        <v>2517</v>
      </c>
      <c r="D12" s="2568"/>
      <c r="E12" s="2576">
        <f>IF(OR(A12=0,F12="否"),0,'数据-取费表'!K12+'数据-取费表'!S12)</f>
        <v>0</v>
      </c>
      <c r="F12" s="2577" t="s">
        <v>2523</v>
      </c>
    </row>
    <row r="13" spans="1:6" ht="15" thickBot="1">
      <c r="A13" s="2578">
        <f>'数据-取费表'!AN13</f>
        <v>0</v>
      </c>
      <c r="B13" s="2574" t="e">
        <f ca="1">IF(F13="是",'数据-取费表'!AO13,0)</f>
        <v>#REF!</v>
      </c>
      <c r="C13" s="2579" t="s">
        <v>2517</v>
      </c>
      <c r="D13" s="2580"/>
      <c r="E13" s="2576">
        <f>IF(OR(A13=0,F13="否"),0,'数据-取费表'!K13+'数据-取费表'!S13)</f>
        <v>0</v>
      </c>
      <c r="F13" s="257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76" t="s">
        <v>1076</v>
      </c>
      <c r="B1" s="3277"/>
      <c r="C1" s="3278"/>
      <c r="D1" s="3279">
        <f>SUM(I10,I15,I20,I21,I23)</f>
        <v>0</v>
      </c>
      <c r="E1" s="3279"/>
      <c r="F1" s="3279"/>
      <c r="G1" s="3279"/>
      <c r="H1" s="3279"/>
      <c r="I1" s="3280"/>
    </row>
    <row r="2" spans="1:9">
      <c r="A2" s="3266" t="s">
        <v>1077</v>
      </c>
      <c r="B2" s="3267" t="s">
        <v>1078</v>
      </c>
      <c r="C2" s="3267"/>
      <c r="D2" s="1302" t="s">
        <v>1079</v>
      </c>
      <c r="E2" s="1302" t="s">
        <v>1080</v>
      </c>
      <c r="F2" s="1302" t="s">
        <v>1081</v>
      </c>
      <c r="G2" s="1302" t="s">
        <v>1082</v>
      </c>
      <c r="H2" s="1302" t="s">
        <v>1083</v>
      </c>
      <c r="I2" s="1303" t="s">
        <v>1084</v>
      </c>
    </row>
    <row r="3" spans="1:9">
      <c r="A3" s="3266"/>
      <c r="B3" s="3267" t="s">
        <v>1085</v>
      </c>
      <c r="C3" s="3267"/>
      <c r="D3" s="1304"/>
      <c r="E3" s="1302"/>
      <c r="F3" s="1305"/>
      <c r="G3" s="1305"/>
      <c r="H3" s="1306"/>
      <c r="I3" s="1307">
        <f>ROUND(D3*E3*F3*G3*H3/10000,0)</f>
        <v>0</v>
      </c>
    </row>
    <row r="4" spans="1:9">
      <c r="A4" s="3266"/>
      <c r="B4" s="3267" t="s">
        <v>1086</v>
      </c>
      <c r="C4" s="3267"/>
      <c r="D4" s="1304"/>
      <c r="E4" s="1302"/>
      <c r="F4" s="1305"/>
      <c r="G4" s="1305"/>
      <c r="H4" s="1306"/>
      <c r="I4" s="1307">
        <f t="shared" ref="I4:I9" si="0">ROUND(D4*E4*F4*G4*H4/10000,0)</f>
        <v>0</v>
      </c>
    </row>
    <row r="5" spans="1:9">
      <c r="A5" s="3266"/>
      <c r="B5" s="3267" t="s">
        <v>1087</v>
      </c>
      <c r="C5" s="3267"/>
      <c r="D5" s="1304"/>
      <c r="E5" s="1302"/>
      <c r="F5" s="1305"/>
      <c r="G5" s="1305"/>
      <c r="H5" s="1306"/>
      <c r="I5" s="1307">
        <f t="shared" si="0"/>
        <v>0</v>
      </c>
    </row>
    <row r="6" spans="1:9">
      <c r="A6" s="3266"/>
      <c r="B6" s="3267" t="s">
        <v>1088</v>
      </c>
      <c r="C6" s="3267"/>
      <c r="D6" s="1304"/>
      <c r="E6" s="1302"/>
      <c r="F6" s="1305"/>
      <c r="G6" s="1305"/>
      <c r="H6" s="1306"/>
      <c r="I6" s="1307">
        <f t="shared" si="0"/>
        <v>0</v>
      </c>
    </row>
    <row r="7" spans="1:9">
      <c r="A7" s="3266"/>
      <c r="B7" s="3267" t="s">
        <v>1089</v>
      </c>
      <c r="C7" s="3267"/>
      <c r="D7" s="1304"/>
      <c r="E7" s="1302"/>
      <c r="F7" s="1305"/>
      <c r="G7" s="1305"/>
      <c r="H7" s="1306"/>
      <c r="I7" s="1307">
        <f t="shared" si="0"/>
        <v>0</v>
      </c>
    </row>
    <row r="8" spans="1:9">
      <c r="A8" s="3266"/>
      <c r="B8" s="3267" t="s">
        <v>1090</v>
      </c>
      <c r="C8" s="3267"/>
      <c r="D8" s="1304"/>
      <c r="E8" s="1302"/>
      <c r="F8" s="1305"/>
      <c r="G8" s="1305"/>
      <c r="H8" s="1306"/>
      <c r="I8" s="1307">
        <f t="shared" si="0"/>
        <v>0</v>
      </c>
    </row>
    <row r="9" spans="1:9">
      <c r="A9" s="3266"/>
      <c r="B9" s="3267" t="s">
        <v>1091</v>
      </c>
      <c r="C9" s="3267"/>
      <c r="D9" s="1304"/>
      <c r="E9" s="1302"/>
      <c r="F9" s="1305"/>
      <c r="G9" s="1305"/>
      <c r="H9" s="1306"/>
      <c r="I9" s="1307">
        <f t="shared" si="0"/>
        <v>0</v>
      </c>
    </row>
    <row r="10" spans="1:9">
      <c r="A10" s="3266"/>
      <c r="B10" s="3268" t="s">
        <v>1092</v>
      </c>
      <c r="C10" s="3268"/>
      <c r="D10" s="1308"/>
      <c r="E10" s="1308" t="e">
        <f>ROUND(D1*10000/D10/H9,0)</f>
        <v>#DIV/0!</v>
      </c>
      <c r="F10" s="1309"/>
      <c r="G10" s="1309"/>
      <c r="H10" s="1310"/>
      <c r="I10" s="1311">
        <f>SUM(I3:I9)</f>
        <v>0</v>
      </c>
    </row>
    <row r="11" spans="1:9" ht="14.25">
      <c r="A11" s="3266" t="s">
        <v>1093</v>
      </c>
      <c r="B11" s="3267" t="s">
        <v>1094</v>
      </c>
      <c r="C11" s="3267"/>
      <c r="D11" s="1304" t="s">
        <v>1095</v>
      </c>
      <c r="E11" s="1304" t="s">
        <v>1096</v>
      </c>
      <c r="F11" s="1305" t="s">
        <v>1097</v>
      </c>
      <c r="G11" s="1305" t="s">
        <v>1083</v>
      </c>
      <c r="H11" s="1312" t="s">
        <v>1098</v>
      </c>
      <c r="I11" s="1303" t="s">
        <v>1084</v>
      </c>
    </row>
    <row r="12" spans="1:9">
      <c r="A12" s="3266"/>
      <c r="B12" s="3267" t="s">
        <v>1099</v>
      </c>
      <c r="C12" s="3267"/>
      <c r="D12" s="1304"/>
      <c r="E12" s="1304"/>
      <c r="F12" s="1305"/>
      <c r="G12" s="1306"/>
      <c r="H12" s="1313"/>
      <c r="I12" s="1303">
        <f>ROUND(D12*E12*F12*G12/10000,0)</f>
        <v>0</v>
      </c>
    </row>
    <row r="13" spans="1:9">
      <c r="A13" s="3266"/>
      <c r="B13" s="3267" t="s">
        <v>1100</v>
      </c>
      <c r="C13" s="3267"/>
      <c r="D13" s="1304"/>
      <c r="E13" s="1304"/>
      <c r="F13" s="1305"/>
      <c r="G13" s="1306"/>
      <c r="H13" s="1313"/>
      <c r="I13" s="1303">
        <f>ROUND(D13*E13*F13*G13/10000,0)</f>
        <v>0</v>
      </c>
    </row>
    <row r="14" spans="1:9">
      <c r="A14" s="3266"/>
      <c r="B14" s="3267" t="s">
        <v>1101</v>
      </c>
      <c r="C14" s="3267"/>
      <c r="D14" s="1304"/>
      <c r="E14" s="1304"/>
      <c r="F14" s="1305"/>
      <c r="G14" s="1306"/>
      <c r="H14" s="1313"/>
      <c r="I14" s="1303">
        <f>ROUND(D14*E14*F14*G14/10000,0)</f>
        <v>0</v>
      </c>
    </row>
    <row r="15" spans="1:9">
      <c r="A15" s="3266"/>
      <c r="B15" s="3268" t="s">
        <v>1092</v>
      </c>
      <c r="C15" s="3268"/>
      <c r="D15" s="1308"/>
      <c r="E15" s="1308">
        <f>SUM(E12:E14)</f>
        <v>0</v>
      </c>
      <c r="F15" s="1309"/>
      <c r="G15" s="1306"/>
      <c r="H15" s="1313"/>
      <c r="I15" s="1314">
        <f>SUM(I12:I14)</f>
        <v>0</v>
      </c>
    </row>
    <row r="16" spans="1:9" ht="24">
      <c r="A16" s="3266" t="s">
        <v>1102</v>
      </c>
      <c r="B16" s="3267" t="s">
        <v>1103</v>
      </c>
      <c r="C16" s="3267"/>
      <c r="D16" s="1304" t="s">
        <v>1079</v>
      </c>
      <c r="E16" s="1315" t="s">
        <v>1104</v>
      </c>
      <c r="F16" s="1305" t="s">
        <v>1105</v>
      </c>
      <c r="G16" s="1306" t="s">
        <v>1083</v>
      </c>
      <c r="H16" s="1312" t="s">
        <v>1098</v>
      </c>
      <c r="I16" s="1303" t="s">
        <v>1084</v>
      </c>
    </row>
    <row r="17" spans="1:9" ht="14.25">
      <c r="A17" s="3266"/>
      <c r="B17" s="3267" t="s">
        <v>1106</v>
      </c>
      <c r="C17" s="3267"/>
      <c r="D17" s="1304"/>
      <c r="E17" s="1304"/>
      <c r="F17" s="1305"/>
      <c r="G17" s="1306"/>
      <c r="H17" s="1316"/>
      <c r="I17" s="1317">
        <f>ROUND(D17*E17*F17*G17/10000,0)</f>
        <v>0</v>
      </c>
    </row>
    <row r="18" spans="1:9" ht="14.25">
      <c r="A18" s="3266"/>
      <c r="B18" s="3267" t="s">
        <v>1107</v>
      </c>
      <c r="C18" s="3267"/>
      <c r="D18" s="1304"/>
      <c r="E18" s="1304"/>
      <c r="F18" s="1305"/>
      <c r="G18" s="1306"/>
      <c r="H18" s="1316"/>
      <c r="I18" s="1317">
        <f>ROUND(D18*E18*F18*G18/10000,0)</f>
        <v>0</v>
      </c>
    </row>
    <row r="19" spans="1:9" ht="14.25">
      <c r="A19" s="3266"/>
      <c r="B19" s="3267" t="s">
        <v>1108</v>
      </c>
      <c r="C19" s="3267"/>
      <c r="D19" s="1304"/>
      <c r="E19" s="1304"/>
      <c r="F19" s="1305"/>
      <c r="G19" s="1306"/>
      <c r="H19" s="1316"/>
      <c r="I19" s="1317">
        <f>ROUND(D19*E19*F19*G19/10000,0)</f>
        <v>0</v>
      </c>
    </row>
    <row r="20" spans="1:9">
      <c r="A20" s="3266"/>
      <c r="B20" s="3268" t="s">
        <v>1092</v>
      </c>
      <c r="C20" s="3268"/>
      <c r="D20" s="1308">
        <f>SUM(D17:D19)</f>
        <v>0</v>
      </c>
      <c r="E20" s="1308"/>
      <c r="F20" s="1309"/>
      <c r="G20" s="1306"/>
      <c r="H20" s="1313"/>
      <c r="I20" s="1314">
        <f>SUM(I17:I19)</f>
        <v>0</v>
      </c>
    </row>
    <row r="21" spans="1:9">
      <c r="A21" s="3266" t="s">
        <v>1109</v>
      </c>
      <c r="B21" s="3269"/>
      <c r="C21" s="3269"/>
      <c r="D21" s="3269"/>
      <c r="E21" s="3269"/>
      <c r="F21" s="3269"/>
      <c r="G21" s="3269"/>
      <c r="H21" s="1766">
        <v>0.1</v>
      </c>
      <c r="I21" s="1311">
        <f>ROUND(I10*H21,0)</f>
        <v>0</v>
      </c>
    </row>
    <row r="22" spans="1:9" ht="14.25">
      <c r="A22" s="3270" t="s">
        <v>1110</v>
      </c>
      <c r="B22" s="3271"/>
      <c r="C22" s="3272"/>
      <c r="D22" s="1318" t="s">
        <v>1111</v>
      </c>
      <c r="E22" s="1318" t="s">
        <v>1112</v>
      </c>
      <c r="F22" s="1319" t="s">
        <v>1113</v>
      </c>
      <c r="G22" s="1319" t="s">
        <v>1114</v>
      </c>
      <c r="H22" s="1312" t="s">
        <v>1115</v>
      </c>
      <c r="I22" s="1303" t="s">
        <v>1116</v>
      </c>
    </row>
    <row r="23" spans="1:9" ht="14.25" thickBot="1">
      <c r="A23" s="3273"/>
      <c r="B23" s="3274"/>
      <c r="C23" s="3275"/>
      <c r="D23" s="1320"/>
      <c r="E23" s="1320"/>
      <c r="F23" s="1320"/>
      <c r="G23" s="1321"/>
      <c r="H23" s="1322"/>
      <c r="I23" s="1323">
        <f>ROUND(E23*D23*F23*(1-G23)/10000,0)</f>
        <v>0</v>
      </c>
    </row>
    <row r="26" spans="1:9">
      <c r="A26" s="1324" t="s">
        <v>1117</v>
      </c>
      <c r="B26" s="1324"/>
      <c r="C26" s="1324"/>
      <c r="D26" s="1324"/>
      <c r="E26" s="3263">
        <f>C27-C30-C31-C32</f>
        <v>0</v>
      </c>
      <c r="F26" s="3263"/>
      <c r="G26" s="3263"/>
      <c r="H26" s="1738" t="s">
        <v>1340</v>
      </c>
    </row>
    <row r="27" spans="1:9">
      <c r="A27" s="1325">
        <v>1</v>
      </c>
      <c r="B27" s="1326" t="s">
        <v>1118</v>
      </c>
      <c r="C27" s="1326">
        <f>C28+C29</f>
        <v>0</v>
      </c>
      <c r="D27" s="1326"/>
      <c r="E27" s="3264"/>
      <c r="F27" s="3264"/>
      <c r="G27" s="3264"/>
    </row>
    <row r="28" spans="1:9">
      <c r="A28" s="1327" t="s">
        <v>1119</v>
      </c>
      <c r="B28" s="1326" t="s">
        <v>1120</v>
      </c>
      <c r="C28" s="1326"/>
      <c r="D28" s="1326"/>
      <c r="E28" s="3264"/>
      <c r="F28" s="3264"/>
      <c r="G28" s="3264"/>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65"/>
      <c r="F32" s="3265"/>
      <c r="G32" s="3265"/>
    </row>
    <row r="33" spans="1:7" hidden="1">
      <c r="A33" s="3260" t="s">
        <v>1129</v>
      </c>
      <c r="B33" s="3261"/>
      <c r="C33" s="3261"/>
      <c r="D33" s="3262"/>
      <c r="E33" s="3263"/>
      <c r="F33" s="3263"/>
      <c r="G33" s="3263"/>
    </row>
    <row r="34" spans="1:7" hidden="1">
      <c r="A34" s="1329">
        <v>1</v>
      </c>
      <c r="B34" s="1326" t="s">
        <v>1130</v>
      </c>
      <c r="C34" s="1326"/>
      <c r="D34" s="1326"/>
      <c r="E34" s="3264"/>
      <c r="F34" s="3264"/>
      <c r="G34" s="3264"/>
    </row>
    <row r="35" spans="1:7" hidden="1">
      <c r="A35" s="1329">
        <v>2</v>
      </c>
      <c r="B35" s="1326" t="s">
        <v>1131</v>
      </c>
      <c r="C35" s="1326"/>
      <c r="D35" s="1326"/>
      <c r="E35" s="3264"/>
      <c r="F35" s="3264"/>
      <c r="G35" s="3264"/>
    </row>
    <row r="36" spans="1:7" hidden="1">
      <c r="A36" s="1329">
        <v>3</v>
      </c>
      <c r="B36" s="1326" t="s">
        <v>1132</v>
      </c>
      <c r="C36" s="1326"/>
      <c r="D36" s="1326"/>
      <c r="E36" s="3264"/>
      <c r="F36" s="3264"/>
      <c r="G36" s="3264"/>
    </row>
    <row r="37" spans="1:7" hidden="1">
      <c r="A37" s="1329">
        <v>4</v>
      </c>
      <c r="B37" s="1326" t="s">
        <v>1133</v>
      </c>
      <c r="C37" s="1326"/>
      <c r="D37" s="1326"/>
      <c r="E37" s="3264"/>
      <c r="F37" s="3264"/>
      <c r="G37" s="3264"/>
    </row>
    <row r="38" spans="1:7" hidden="1">
      <c r="A38" s="3260" t="s">
        <v>1134</v>
      </c>
      <c r="B38" s="3261"/>
      <c r="C38" s="3261"/>
      <c r="D38" s="3262"/>
      <c r="E38" s="3263"/>
      <c r="F38" s="3263"/>
      <c r="G38" s="32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581" t="s">
        <v>2527</v>
      </c>
      <c r="C1" s="1635" t="s">
        <v>2528</v>
      </c>
      <c r="D1" s="1622"/>
      <c r="E1" s="2582"/>
      <c r="F1" s="2583" t="s">
        <v>2529</v>
      </c>
      <c r="G1" s="1632" t="s">
        <v>2530</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85"/>
      <c r="D2" s="1366" t="e">
        <f ca="1">SUMIF(INDIRECT("'"&amp;F2&amp;"'"&amp;"!A:A"),"承租人权益价值",INDIRECT("'"&amp;F2&amp;"'"&amp;"!c:c"))</f>
        <v>#REF!</v>
      </c>
      <c r="E2" s="2586" t="s">
        <v>2531</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2532</v>
      </c>
      <c r="D3" s="399">
        <f>IF(D1="",'数据-汇总表'!E3,SUMIF('数据-汇总表'!$C19:$C33,D1,'数据-汇总表'!$E19:$E33))</f>
        <v>25792.44</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3"/>
    </row>
    <row r="4" spans="1:29" ht="15">
      <c r="A4" s="401" t="s">
        <v>2533</v>
      </c>
      <c r="B4" s="402"/>
      <c r="C4" s="3188" t="s">
        <v>2534</v>
      </c>
      <c r="D4" s="3201"/>
      <c r="E4" s="3202" t="s">
        <v>2535</v>
      </c>
      <c r="F4" s="3203"/>
      <c r="G4" s="3188" t="s">
        <v>2536</v>
      </c>
      <c r="H4" s="3201"/>
      <c r="I4" s="3188" t="s">
        <v>2537</v>
      </c>
      <c r="J4" s="3201"/>
      <c r="K4" s="2595" t="s">
        <v>2538</v>
      </c>
      <c r="L4" s="1132"/>
      <c r="M4" s="1133"/>
      <c r="N4" s="1133"/>
      <c r="O4" s="1133"/>
      <c r="P4" s="3204" t="s">
        <v>2539</v>
      </c>
      <c r="Q4" s="3205"/>
      <c r="R4" s="3210" t="s">
        <v>2535</v>
      </c>
      <c r="S4" s="3211"/>
      <c r="T4" s="3210" t="s">
        <v>2536</v>
      </c>
      <c r="U4" s="3211"/>
      <c r="V4" s="3197" t="s">
        <v>2537</v>
      </c>
      <c r="W4" s="3197"/>
      <c r="X4" s="1814"/>
      <c r="Y4" s="3210" t="s">
        <v>2539</v>
      </c>
      <c r="Z4" s="3211"/>
      <c r="AA4" s="3198" t="s">
        <v>2535</v>
      </c>
      <c r="AB4" s="3198" t="s">
        <v>2536</v>
      </c>
      <c r="AC4" s="3198" t="s">
        <v>2537</v>
      </c>
    </row>
    <row r="5" spans="1:29" ht="15">
      <c r="A5" s="404"/>
      <c r="B5" s="405"/>
      <c r="C5" s="3218" t="s">
        <v>2540</v>
      </c>
      <c r="D5" s="3219"/>
      <c r="E5" s="3225" t="s">
        <v>2541</v>
      </c>
      <c r="F5" s="3226"/>
      <c r="G5" s="3218" t="s">
        <v>2542</v>
      </c>
      <c r="H5" s="3219"/>
      <c r="I5" s="3218" t="s">
        <v>2543</v>
      </c>
      <c r="J5" s="3219"/>
      <c r="K5" s="2596"/>
      <c r="L5" s="1132"/>
      <c r="M5" s="1133"/>
      <c r="N5" s="1133"/>
      <c r="O5" s="1133"/>
      <c r="P5" s="3206"/>
      <c r="Q5" s="3207"/>
      <c r="R5" s="3212"/>
      <c r="S5" s="3213"/>
      <c r="T5" s="3212"/>
      <c r="U5" s="3213"/>
      <c r="V5" s="3197"/>
      <c r="W5" s="3197"/>
      <c r="X5" s="1814"/>
      <c r="Y5" s="3212"/>
      <c r="Z5" s="3213"/>
      <c r="AA5" s="3199"/>
      <c r="AB5" s="3199"/>
      <c r="AC5" s="3199"/>
    </row>
    <row r="6" spans="1:29" ht="15.75" thickBot="1">
      <c r="A6" s="406"/>
      <c r="B6" s="407"/>
      <c r="C6" s="3216" t="s">
        <v>2544</v>
      </c>
      <c r="D6" s="3217"/>
      <c r="E6" s="3223" t="s">
        <v>2544</v>
      </c>
      <c r="F6" s="3224"/>
      <c r="G6" s="3216" t="s">
        <v>2544</v>
      </c>
      <c r="H6" s="3217"/>
      <c r="I6" s="3216" t="s">
        <v>2544</v>
      </c>
      <c r="J6" s="3217"/>
      <c r="K6" s="2596" t="s">
        <v>2545</v>
      </c>
      <c r="L6" s="1132"/>
      <c r="M6" s="1133"/>
      <c r="N6" s="1133"/>
      <c r="O6" s="1133"/>
      <c r="P6" s="3208"/>
      <c r="Q6" s="3209"/>
      <c r="R6" s="3212"/>
      <c r="S6" s="3213"/>
      <c r="T6" s="3214"/>
      <c r="U6" s="3215"/>
      <c r="V6" s="3197"/>
      <c r="W6" s="3197"/>
      <c r="X6" s="1814"/>
      <c r="Y6" s="3214"/>
      <c r="Z6" s="3215"/>
      <c r="AA6" s="3200"/>
      <c r="AB6" s="3200"/>
      <c r="AC6" s="3200"/>
    </row>
    <row r="7" spans="1:29" s="117" customFormat="1" ht="15.75" thickBot="1">
      <c r="A7" s="408" t="s">
        <v>2546</v>
      </c>
      <c r="B7" s="409"/>
      <c r="C7" s="410">
        <f>'数据-取费表'!B2</f>
        <v>43692</v>
      </c>
      <c r="D7" s="411">
        <v>100</v>
      </c>
      <c r="E7" s="412"/>
      <c r="F7" s="413">
        <f>SUMIF(58:58,YEAR(E7)&amp;"-"&amp;MONTH(E7),59:59)</f>
        <v>0</v>
      </c>
      <c r="G7" s="412"/>
      <c r="H7" s="411">
        <f>SUMIF(58:58,YEAR(G7)&amp;"-"&amp;MONTH(G7),59:59)</f>
        <v>0</v>
      </c>
      <c r="I7" s="412"/>
      <c r="J7" s="411">
        <f>SUMIF(58:58,YEAR(I7)&amp;"-"&amp;MONTH(I7),59:59)</f>
        <v>0</v>
      </c>
      <c r="K7" s="2597"/>
      <c r="L7" s="1134"/>
      <c r="M7" s="1135"/>
      <c r="N7" s="1135"/>
      <c r="O7" s="1135"/>
      <c r="P7" s="3220" t="s">
        <v>2547</v>
      </c>
      <c r="Q7" s="3222"/>
      <c r="R7" s="769" t="s">
        <v>23</v>
      </c>
      <c r="S7" s="770">
        <f t="shared" ref="S7:S15" si="0">F7</f>
        <v>0</v>
      </c>
      <c r="T7" s="769" t="s">
        <v>23</v>
      </c>
      <c r="U7" s="770">
        <f t="shared" ref="U7:U15" si="1">H7</f>
        <v>0</v>
      </c>
      <c r="V7" s="769" t="s">
        <v>23</v>
      </c>
      <c r="W7" s="770">
        <f t="shared" ref="W7:W15" si="2">J7</f>
        <v>0</v>
      </c>
      <c r="X7" s="771"/>
      <c r="Y7" s="3220" t="s">
        <v>2547</v>
      </c>
      <c r="Z7" s="3221"/>
      <c r="AA7" s="772" t="e">
        <f>D7/F7</f>
        <v>#DIV/0!</v>
      </c>
      <c r="AB7" s="772" t="e">
        <f>D7/H7</f>
        <v>#DIV/0!</v>
      </c>
      <c r="AC7" s="772" t="e">
        <f>D7/J7</f>
        <v>#DIV/0!</v>
      </c>
    </row>
    <row r="8" spans="1:29" s="117" customFormat="1" ht="15.75" thickBot="1">
      <c r="A8" s="408" t="s">
        <v>2548</v>
      </c>
      <c r="B8" s="409"/>
      <c r="C8" s="414" t="s">
        <v>2549</v>
      </c>
      <c r="D8" s="411">
        <v>100</v>
      </c>
      <c r="E8" s="2598"/>
      <c r="F8" s="413">
        <f>SUMIF(61:61,E8,62:62)-SUMIF(61:61,C8,62:62)+100</f>
        <v>0</v>
      </c>
      <c r="G8" s="414"/>
      <c r="H8" s="411">
        <f>SUMIF(61:61,G8,62:62)-SUMIF(61:61,C8,62:62)+100</f>
        <v>0</v>
      </c>
      <c r="I8" s="2598"/>
      <c r="J8" s="411">
        <f>SUMIF(61:61,I8,62:62)-SUMIF(61:61,C8,62:62)+100</f>
        <v>0</v>
      </c>
      <c r="K8" s="2597"/>
      <c r="L8" s="1134"/>
      <c r="M8" s="1135"/>
      <c r="N8" s="1135"/>
      <c r="O8" s="1135"/>
      <c r="P8" s="3220" t="s">
        <v>2550</v>
      </c>
      <c r="Q8" s="3221"/>
      <c r="R8" s="769" t="s">
        <v>23</v>
      </c>
      <c r="S8" s="770">
        <f t="shared" si="0"/>
        <v>0</v>
      </c>
      <c r="T8" s="769" t="s">
        <v>23</v>
      </c>
      <c r="U8" s="770">
        <f t="shared" si="1"/>
        <v>0</v>
      </c>
      <c r="V8" s="769" t="s">
        <v>23</v>
      </c>
      <c r="W8" s="770">
        <f t="shared" si="2"/>
        <v>0</v>
      </c>
      <c r="X8" s="771"/>
      <c r="Y8" s="3220" t="s">
        <v>2550</v>
      </c>
      <c r="Z8" s="3221"/>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7"/>
      <c r="L9" s="1134"/>
      <c r="M9" s="1135"/>
      <c r="N9" s="1135"/>
      <c r="O9" s="1135"/>
      <c r="P9" s="3190" t="s">
        <v>2553</v>
      </c>
      <c r="Q9" s="1796" t="str">
        <f t="shared" ref="Q9:Q15" si="6">B9</f>
        <v>用途</v>
      </c>
      <c r="R9" s="769" t="s">
        <v>17</v>
      </c>
      <c r="S9" s="770">
        <f t="shared" si="0"/>
        <v>100</v>
      </c>
      <c r="T9" s="769" t="s">
        <v>17</v>
      </c>
      <c r="U9" s="770">
        <f t="shared" si="1"/>
        <v>100</v>
      </c>
      <c r="V9" s="769" t="s">
        <v>17</v>
      </c>
      <c r="W9" s="770">
        <f t="shared" si="2"/>
        <v>100</v>
      </c>
      <c r="X9" s="771"/>
      <c r="Y9" s="3042" t="s">
        <v>2554</v>
      </c>
      <c r="Z9" s="55" t="str">
        <f t="shared" ref="Z9:Z15" si="7">Q9</f>
        <v>用途</v>
      </c>
      <c r="AA9" s="772">
        <f t="shared" si="3"/>
        <v>1</v>
      </c>
      <c r="AB9" s="772">
        <f t="shared" si="4"/>
        <v>1</v>
      </c>
      <c r="AC9" s="772">
        <f t="shared" si="5"/>
        <v>1</v>
      </c>
    </row>
    <row r="10" spans="1:29" s="426" customFormat="1" ht="27">
      <c r="A10" s="420"/>
      <c r="B10" s="421" t="s">
        <v>2555</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190"/>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2556</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190"/>
      <c r="Q11" s="1796" t="str">
        <f t="shared" si="6"/>
        <v>容积率</v>
      </c>
      <c r="R11" s="769" t="s">
        <v>21</v>
      </c>
      <c r="S11" s="770" t="e">
        <f t="shared" si="0"/>
        <v>#N/A</v>
      </c>
      <c r="T11" s="769" t="s">
        <v>21</v>
      </c>
      <c r="U11" s="770" t="e">
        <f t="shared" si="1"/>
        <v>#N/A</v>
      </c>
      <c r="V11" s="769" t="s">
        <v>21</v>
      </c>
      <c r="W11" s="770" t="e">
        <f t="shared" si="2"/>
        <v>#N/A</v>
      </c>
      <c r="X11" s="771"/>
      <c r="Y11" s="3042"/>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6">
        <f>SUMIF(70:70,G12,71:71)-SUMIF(70:70,C12,71:71)+100</f>
        <v>100</v>
      </c>
      <c r="I12" s="431"/>
      <c r="J12" s="136">
        <f>SUMIF(70:70,I12,71:71)-SUMIF(70:70,C12,71:71)+100</f>
        <v>100</v>
      </c>
      <c r="K12" s="2600"/>
      <c r="L12" s="1134"/>
      <c r="M12" s="1135"/>
      <c r="N12" s="1135"/>
      <c r="O12" s="1135"/>
      <c r="P12" s="3190"/>
      <c r="Q12" s="1796">
        <f t="shared" si="6"/>
        <v>111</v>
      </c>
      <c r="R12" s="769" t="s">
        <v>21</v>
      </c>
      <c r="S12" s="770">
        <f t="shared" si="0"/>
        <v>100</v>
      </c>
      <c r="T12" s="769" t="s">
        <v>21</v>
      </c>
      <c r="U12" s="770">
        <f t="shared" si="1"/>
        <v>100</v>
      </c>
      <c r="V12" s="769" t="s">
        <v>21</v>
      </c>
      <c r="W12" s="770">
        <f t="shared" si="2"/>
        <v>100</v>
      </c>
      <c r="X12" s="771"/>
      <c r="Y12" s="3042"/>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2"/>
      <c r="M13" s="1133"/>
      <c r="N13" s="1133"/>
      <c r="O13" s="1133"/>
      <c r="P13" s="3190"/>
      <c r="Q13" s="1796">
        <f t="shared" si="6"/>
        <v>111</v>
      </c>
      <c r="R13" s="769" t="s">
        <v>21</v>
      </c>
      <c r="S13" s="770">
        <f t="shared" si="0"/>
        <v>100</v>
      </c>
      <c r="T13" s="769" t="s">
        <v>21</v>
      </c>
      <c r="U13" s="770">
        <f t="shared" si="1"/>
        <v>100</v>
      </c>
      <c r="V13" s="769" t="s">
        <v>21</v>
      </c>
      <c r="W13" s="770">
        <f t="shared" si="2"/>
        <v>100</v>
      </c>
      <c r="X13" s="771"/>
      <c r="Y13" s="3042"/>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2"/>
      <c r="M14" s="1133"/>
      <c r="N14" s="1133"/>
      <c r="O14" s="1133"/>
      <c r="P14" s="3190"/>
      <c r="Q14" s="1796">
        <f t="shared" si="6"/>
        <v>111</v>
      </c>
      <c r="R14" s="769" t="s">
        <v>21</v>
      </c>
      <c r="S14" s="770">
        <f t="shared" si="0"/>
        <v>100</v>
      </c>
      <c r="T14" s="769" t="s">
        <v>21</v>
      </c>
      <c r="U14" s="770">
        <f t="shared" si="1"/>
        <v>100</v>
      </c>
      <c r="V14" s="769" t="s">
        <v>21</v>
      </c>
      <c r="W14" s="770">
        <f t="shared" si="2"/>
        <v>100</v>
      </c>
      <c r="X14" s="771"/>
      <c r="Y14" s="3042"/>
      <c r="Z14" s="55">
        <f t="shared" si="7"/>
        <v>111</v>
      </c>
      <c r="AA14" s="772">
        <f t="shared" si="3"/>
        <v>1</v>
      </c>
      <c r="AB14" s="772">
        <f t="shared" si="4"/>
        <v>1</v>
      </c>
      <c r="AC14" s="772">
        <f t="shared" si="5"/>
        <v>1</v>
      </c>
    </row>
    <row r="15" spans="1:29" ht="99.75">
      <c r="A15" s="439" t="s">
        <v>2557</v>
      </c>
      <c r="B15" s="69" t="s">
        <v>2084</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34" t="s">
        <v>2558</v>
      </c>
      <c r="Q15" s="1811" t="str">
        <f t="shared" si="6"/>
        <v>居住社区成熟度</v>
      </c>
      <c r="R15" s="773" t="s">
        <v>21</v>
      </c>
      <c r="S15" s="774">
        <f t="shared" si="0"/>
        <v>100</v>
      </c>
      <c r="T15" s="773" t="s">
        <v>21</v>
      </c>
      <c r="U15" s="774">
        <f t="shared" si="1"/>
        <v>100</v>
      </c>
      <c r="V15" s="773" t="s">
        <v>21</v>
      </c>
      <c r="W15" s="774">
        <f t="shared" si="2"/>
        <v>100</v>
      </c>
      <c r="X15" s="1814"/>
      <c r="Y15" s="3193" t="s">
        <v>2558</v>
      </c>
      <c r="Z15" s="1815" t="str">
        <f t="shared" si="7"/>
        <v>居住社区成熟度</v>
      </c>
      <c r="AA15" s="1812">
        <f t="shared" si="3"/>
        <v>1</v>
      </c>
      <c r="AB15" s="1812">
        <f t="shared" si="4"/>
        <v>1</v>
      </c>
      <c r="AC15" s="1812">
        <f t="shared" si="5"/>
        <v>1</v>
      </c>
    </row>
    <row r="16" spans="1:29" ht="15">
      <c r="A16" s="427"/>
      <c r="B16" s="445"/>
      <c r="C16" s="446"/>
      <c r="D16" s="447"/>
      <c r="E16" s="2603"/>
      <c r="F16" s="447"/>
      <c r="G16" s="2604"/>
      <c r="H16" s="449"/>
      <c r="I16" s="2604"/>
      <c r="J16" s="447"/>
      <c r="K16" s="2605"/>
      <c r="L16" s="1142"/>
      <c r="M16" s="1133"/>
      <c r="N16" s="1133"/>
      <c r="O16" s="1133"/>
      <c r="P16" s="3235"/>
      <c r="Q16" s="1811"/>
      <c r="R16" s="773"/>
      <c r="S16" s="774"/>
      <c r="T16" s="773"/>
      <c r="U16" s="774"/>
      <c r="V16" s="773"/>
      <c r="W16" s="774"/>
      <c r="X16" s="1814"/>
      <c r="Y16" s="3194"/>
      <c r="Z16" s="1815"/>
      <c r="AA16" s="1812">
        <v>1</v>
      </c>
      <c r="AB16" s="1812">
        <v>1</v>
      </c>
      <c r="AC16" s="1812">
        <v>1</v>
      </c>
    </row>
    <row r="17" spans="1:29" ht="85.5">
      <c r="A17" s="427"/>
      <c r="B17" s="450" t="s">
        <v>2096</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5"/>
      <c r="Q17" s="1811" t="str">
        <f>B17</f>
        <v>交通便捷度</v>
      </c>
      <c r="R17" s="773" t="s">
        <v>21</v>
      </c>
      <c r="S17" s="774">
        <f>F17</f>
        <v>100</v>
      </c>
      <c r="T17" s="773" t="s">
        <v>21</v>
      </c>
      <c r="U17" s="774">
        <f>H17</f>
        <v>100</v>
      </c>
      <c r="V17" s="773" t="s">
        <v>21</v>
      </c>
      <c r="W17" s="774">
        <f>J17</f>
        <v>100</v>
      </c>
      <c r="X17" s="1814"/>
      <c r="Y17" s="3194"/>
      <c r="Z17" s="1815" t="str">
        <f>Q17</f>
        <v>交通便捷度</v>
      </c>
      <c r="AA17" s="1812">
        <f t="shared" si="3"/>
        <v>1</v>
      </c>
      <c r="AB17" s="1812">
        <f t="shared" si="4"/>
        <v>1</v>
      </c>
      <c r="AC17" s="1812">
        <f t="shared" si="5"/>
        <v>1</v>
      </c>
    </row>
    <row r="18" spans="1:29" ht="15">
      <c r="A18" s="427"/>
      <c r="B18" s="455"/>
      <c r="C18" s="2607"/>
      <c r="D18" s="449"/>
      <c r="E18" s="2608"/>
      <c r="F18" s="449"/>
      <c r="G18" s="2609"/>
      <c r="H18" s="447"/>
      <c r="I18" s="2609"/>
      <c r="J18" s="447"/>
      <c r="K18" s="2605"/>
      <c r="L18" s="1142"/>
      <c r="M18" s="1133"/>
      <c r="N18" s="1133"/>
      <c r="O18" s="1133"/>
      <c r="P18" s="3235"/>
      <c r="Q18" s="1811"/>
      <c r="R18" s="773"/>
      <c r="S18" s="774"/>
      <c r="T18" s="773"/>
      <c r="U18" s="774"/>
      <c r="V18" s="773"/>
      <c r="W18" s="774"/>
      <c r="X18" s="1814"/>
      <c r="Y18" s="3194"/>
      <c r="Z18" s="1815"/>
      <c r="AA18" s="1812">
        <v>1</v>
      </c>
      <c r="AB18" s="1812">
        <v>1</v>
      </c>
      <c r="AC18" s="1812">
        <v>1</v>
      </c>
    </row>
    <row r="19" spans="1:29" ht="42.75">
      <c r="A19" s="427"/>
      <c r="B19" s="450" t="s">
        <v>2094</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5"/>
      <c r="Q19" s="1811" t="str">
        <f>B19</f>
        <v>公共配套设施</v>
      </c>
      <c r="R19" s="773" t="s">
        <v>21</v>
      </c>
      <c r="S19" s="774">
        <f>F19</f>
        <v>100</v>
      </c>
      <c r="T19" s="773" t="s">
        <v>21</v>
      </c>
      <c r="U19" s="774">
        <f>H19</f>
        <v>100</v>
      </c>
      <c r="V19" s="773" t="s">
        <v>21</v>
      </c>
      <c r="W19" s="774">
        <f>J19</f>
        <v>100</v>
      </c>
      <c r="X19" s="1814"/>
      <c r="Y19" s="3194"/>
      <c r="Z19" s="1815" t="str">
        <f>Q19</f>
        <v>公共配套设施</v>
      </c>
      <c r="AA19" s="1812">
        <f t="shared" si="3"/>
        <v>1</v>
      </c>
      <c r="AB19" s="1812">
        <f t="shared" si="4"/>
        <v>1</v>
      </c>
      <c r="AC19" s="1812">
        <f t="shared" si="5"/>
        <v>1</v>
      </c>
    </row>
    <row r="20" spans="1:29" ht="15">
      <c r="A20" s="427"/>
      <c r="B20" s="455"/>
      <c r="C20" s="446"/>
      <c r="D20" s="447"/>
      <c r="E20" s="2603"/>
      <c r="F20" s="447"/>
      <c r="G20" s="2604"/>
      <c r="H20" s="447"/>
      <c r="I20" s="2604"/>
      <c r="J20" s="447"/>
      <c r="K20" s="2605"/>
      <c r="L20" s="1142"/>
      <c r="M20" s="1133"/>
      <c r="N20" s="1133"/>
      <c r="O20" s="1133"/>
      <c r="P20" s="3235"/>
      <c r="Q20" s="1811"/>
      <c r="R20" s="773"/>
      <c r="S20" s="774"/>
      <c r="T20" s="773"/>
      <c r="U20" s="774"/>
      <c r="V20" s="773"/>
      <c r="W20" s="774"/>
      <c r="X20" s="1814"/>
      <c r="Y20" s="3194"/>
      <c r="Z20" s="1815"/>
      <c r="AA20" s="1812">
        <v>1</v>
      </c>
      <c r="AB20" s="1812">
        <v>1</v>
      </c>
      <c r="AC20" s="1812">
        <v>1</v>
      </c>
    </row>
    <row r="21" spans="1:29" ht="28.5">
      <c r="A21" s="427"/>
      <c r="B21" s="1385" t="s">
        <v>2097</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5"/>
      <c r="Q21" s="1811" t="str">
        <f>B21</f>
        <v>基础设施水平</v>
      </c>
      <c r="R21" s="773" t="s">
        <v>17</v>
      </c>
      <c r="S21" s="774">
        <f>F21</f>
        <v>100</v>
      </c>
      <c r="T21" s="773" t="s">
        <v>17</v>
      </c>
      <c r="U21" s="774">
        <f>H21</f>
        <v>100</v>
      </c>
      <c r="V21" s="773" t="s">
        <v>17</v>
      </c>
      <c r="W21" s="774">
        <f>J21</f>
        <v>100</v>
      </c>
      <c r="X21" s="1814"/>
      <c r="Y21" s="3194"/>
      <c r="Z21" s="1815" t="str">
        <f>Q21</f>
        <v>基础设施水平</v>
      </c>
      <c r="AA21" s="1812">
        <f>D21/F21</f>
        <v>1</v>
      </c>
      <c r="AB21" s="1812">
        <f>D21/H21</f>
        <v>1</v>
      </c>
      <c r="AC21" s="1812">
        <f>D21/J21</f>
        <v>1</v>
      </c>
    </row>
    <row r="22" spans="1:29" ht="15">
      <c r="A22" s="427"/>
      <c r="B22" s="1385"/>
      <c r="C22" s="2607"/>
      <c r="D22" s="447"/>
      <c r="E22" s="446"/>
      <c r="F22" s="447"/>
      <c r="G22" s="2610"/>
      <c r="H22" s="447"/>
      <c r="I22" s="446"/>
      <c r="J22" s="447"/>
      <c r="K22" s="2611"/>
      <c r="L22" s="1142"/>
      <c r="M22" s="1133"/>
      <c r="N22" s="1133"/>
      <c r="O22" s="1133"/>
      <c r="P22" s="3235"/>
      <c r="Q22" s="1811"/>
      <c r="R22" s="773"/>
      <c r="S22" s="774"/>
      <c r="T22" s="773"/>
      <c r="U22" s="774"/>
      <c r="V22" s="773"/>
      <c r="W22" s="774"/>
      <c r="X22" s="1814"/>
      <c r="Y22" s="3194"/>
      <c r="Z22" s="1815"/>
      <c r="AA22" s="1812">
        <v>1</v>
      </c>
      <c r="AB22" s="1812">
        <v>1</v>
      </c>
      <c r="AC22" s="1812">
        <v>1</v>
      </c>
    </row>
    <row r="23" spans="1:29" ht="57">
      <c r="A23" s="427"/>
      <c r="B23" s="450" t="s">
        <v>2101</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5"/>
      <c r="Q23" s="1811" t="str">
        <f>B23</f>
        <v>自然及人文环境</v>
      </c>
      <c r="R23" s="773" t="s">
        <v>21</v>
      </c>
      <c r="S23" s="774">
        <f>F23</f>
        <v>100</v>
      </c>
      <c r="T23" s="773" t="s">
        <v>21</v>
      </c>
      <c r="U23" s="774">
        <f>H23</f>
        <v>100</v>
      </c>
      <c r="V23" s="773" t="s">
        <v>21</v>
      </c>
      <c r="W23" s="774">
        <f>J23</f>
        <v>100</v>
      </c>
      <c r="X23" s="1814"/>
      <c r="Y23" s="3194"/>
      <c r="Z23" s="1815" t="str">
        <f>Q23</f>
        <v>自然及人文环境</v>
      </c>
      <c r="AA23" s="1812">
        <f>D23/F23</f>
        <v>1</v>
      </c>
      <c r="AB23" s="1812">
        <f>D23/H23</f>
        <v>1</v>
      </c>
      <c r="AC23" s="1812">
        <f>D23/J23</f>
        <v>1</v>
      </c>
    </row>
    <row r="24" spans="1:29" ht="15">
      <c r="A24" s="427"/>
      <c r="B24" s="455"/>
      <c r="C24" s="446"/>
      <c r="D24" s="447"/>
      <c r="E24" s="2603"/>
      <c r="F24" s="447"/>
      <c r="G24" s="2604"/>
      <c r="H24" s="447"/>
      <c r="I24" s="2604"/>
      <c r="J24" s="447"/>
      <c r="K24" s="2605"/>
      <c r="L24" s="1142"/>
      <c r="M24" s="1133"/>
      <c r="N24" s="1133"/>
      <c r="O24" s="1133"/>
      <c r="P24" s="3235"/>
      <c r="Q24" s="1811"/>
      <c r="R24" s="773"/>
      <c r="S24" s="774"/>
      <c r="T24" s="773"/>
      <c r="U24" s="774"/>
      <c r="V24" s="773"/>
      <c r="W24" s="774"/>
      <c r="X24" s="1814"/>
      <c r="Y24" s="3194"/>
      <c r="Z24" s="1815"/>
      <c r="AA24" s="1812">
        <v>1</v>
      </c>
      <c r="AB24" s="1812">
        <v>1</v>
      </c>
      <c r="AC24" s="1812">
        <v>1</v>
      </c>
    </row>
    <row r="25" spans="1:29" ht="15">
      <c r="A25" s="427"/>
      <c r="B25" s="421" t="s">
        <v>2559</v>
      </c>
      <c r="C25" s="459"/>
      <c r="D25" s="434">
        <v>100</v>
      </c>
      <c r="E25" s="2612"/>
      <c r="F25" s="434">
        <f>SUMIF(86:86,E25,87:87)-SUMIF(86:86,C25,87:87)+100</f>
        <v>100</v>
      </c>
      <c r="G25" s="2613"/>
      <c r="H25" s="434">
        <f>SUMIF(86:86,G25,87:87)-SUMIF(86:86,C25,87:87)+100</f>
        <v>100</v>
      </c>
      <c r="I25" s="2613"/>
      <c r="J25" s="434">
        <f>SUMIF(86:86,I25,87:87)-SUMIF(86:86,C25,87:87)+100</f>
        <v>100</v>
      </c>
      <c r="K25" s="425"/>
      <c r="L25" s="1142"/>
      <c r="M25" s="1133"/>
      <c r="N25" s="1133"/>
      <c r="O25" s="1133"/>
      <c r="P25" s="3235"/>
      <c r="Q25" s="1811" t="str">
        <f t="shared" ref="Q25:Q46" si="8">B25</f>
        <v>楼层-1</v>
      </c>
      <c r="R25" s="773" t="s">
        <v>21</v>
      </c>
      <c r="S25" s="774">
        <f t="shared" ref="S25:S46" si="9">F25</f>
        <v>100</v>
      </c>
      <c r="T25" s="773" t="s">
        <v>21</v>
      </c>
      <c r="U25" s="774">
        <f t="shared" ref="U25:U46" si="10">H25</f>
        <v>100</v>
      </c>
      <c r="V25" s="773" t="s">
        <v>21</v>
      </c>
      <c r="W25" s="774">
        <f t="shared" ref="W25:W46" si="11">J25</f>
        <v>100</v>
      </c>
      <c r="X25" s="1814"/>
      <c r="Y25" s="3194"/>
      <c r="Z25" s="1815" t="str">
        <f>Q25</f>
        <v>楼层-1</v>
      </c>
      <c r="AA25" s="1812">
        <f t="shared" ref="AA25:AA46" si="12">D25/F25</f>
        <v>1</v>
      </c>
      <c r="AB25" s="1812">
        <f t="shared" ref="AB25:AB46" si="13">D25/H25</f>
        <v>1</v>
      </c>
      <c r="AC25" s="1812">
        <f t="shared" ref="AC25:AC46" si="14">D25/J25</f>
        <v>1</v>
      </c>
    </row>
    <row r="26" spans="1:29" ht="15">
      <c r="A26" s="427"/>
      <c r="B26" s="421" t="s">
        <v>2560</v>
      </c>
      <c r="C26" s="459"/>
      <c r="D26" s="434">
        <v>100</v>
      </c>
      <c r="E26" s="2612"/>
      <c r="F26" s="434">
        <f>SUMIF(88:88,E26,89:89)-SUMIF(88:88,C26,89:89)+100</f>
        <v>100</v>
      </c>
      <c r="G26" s="2613"/>
      <c r="H26" s="434">
        <f>SUMIF(88:88,G26,89:89)-SUMIF(88:88,C26,89:89)+100</f>
        <v>100</v>
      </c>
      <c r="I26" s="2613"/>
      <c r="J26" s="434">
        <f>SUMIF(88:88,I26,89:89)-SUMIF(88:88,C26,89:89)+100</f>
        <v>100</v>
      </c>
      <c r="K26" s="425"/>
      <c r="L26" s="1142"/>
      <c r="M26" s="1133"/>
      <c r="N26" s="1133"/>
      <c r="O26" s="1133"/>
      <c r="P26" s="3235"/>
      <c r="Q26" s="1811" t="str">
        <f t="shared" si="8"/>
        <v>朝向</v>
      </c>
      <c r="R26" s="773" t="s">
        <v>21</v>
      </c>
      <c r="S26" s="774">
        <f t="shared" si="9"/>
        <v>100</v>
      </c>
      <c r="T26" s="773" t="s">
        <v>21</v>
      </c>
      <c r="U26" s="774">
        <f t="shared" si="10"/>
        <v>100</v>
      </c>
      <c r="V26" s="773" t="s">
        <v>21</v>
      </c>
      <c r="W26" s="774">
        <f t="shared" si="11"/>
        <v>100</v>
      </c>
      <c r="X26" s="1814"/>
      <c r="Y26" s="3194"/>
      <c r="Z26" s="1815" t="str">
        <f>Q26</f>
        <v>朝向</v>
      </c>
      <c r="AA26" s="1812">
        <f t="shared" si="12"/>
        <v>1</v>
      </c>
      <c r="AB26" s="1812">
        <f t="shared" si="13"/>
        <v>1</v>
      </c>
      <c r="AC26" s="1812">
        <f t="shared" si="14"/>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0"/>
      <c r="L27" s="1134"/>
      <c r="M27" s="1135"/>
      <c r="N27" s="1135"/>
      <c r="O27" s="1135"/>
      <c r="P27" s="3235"/>
      <c r="Q27" s="1796">
        <f t="shared" si="8"/>
        <v>111</v>
      </c>
      <c r="R27" s="769" t="s">
        <v>21</v>
      </c>
      <c r="S27" s="770">
        <f t="shared" si="9"/>
        <v>100</v>
      </c>
      <c r="T27" s="769" t="s">
        <v>21</v>
      </c>
      <c r="U27" s="770">
        <f t="shared" si="10"/>
        <v>100</v>
      </c>
      <c r="V27" s="769" t="s">
        <v>21</v>
      </c>
      <c r="W27" s="770">
        <f t="shared" si="11"/>
        <v>100</v>
      </c>
      <c r="X27" s="771"/>
      <c r="Y27" s="3194"/>
      <c r="Z27" s="55">
        <f>Q27</f>
        <v>111</v>
      </c>
      <c r="AA27" s="1812">
        <f t="shared" si="12"/>
        <v>1</v>
      </c>
      <c r="AB27" s="1812">
        <f t="shared" si="13"/>
        <v>1</v>
      </c>
      <c r="AC27" s="1812">
        <f t="shared" si="14"/>
        <v>1</v>
      </c>
    </row>
    <row r="28" spans="1:29" ht="15">
      <c r="A28" s="427"/>
      <c r="B28" s="1387">
        <v>111</v>
      </c>
      <c r="C28" s="433"/>
      <c r="D28" s="434">
        <v>100</v>
      </c>
      <c r="E28" s="433"/>
      <c r="F28" s="434">
        <f>SUMIF(92:92,E28,93:93)-SUMIF(92:92,C28,93:93)+100</f>
        <v>100</v>
      </c>
      <c r="G28" s="2614"/>
      <c r="H28" s="434">
        <f>SUMIF(92:92,G28,93:93)-SUMIF(92:92,C28,93:93)+100</f>
        <v>100</v>
      </c>
      <c r="I28" s="433"/>
      <c r="J28" s="434">
        <f>SUMIF(92:92,I28,93:93)-SUMIF(92:92,C28,93:93)+100</f>
        <v>100</v>
      </c>
      <c r="K28" s="2600"/>
      <c r="L28" s="1142"/>
      <c r="M28" s="1133"/>
      <c r="N28" s="1133"/>
      <c r="O28" s="1133"/>
      <c r="P28" s="3235"/>
      <c r="Q28" s="1811">
        <f t="shared" si="8"/>
        <v>111</v>
      </c>
      <c r="R28" s="773" t="s">
        <v>21</v>
      </c>
      <c r="S28" s="774">
        <f t="shared" si="9"/>
        <v>100</v>
      </c>
      <c r="T28" s="773" t="s">
        <v>21</v>
      </c>
      <c r="U28" s="774">
        <f t="shared" si="10"/>
        <v>100</v>
      </c>
      <c r="V28" s="773" t="s">
        <v>21</v>
      </c>
      <c r="W28" s="774">
        <f t="shared" si="11"/>
        <v>100</v>
      </c>
      <c r="X28" s="1814"/>
      <c r="Y28" s="3194"/>
      <c r="Z28" s="1815">
        <f t="shared" ref="Z28:Z46" si="15">Q28</f>
        <v>111</v>
      </c>
      <c r="AA28" s="1812">
        <f t="shared" si="12"/>
        <v>1</v>
      </c>
      <c r="AB28" s="1812">
        <f t="shared" si="13"/>
        <v>1</v>
      </c>
      <c r="AC28" s="1812">
        <f t="shared" si="14"/>
        <v>1</v>
      </c>
    </row>
    <row r="29" spans="1:29" ht="15">
      <c r="A29" s="427"/>
      <c r="B29" s="1387">
        <v>111</v>
      </c>
      <c r="C29" s="433"/>
      <c r="D29" s="434">
        <v>100</v>
      </c>
      <c r="E29" s="433"/>
      <c r="F29" s="434">
        <f>SUMIF(94:94,E29,95:95)-SUMIF(94:94,C29,95:95)+100</f>
        <v>100</v>
      </c>
      <c r="G29" s="2614"/>
      <c r="H29" s="434">
        <f>SUMIF(94:94,G29,95:95)-SUMIF(94:94,C29,95:95)+100</f>
        <v>100</v>
      </c>
      <c r="I29" s="433"/>
      <c r="J29" s="434">
        <f>SUMIF(94:94,I29,95:95)-SUMIF(94:94,C29,95:95)+100</f>
        <v>100</v>
      </c>
      <c r="K29" s="2600"/>
      <c r="L29" s="1142"/>
      <c r="M29" s="1133"/>
      <c r="N29" s="1133"/>
      <c r="O29" s="1133"/>
      <c r="P29" s="3235"/>
      <c r="Q29" s="1811">
        <f t="shared" si="8"/>
        <v>111</v>
      </c>
      <c r="R29" s="773" t="s">
        <v>21</v>
      </c>
      <c r="S29" s="774">
        <f t="shared" si="9"/>
        <v>100</v>
      </c>
      <c r="T29" s="773" t="s">
        <v>21</v>
      </c>
      <c r="U29" s="774">
        <f t="shared" si="10"/>
        <v>100</v>
      </c>
      <c r="V29" s="773" t="s">
        <v>21</v>
      </c>
      <c r="W29" s="774">
        <f t="shared" si="11"/>
        <v>100</v>
      </c>
      <c r="X29" s="1814"/>
      <c r="Y29" s="3194"/>
      <c r="Z29" s="1815">
        <f t="shared" si="15"/>
        <v>111</v>
      </c>
      <c r="AA29" s="1812">
        <f t="shared" si="12"/>
        <v>1</v>
      </c>
      <c r="AB29" s="1812">
        <f t="shared" si="13"/>
        <v>1</v>
      </c>
      <c r="AC29" s="1812">
        <f t="shared" si="14"/>
        <v>1</v>
      </c>
    </row>
    <row r="30" spans="1:29" ht="15">
      <c r="A30" s="427"/>
      <c r="B30" s="1387">
        <v>111</v>
      </c>
      <c r="C30" s="433"/>
      <c r="D30" s="434">
        <v>100</v>
      </c>
      <c r="E30" s="433"/>
      <c r="F30" s="434">
        <f>SUMIF(96:96,E30,97:97)-SUMIF(96:96,C30,97:97)+100</f>
        <v>100</v>
      </c>
      <c r="G30" s="2614"/>
      <c r="H30" s="434">
        <f>SUMIF(96:96,G30,97:97)-SUMIF(96:96,C30,97:97)+100</f>
        <v>100</v>
      </c>
      <c r="I30" s="433"/>
      <c r="J30" s="434">
        <f>SUMIF(96:96,I30,97:97)-SUMIF(96:96,C30,97:97)+100</f>
        <v>100</v>
      </c>
      <c r="K30" s="2600"/>
      <c r="L30" s="1142"/>
      <c r="M30" s="1133"/>
      <c r="N30" s="1133"/>
      <c r="O30" s="1133"/>
      <c r="P30" s="3235"/>
      <c r="Q30" s="1811">
        <f t="shared" si="8"/>
        <v>111</v>
      </c>
      <c r="R30" s="773" t="s">
        <v>21</v>
      </c>
      <c r="S30" s="774">
        <f t="shared" si="9"/>
        <v>100</v>
      </c>
      <c r="T30" s="773" t="s">
        <v>21</v>
      </c>
      <c r="U30" s="774">
        <f t="shared" si="10"/>
        <v>100</v>
      </c>
      <c r="V30" s="773" t="s">
        <v>21</v>
      </c>
      <c r="W30" s="774">
        <f t="shared" si="11"/>
        <v>100</v>
      </c>
      <c r="X30" s="1814"/>
      <c r="Y30" s="3194"/>
      <c r="Z30" s="1815">
        <f t="shared" si="15"/>
        <v>111</v>
      </c>
      <c r="AA30" s="1812">
        <f t="shared" si="12"/>
        <v>1</v>
      </c>
      <c r="AB30" s="1812">
        <f t="shared" si="13"/>
        <v>1</v>
      </c>
      <c r="AC30" s="1812">
        <f t="shared" si="14"/>
        <v>1</v>
      </c>
    </row>
    <row r="31" spans="1:29" ht="15.75" thickBot="1">
      <c r="A31" s="435"/>
      <c r="B31" s="1387">
        <v>111</v>
      </c>
      <c r="C31" s="436"/>
      <c r="D31" s="437">
        <v>100</v>
      </c>
      <c r="E31" s="436"/>
      <c r="F31" s="437">
        <f>SUMIF(98:98,E31,99:99)-SUMIF(98:98,C31,99:99)+100</f>
        <v>100</v>
      </c>
      <c r="G31" s="2615"/>
      <c r="H31" s="437">
        <f>SUMIF(98:98,G31,99:99)-SUMIF(98:98,C31,99:99)+100</f>
        <v>100</v>
      </c>
      <c r="I31" s="436"/>
      <c r="J31" s="437">
        <f>SUMIF(98:98,I31,99:99)-SUMIF(98:98,C31,99:99)+100</f>
        <v>100</v>
      </c>
      <c r="K31" s="2600"/>
      <c r="L31" s="1142"/>
      <c r="M31" s="1133"/>
      <c r="N31" s="1133"/>
      <c r="O31" s="1133"/>
      <c r="P31" s="3235"/>
      <c r="Q31" s="1811">
        <f t="shared" si="8"/>
        <v>111</v>
      </c>
      <c r="R31" s="773" t="s">
        <v>21</v>
      </c>
      <c r="S31" s="774">
        <f t="shared" si="9"/>
        <v>100</v>
      </c>
      <c r="T31" s="773" t="s">
        <v>21</v>
      </c>
      <c r="U31" s="774">
        <f t="shared" si="10"/>
        <v>100</v>
      </c>
      <c r="V31" s="773" t="s">
        <v>21</v>
      </c>
      <c r="W31" s="774">
        <f t="shared" si="11"/>
        <v>100</v>
      </c>
      <c r="X31" s="1814"/>
      <c r="Y31" s="3194"/>
      <c r="Z31" s="1815">
        <f t="shared" si="15"/>
        <v>111</v>
      </c>
      <c r="AA31" s="1812">
        <f t="shared" si="12"/>
        <v>1</v>
      </c>
      <c r="AB31" s="1812">
        <f t="shared" si="13"/>
        <v>1</v>
      </c>
      <c r="AC31" s="1812">
        <f t="shared" si="14"/>
        <v>1</v>
      </c>
    </row>
    <row r="32" spans="1:29" ht="15">
      <c r="A32" s="439" t="s">
        <v>2561</v>
      </c>
      <c r="B32" s="71" t="s">
        <v>2562</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2"/>
      <c r="M32" s="1133"/>
      <c r="N32" s="1133"/>
      <c r="O32" s="1133"/>
      <c r="P32" s="3236" t="s">
        <v>2563</v>
      </c>
      <c r="Q32" s="1811" t="str">
        <f t="shared" si="8"/>
        <v>建筑类型</v>
      </c>
      <c r="R32" s="773" t="s">
        <v>21</v>
      </c>
      <c r="S32" s="774">
        <f t="shared" si="9"/>
        <v>100</v>
      </c>
      <c r="T32" s="773" t="s">
        <v>21</v>
      </c>
      <c r="U32" s="774">
        <f t="shared" si="10"/>
        <v>100</v>
      </c>
      <c r="V32" s="773" t="s">
        <v>21</v>
      </c>
      <c r="W32" s="774">
        <f t="shared" si="11"/>
        <v>100</v>
      </c>
      <c r="X32" s="1814"/>
      <c r="Y32" s="3196" t="s">
        <v>2563</v>
      </c>
      <c r="Z32" s="1815" t="str">
        <f t="shared" si="15"/>
        <v>建筑类型</v>
      </c>
      <c r="AA32" s="1812">
        <f t="shared" si="12"/>
        <v>1</v>
      </c>
      <c r="AB32" s="1812">
        <f t="shared" si="13"/>
        <v>1</v>
      </c>
      <c r="AC32" s="1812">
        <f t="shared" si="14"/>
        <v>1</v>
      </c>
    </row>
    <row r="33" spans="1:29" s="470" customFormat="1" ht="15">
      <c r="A33" s="467"/>
      <c r="B33" s="421" t="s">
        <v>2564</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0"/>
      <c r="L33" s="1140"/>
      <c r="M33" s="1143"/>
      <c r="N33" s="1143"/>
      <c r="O33" s="1143"/>
      <c r="P33" s="3237"/>
      <c r="Q33" s="775" t="str">
        <f t="shared" si="8"/>
        <v>项目建筑规模</v>
      </c>
      <c r="R33" s="776" t="s">
        <v>21</v>
      </c>
      <c r="S33" s="777" t="e">
        <f t="shared" si="9"/>
        <v>#N/A</v>
      </c>
      <c r="T33" s="776" t="s">
        <v>21</v>
      </c>
      <c r="U33" s="777" t="e">
        <f t="shared" si="10"/>
        <v>#N/A</v>
      </c>
      <c r="V33" s="776" t="s">
        <v>21</v>
      </c>
      <c r="W33" s="777" t="e">
        <f t="shared" si="11"/>
        <v>#N/A</v>
      </c>
      <c r="X33" s="778"/>
      <c r="Y33" s="3196"/>
      <c r="Z33" s="779" t="str">
        <f t="shared" si="15"/>
        <v>项目建筑规模</v>
      </c>
      <c r="AA33" s="1812" t="e">
        <f t="shared" si="12"/>
        <v>#N/A</v>
      </c>
      <c r="AB33" s="1812" t="e">
        <f t="shared" si="13"/>
        <v>#N/A</v>
      </c>
      <c r="AC33" s="1812" t="e">
        <f t="shared" si="14"/>
        <v>#N/A</v>
      </c>
    </row>
    <row r="34" spans="1:29" ht="15">
      <c r="A34" s="471"/>
      <c r="B34" s="421" t="s">
        <v>2565</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2"/>
      <c r="M34" s="1133"/>
      <c r="N34" s="1133"/>
      <c r="O34" s="1133"/>
      <c r="P34" s="3237"/>
      <c r="Q34" s="1811" t="str">
        <f t="shared" si="8"/>
        <v>建筑结构</v>
      </c>
      <c r="R34" s="773" t="s">
        <v>21</v>
      </c>
      <c r="S34" s="774">
        <f t="shared" si="9"/>
        <v>100</v>
      </c>
      <c r="T34" s="773" t="s">
        <v>21</v>
      </c>
      <c r="U34" s="774">
        <f t="shared" si="10"/>
        <v>100</v>
      </c>
      <c r="V34" s="773" t="s">
        <v>21</v>
      </c>
      <c r="W34" s="774">
        <f t="shared" si="11"/>
        <v>100</v>
      </c>
      <c r="X34" s="1814"/>
      <c r="Y34" s="3196"/>
      <c r="Z34" s="1815" t="str">
        <f t="shared" si="15"/>
        <v>建筑结构</v>
      </c>
      <c r="AA34" s="1812">
        <f t="shared" si="12"/>
        <v>1</v>
      </c>
      <c r="AB34" s="1812">
        <f t="shared" si="13"/>
        <v>1</v>
      </c>
      <c r="AC34" s="1812">
        <f t="shared" si="14"/>
        <v>1</v>
      </c>
    </row>
    <row r="35" spans="1:29" ht="15">
      <c r="A35" s="471"/>
      <c r="B35" s="421" t="s">
        <v>2566</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2"/>
      <c r="M35" s="1133"/>
      <c r="N35" s="1133"/>
      <c r="O35" s="1133"/>
      <c r="P35" s="3237"/>
      <c r="Q35" s="1811" t="str">
        <f t="shared" si="8"/>
        <v>建筑品质</v>
      </c>
      <c r="R35" s="773" t="s">
        <v>21</v>
      </c>
      <c r="S35" s="774">
        <f t="shared" si="9"/>
        <v>100</v>
      </c>
      <c r="T35" s="773" t="s">
        <v>21</v>
      </c>
      <c r="U35" s="774">
        <f t="shared" si="10"/>
        <v>100</v>
      </c>
      <c r="V35" s="773" t="s">
        <v>21</v>
      </c>
      <c r="W35" s="774">
        <f t="shared" si="11"/>
        <v>100</v>
      </c>
      <c r="X35" s="1814"/>
      <c r="Y35" s="3196"/>
      <c r="Z35" s="1815" t="str">
        <f t="shared" si="15"/>
        <v>建筑品质</v>
      </c>
      <c r="AA35" s="1812">
        <f t="shared" si="12"/>
        <v>1</v>
      </c>
      <c r="AB35" s="1812">
        <f t="shared" si="13"/>
        <v>1</v>
      </c>
      <c r="AC35" s="1812">
        <f t="shared" si="14"/>
        <v>1</v>
      </c>
    </row>
    <row r="36" spans="1:29" ht="15">
      <c r="A36" s="471"/>
      <c r="B36" s="421" t="s">
        <v>2567</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2"/>
      <c r="M36" s="1133"/>
      <c r="N36" s="1133"/>
      <c r="O36" s="1133"/>
      <c r="P36" s="3237"/>
      <c r="Q36" s="1811" t="str">
        <f t="shared" si="8"/>
        <v>公共部分装修</v>
      </c>
      <c r="R36" s="773" t="s">
        <v>21</v>
      </c>
      <c r="S36" s="774">
        <f t="shared" si="9"/>
        <v>100</v>
      </c>
      <c r="T36" s="773" t="s">
        <v>21</v>
      </c>
      <c r="U36" s="774">
        <f t="shared" si="10"/>
        <v>100</v>
      </c>
      <c r="V36" s="773" t="s">
        <v>21</v>
      </c>
      <c r="W36" s="774">
        <f t="shared" si="11"/>
        <v>100</v>
      </c>
      <c r="X36" s="1814"/>
      <c r="Y36" s="3196"/>
      <c r="Z36" s="1815" t="str">
        <f t="shared" si="15"/>
        <v>公共部分装修</v>
      </c>
      <c r="AA36" s="1812">
        <f t="shared" si="12"/>
        <v>1</v>
      </c>
      <c r="AB36" s="1812">
        <f t="shared" si="13"/>
        <v>1</v>
      </c>
      <c r="AC36" s="1812">
        <f t="shared" si="14"/>
        <v>1</v>
      </c>
    </row>
    <row r="37" spans="1:29" s="117" customFormat="1" ht="15">
      <c r="A37" s="472"/>
      <c r="B37" s="421" t="s">
        <v>2568</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237"/>
      <c r="Q37" s="1796" t="str">
        <f t="shared" si="8"/>
        <v>成新度</v>
      </c>
      <c r="R37" s="769" t="s">
        <v>21</v>
      </c>
      <c r="S37" s="770" t="e">
        <f t="shared" si="9"/>
        <v>#N/A</v>
      </c>
      <c r="T37" s="769" t="s">
        <v>21</v>
      </c>
      <c r="U37" s="770" t="e">
        <f t="shared" si="10"/>
        <v>#N/A</v>
      </c>
      <c r="V37" s="769" t="s">
        <v>21</v>
      </c>
      <c r="W37" s="770" t="e">
        <f t="shared" si="11"/>
        <v>#N/A</v>
      </c>
      <c r="X37" s="771"/>
      <c r="Y37" s="3196"/>
      <c r="Z37" s="55" t="str">
        <f t="shared" si="15"/>
        <v>成新度</v>
      </c>
      <c r="AA37" s="772" t="e">
        <f t="shared" si="12"/>
        <v>#N/A</v>
      </c>
      <c r="AB37" s="772" t="e">
        <f t="shared" si="13"/>
        <v>#N/A</v>
      </c>
      <c r="AC37" s="772" t="e">
        <f t="shared" si="14"/>
        <v>#N/A</v>
      </c>
    </row>
    <row r="38" spans="1:29" ht="15">
      <c r="A38" s="471"/>
      <c r="B38" s="421" t="s">
        <v>2569</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2"/>
      <c r="M38" s="1133"/>
      <c r="N38" s="1133"/>
      <c r="O38" s="1133"/>
      <c r="P38" s="3237" t="s">
        <v>2563</v>
      </c>
      <c r="Q38" s="1811" t="str">
        <f t="shared" si="8"/>
        <v>物业管理</v>
      </c>
      <c r="R38" s="773" t="s">
        <v>21</v>
      </c>
      <c r="S38" s="774">
        <f t="shared" si="9"/>
        <v>100</v>
      </c>
      <c r="T38" s="773" t="s">
        <v>21</v>
      </c>
      <c r="U38" s="774">
        <f t="shared" si="10"/>
        <v>100</v>
      </c>
      <c r="V38" s="773" t="s">
        <v>21</v>
      </c>
      <c r="W38" s="774">
        <f t="shared" si="11"/>
        <v>100</v>
      </c>
      <c r="X38" s="1814"/>
      <c r="Y38" s="3196" t="s">
        <v>2563</v>
      </c>
      <c r="Z38" s="1815" t="str">
        <f t="shared" si="15"/>
        <v>物业管理</v>
      </c>
      <c r="AA38" s="1812">
        <f t="shared" si="12"/>
        <v>1</v>
      </c>
      <c r="AB38" s="1812">
        <f t="shared" si="13"/>
        <v>1</v>
      </c>
      <c r="AC38" s="1812">
        <f t="shared" si="14"/>
        <v>1</v>
      </c>
    </row>
    <row r="39" spans="1:29" ht="15">
      <c r="A39" s="471"/>
      <c r="B39" s="421" t="s">
        <v>2570</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2"/>
      <c r="M39" s="1133"/>
      <c r="N39" s="1133"/>
      <c r="O39" s="1133"/>
      <c r="P39" s="3237"/>
      <c r="Q39" s="1811" t="str">
        <f t="shared" si="8"/>
        <v>市政基础设施</v>
      </c>
      <c r="R39" s="773" t="s">
        <v>21</v>
      </c>
      <c r="S39" s="774">
        <f t="shared" si="9"/>
        <v>100</v>
      </c>
      <c r="T39" s="773" t="s">
        <v>21</v>
      </c>
      <c r="U39" s="774">
        <f t="shared" si="10"/>
        <v>100</v>
      </c>
      <c r="V39" s="773" t="s">
        <v>21</v>
      </c>
      <c r="W39" s="774">
        <f t="shared" si="11"/>
        <v>100</v>
      </c>
      <c r="X39" s="1814"/>
      <c r="Y39" s="3196"/>
      <c r="Z39" s="1815" t="str">
        <f t="shared" si="15"/>
        <v>市政基础设施</v>
      </c>
      <c r="AA39" s="1812">
        <f t="shared" si="12"/>
        <v>1</v>
      </c>
      <c r="AB39" s="1812">
        <f t="shared" si="13"/>
        <v>1</v>
      </c>
      <c r="AC39" s="1812">
        <f t="shared" si="14"/>
        <v>1</v>
      </c>
    </row>
    <row r="40" spans="1:29" ht="15">
      <c r="A40" s="471"/>
      <c r="B40" s="421" t="s">
        <v>2571</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2"/>
      <c r="M40" s="1133"/>
      <c r="N40" s="1133"/>
      <c r="O40" s="1133"/>
      <c r="P40" s="3237"/>
      <c r="Q40" s="1811" t="str">
        <f t="shared" si="8"/>
        <v>房型</v>
      </c>
      <c r="R40" s="773" t="s">
        <v>21</v>
      </c>
      <c r="S40" s="774">
        <f t="shared" si="9"/>
        <v>100</v>
      </c>
      <c r="T40" s="773" t="s">
        <v>21</v>
      </c>
      <c r="U40" s="774">
        <f t="shared" si="10"/>
        <v>100</v>
      </c>
      <c r="V40" s="773" t="s">
        <v>21</v>
      </c>
      <c r="W40" s="774">
        <f t="shared" si="11"/>
        <v>100</v>
      </c>
      <c r="X40" s="1814"/>
      <c r="Y40" s="3196"/>
      <c r="Z40" s="1815" t="str">
        <f t="shared" si="15"/>
        <v>房型</v>
      </c>
      <c r="AA40" s="1812">
        <f t="shared" si="12"/>
        <v>1</v>
      </c>
      <c r="AB40" s="1812">
        <f t="shared" si="13"/>
        <v>1</v>
      </c>
      <c r="AC40" s="1812">
        <f t="shared" si="14"/>
        <v>1</v>
      </c>
    </row>
    <row r="41" spans="1:29" s="470" customFormat="1" ht="28.5">
      <c r="A41" s="467"/>
      <c r="B41" s="421" t="s">
        <v>2572</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0"/>
      <c r="L41" s="1140"/>
      <c r="M41" s="1143"/>
      <c r="N41" s="1143"/>
      <c r="O41" s="1143"/>
      <c r="P41" s="3237"/>
      <c r="Q41" s="775" t="str">
        <f t="shared" si="8"/>
        <v>单套/主力户型建筑面积</v>
      </c>
      <c r="R41" s="776" t="s">
        <v>21</v>
      </c>
      <c r="S41" s="777">
        <f t="shared" si="9"/>
        <v>100</v>
      </c>
      <c r="T41" s="776" t="s">
        <v>21</v>
      </c>
      <c r="U41" s="777">
        <f t="shared" si="10"/>
        <v>100</v>
      </c>
      <c r="V41" s="776" t="s">
        <v>21</v>
      </c>
      <c r="W41" s="777">
        <f t="shared" si="11"/>
        <v>100</v>
      </c>
      <c r="X41" s="778"/>
      <c r="Y41" s="3196"/>
      <c r="Z41" s="779" t="str">
        <f t="shared" si="15"/>
        <v>单套/主力户型建筑面积</v>
      </c>
      <c r="AA41" s="1812">
        <f t="shared" si="12"/>
        <v>1</v>
      </c>
      <c r="AB41" s="1812">
        <f t="shared" si="13"/>
        <v>1</v>
      </c>
      <c r="AC41" s="1812">
        <f t="shared" si="14"/>
        <v>1</v>
      </c>
    </row>
    <row r="42" spans="1:29" ht="15">
      <c r="A42" s="471"/>
      <c r="B42" s="421" t="s">
        <v>2573</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2"/>
      <c r="M42" s="1133"/>
      <c r="N42" s="1133"/>
      <c r="O42" s="1133"/>
      <c r="P42" s="3237"/>
      <c r="Q42" s="1811" t="str">
        <f t="shared" si="8"/>
        <v>内部装修</v>
      </c>
      <c r="R42" s="773" t="s">
        <v>21</v>
      </c>
      <c r="S42" s="774">
        <f t="shared" si="9"/>
        <v>100</v>
      </c>
      <c r="T42" s="773" t="s">
        <v>21</v>
      </c>
      <c r="U42" s="774">
        <f t="shared" si="10"/>
        <v>100</v>
      </c>
      <c r="V42" s="773" t="s">
        <v>21</v>
      </c>
      <c r="W42" s="774">
        <f t="shared" si="11"/>
        <v>100</v>
      </c>
      <c r="X42" s="1814"/>
      <c r="Y42" s="3196"/>
      <c r="Z42" s="1815" t="str">
        <f t="shared" si="15"/>
        <v>内部装修</v>
      </c>
      <c r="AA42" s="1812">
        <f t="shared" si="12"/>
        <v>1</v>
      </c>
      <c r="AB42" s="1812">
        <f t="shared" si="13"/>
        <v>1</v>
      </c>
      <c r="AC42" s="1812">
        <f t="shared" si="14"/>
        <v>1</v>
      </c>
    </row>
    <row r="43" spans="1:29" ht="15">
      <c r="A43" s="471"/>
      <c r="B43" s="421" t="s">
        <v>2574</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2"/>
      <c r="M43" s="1133"/>
      <c r="N43" s="1133"/>
      <c r="O43" s="1133"/>
      <c r="P43" s="3237"/>
      <c r="Q43" s="1811" t="str">
        <f t="shared" si="8"/>
        <v>内部装修维护情况</v>
      </c>
      <c r="R43" s="773" t="s">
        <v>21</v>
      </c>
      <c r="S43" s="774">
        <f t="shared" si="9"/>
        <v>100</v>
      </c>
      <c r="T43" s="773" t="s">
        <v>21</v>
      </c>
      <c r="U43" s="774">
        <f t="shared" si="10"/>
        <v>100</v>
      </c>
      <c r="V43" s="773" t="s">
        <v>21</v>
      </c>
      <c r="W43" s="774">
        <f t="shared" si="11"/>
        <v>100</v>
      </c>
      <c r="X43" s="1814"/>
      <c r="Y43" s="3196"/>
      <c r="Z43" s="1815" t="str">
        <f t="shared" si="15"/>
        <v>内部装修维护情况</v>
      </c>
      <c r="AA43" s="1812">
        <f t="shared" si="12"/>
        <v>1</v>
      </c>
      <c r="AB43" s="1812">
        <f t="shared" si="13"/>
        <v>1</v>
      </c>
      <c r="AC43" s="1812">
        <f t="shared" si="14"/>
        <v>1</v>
      </c>
    </row>
    <row r="44" spans="1:29" s="117" customFormat="1" ht="15">
      <c r="A44" s="472"/>
      <c r="B44" s="1387">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0"/>
      <c r="L44" s="1134"/>
      <c r="M44" s="1135"/>
      <c r="N44" s="1135"/>
      <c r="O44" s="1135"/>
      <c r="P44" s="3237"/>
      <c r="Q44" s="1796">
        <f t="shared" si="8"/>
        <v>111</v>
      </c>
      <c r="R44" s="769" t="s">
        <v>21</v>
      </c>
      <c r="S44" s="770">
        <f t="shared" si="9"/>
        <v>100</v>
      </c>
      <c r="T44" s="769" t="s">
        <v>21</v>
      </c>
      <c r="U44" s="770">
        <f t="shared" si="10"/>
        <v>100</v>
      </c>
      <c r="V44" s="769" t="s">
        <v>21</v>
      </c>
      <c r="W44" s="770">
        <f t="shared" si="11"/>
        <v>100</v>
      </c>
      <c r="X44" s="771"/>
      <c r="Y44" s="3196"/>
      <c r="Z44" s="55">
        <f t="shared" si="15"/>
        <v>111</v>
      </c>
      <c r="AA44" s="772">
        <f t="shared" si="12"/>
        <v>1</v>
      </c>
      <c r="AB44" s="772">
        <f t="shared" si="13"/>
        <v>1</v>
      </c>
      <c r="AC44" s="772">
        <f t="shared" si="14"/>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2"/>
      <c r="M45" s="1133"/>
      <c r="N45" s="1133"/>
      <c r="O45" s="1133"/>
      <c r="P45" s="3237"/>
      <c r="Q45" s="1811">
        <f t="shared" si="8"/>
        <v>111</v>
      </c>
      <c r="R45" s="773" t="s">
        <v>21</v>
      </c>
      <c r="S45" s="774">
        <f t="shared" si="9"/>
        <v>100</v>
      </c>
      <c r="T45" s="773" t="s">
        <v>21</v>
      </c>
      <c r="U45" s="774">
        <f t="shared" si="10"/>
        <v>100</v>
      </c>
      <c r="V45" s="773" t="s">
        <v>21</v>
      </c>
      <c r="W45" s="774">
        <f t="shared" si="11"/>
        <v>100</v>
      </c>
      <c r="X45" s="1814"/>
      <c r="Y45" s="3196"/>
      <c r="Z45" s="1815">
        <f t="shared" si="15"/>
        <v>111</v>
      </c>
      <c r="AA45" s="1812">
        <f t="shared" si="12"/>
        <v>1</v>
      </c>
      <c r="AB45" s="1812">
        <f t="shared" si="13"/>
        <v>1</v>
      </c>
      <c r="AC45" s="1812">
        <f t="shared" si="14"/>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2"/>
      <c r="M46" s="1133"/>
      <c r="N46" s="1133"/>
      <c r="O46" s="1133"/>
      <c r="P46" s="3238"/>
      <c r="Q46" s="1811">
        <f t="shared" si="8"/>
        <v>111</v>
      </c>
      <c r="R46" s="773" t="s">
        <v>20</v>
      </c>
      <c r="S46" s="774">
        <f t="shared" si="9"/>
        <v>100</v>
      </c>
      <c r="T46" s="773" t="s">
        <v>20</v>
      </c>
      <c r="U46" s="774">
        <f t="shared" si="10"/>
        <v>100</v>
      </c>
      <c r="V46" s="773" t="s">
        <v>20</v>
      </c>
      <c r="W46" s="774">
        <f t="shared" si="11"/>
        <v>100</v>
      </c>
      <c r="X46" s="1814"/>
      <c r="Y46" s="3239"/>
      <c r="Z46" s="1815">
        <f t="shared" si="15"/>
        <v>111</v>
      </c>
      <c r="AA46" s="1812">
        <f t="shared" si="12"/>
        <v>1</v>
      </c>
      <c r="AB46" s="1812">
        <f t="shared" si="13"/>
        <v>1</v>
      </c>
      <c r="AC46" s="1812">
        <f t="shared" si="14"/>
        <v>1</v>
      </c>
    </row>
    <row r="47" spans="1:29" ht="15">
      <c r="A47" s="478" t="s">
        <v>2575</v>
      </c>
      <c r="B47" s="479"/>
      <c r="C47" s="1408" t="s">
        <v>19</v>
      </c>
      <c r="D47" s="1409"/>
      <c r="E47" s="1410"/>
      <c r="F47" s="1411"/>
      <c r="G47" s="1412"/>
      <c r="H47" s="1413"/>
      <c r="I47" s="1410"/>
      <c r="J47" s="1413"/>
      <c r="K47" s="2620"/>
      <c r="L47" s="1145"/>
      <c r="M47" s="1146"/>
      <c r="N47" s="1133"/>
      <c r="O47" s="1146"/>
      <c r="P47" s="3191" t="str">
        <f>A47</f>
        <v>成交单价（元/平方米）</v>
      </c>
      <c r="Q47" s="3191"/>
      <c r="R47" s="3230">
        <f>E47</f>
        <v>0</v>
      </c>
      <c r="S47" s="3230"/>
      <c r="T47" s="3230">
        <f>G47</f>
        <v>0</v>
      </c>
      <c r="U47" s="3230"/>
      <c r="V47" s="3230">
        <f>I47</f>
        <v>0</v>
      </c>
      <c r="W47" s="3230"/>
      <c r="X47" s="758"/>
      <c r="Y47" s="780"/>
      <c r="Z47" s="758"/>
      <c r="AA47" s="758"/>
      <c r="AB47" s="758"/>
      <c r="AC47" s="758"/>
    </row>
    <row r="48" spans="1:29" ht="15.75" thickBot="1">
      <c r="A48" s="485" t="s">
        <v>2576</v>
      </c>
      <c r="B48" s="486"/>
      <c r="C48" s="1414" t="e">
        <f>R49</f>
        <v>#DIV/0!</v>
      </c>
      <c r="D48" s="1415"/>
      <c r="E48" s="1416" t="e">
        <f>R48</f>
        <v>#DIV/0!</v>
      </c>
      <c r="F48" s="1416"/>
      <c r="G48" s="1414" t="e">
        <f>T48</f>
        <v>#DIV/0!</v>
      </c>
      <c r="H48" s="1415"/>
      <c r="I48" s="1416" t="e">
        <f>V48</f>
        <v>#DIV/0!</v>
      </c>
      <c r="J48" s="1415"/>
      <c r="K48" s="2621"/>
      <c r="L48" s="1145"/>
      <c r="M48" s="1146"/>
      <c r="N48" s="1146"/>
      <c r="O48" s="1146"/>
      <c r="P48" s="3191" t="str">
        <f>A48</f>
        <v>比较价值（元/平方米）</v>
      </c>
      <c r="Q48" s="3191"/>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8"/>
      <c r="Y48" s="758"/>
      <c r="Z48" s="758"/>
      <c r="AA48" s="758"/>
      <c r="AB48" s="758"/>
      <c r="AC48" s="758"/>
    </row>
    <row r="49" spans="1:29" ht="15.75" thickBot="1">
      <c r="A49" s="491" t="s">
        <v>2577</v>
      </c>
      <c r="B49" s="492"/>
      <c r="C49" s="1417" t="e">
        <f>R49</f>
        <v>#DIV/0!</v>
      </c>
      <c r="D49" s="1418"/>
      <c r="E49" s="1418"/>
      <c r="F49" s="1418"/>
      <c r="G49" s="1418"/>
      <c r="H49" s="1418"/>
      <c r="I49" s="1418"/>
      <c r="J49" s="1418"/>
      <c r="K49" s="2622"/>
      <c r="L49" s="1145"/>
      <c r="M49" s="1146"/>
      <c r="N49" s="1146"/>
      <c r="O49" s="1146"/>
      <c r="P49" s="3185" t="str">
        <f>A49</f>
        <v>估价对象XX用房的比较价值（楼面单价，元/平方米）</v>
      </c>
      <c r="Q49" s="3186"/>
      <c r="R49" s="3281" t="e">
        <f>IF(F1="售价",ROUND(AVERAGE(R48:V48),0),ROUND(AVERAGE(R48:V48),1))</f>
        <v>#DIV/0!</v>
      </c>
      <c r="S49" s="3281"/>
      <c r="T49" s="3281"/>
      <c r="U49" s="3281"/>
      <c r="V49" s="3281"/>
      <c r="W49" s="328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4"/>
    </row>
    <row r="55" spans="1:29" s="501"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5"/>
      <c r="Q57" s="503"/>
    </row>
    <row r="58" spans="1:29" s="507" customFormat="1" ht="15">
      <c r="A58" s="504" t="s">
        <v>2582</v>
      </c>
      <c r="B58" s="505"/>
      <c r="C58" s="1577" t="str">
        <f>YEAR(C7)&amp;"-"&amp;MONTH(C7)</f>
        <v>2019-8</v>
      </c>
      <c r="D58" s="1576">
        <f>EDATE(C58,-1)</f>
        <v>43647</v>
      </c>
      <c r="E58" s="1576">
        <f>EDATE(D58,-1)</f>
        <v>43617</v>
      </c>
      <c r="F58" s="1576">
        <f t="shared" ref="F58:O58" si="16">EDATE(E58,-1)</f>
        <v>43586</v>
      </c>
      <c r="G58" s="1576">
        <f t="shared" si="16"/>
        <v>43556</v>
      </c>
      <c r="H58" s="1576">
        <f t="shared" si="16"/>
        <v>43525</v>
      </c>
      <c r="I58" s="1576">
        <f t="shared" si="16"/>
        <v>43497</v>
      </c>
      <c r="J58" s="1576">
        <f t="shared" si="16"/>
        <v>43466</v>
      </c>
      <c r="K58" s="1576">
        <f t="shared" si="16"/>
        <v>43435</v>
      </c>
      <c r="L58" s="1576">
        <f t="shared" si="16"/>
        <v>43405</v>
      </c>
      <c r="M58" s="1576">
        <f t="shared" si="16"/>
        <v>43374</v>
      </c>
      <c r="N58" s="1576">
        <f t="shared" si="16"/>
        <v>43344</v>
      </c>
      <c r="O58" s="1576">
        <f t="shared" si="16"/>
        <v>43313</v>
      </c>
      <c r="P58" s="1571"/>
    </row>
    <row r="59" spans="1:29" s="117" customFormat="1" ht="15">
      <c r="A59" s="508"/>
      <c r="B59" s="2626"/>
      <c r="C59" s="1574">
        <v>100</v>
      </c>
      <c r="D59" s="510"/>
      <c r="E59" s="511"/>
      <c r="F59" s="511"/>
      <c r="G59" s="511"/>
      <c r="H59" s="511"/>
      <c r="I59" s="511"/>
      <c r="J59" s="511"/>
      <c r="K59" s="511"/>
      <c r="L59" s="511"/>
      <c r="M59" s="512"/>
      <c r="N59" s="511"/>
      <c r="O59" s="512"/>
      <c r="P59" s="2627"/>
    </row>
    <row r="60" spans="1:29" s="117" customFormat="1" ht="15.75" thickBot="1">
      <c r="A60" s="514" t="s">
        <v>2583</v>
      </c>
      <c r="B60" s="515"/>
      <c r="C60" s="516"/>
      <c r="D60" s="517"/>
      <c r="E60" s="517"/>
      <c r="F60" s="517"/>
      <c r="G60" s="517"/>
      <c r="H60" s="517"/>
      <c r="I60" s="517"/>
      <c r="J60" s="517"/>
      <c r="K60" s="517"/>
      <c r="L60" s="517"/>
      <c r="M60" s="518"/>
      <c r="N60" s="517"/>
      <c r="O60" s="518"/>
      <c r="P60" s="2627"/>
      <c r="Q60" s="503"/>
    </row>
    <row r="61" spans="1:29" s="117" customFormat="1" ht="15">
      <c r="A61" s="520" t="s">
        <v>2584</v>
      </c>
      <c r="B61" s="509"/>
      <c r="C61" s="521" t="s">
        <v>2585</v>
      </c>
      <c r="D61" s="522"/>
      <c r="E61" s="522"/>
      <c r="F61" s="522"/>
      <c r="G61" s="522"/>
      <c r="H61" s="522"/>
      <c r="I61" s="522"/>
      <c r="J61" s="522"/>
      <c r="K61" s="522"/>
      <c r="L61" s="523"/>
      <c r="M61" s="524"/>
      <c r="N61" s="1153"/>
      <c r="O61" s="1153"/>
      <c r="P61" s="2628"/>
      <c r="Q61" s="503"/>
    </row>
    <row r="62" spans="1:29" s="117"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2586</v>
      </c>
      <c r="B63" s="527" t="s">
        <v>2552</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29"/>
      <c r="Q65" s="503"/>
    </row>
    <row r="66" spans="1:17" ht="15.75" thickBot="1">
      <c r="A66" s="533"/>
      <c r="B66" s="542"/>
      <c r="C66" s="543">
        <v>100</v>
      </c>
      <c r="D66" s="543">
        <f t="shared" ref="D66:I66" si="17">C66-$K10</f>
        <v>100</v>
      </c>
      <c r="E66" s="543">
        <f t="shared" si="17"/>
        <v>100</v>
      </c>
      <c r="F66" s="543">
        <f t="shared" si="17"/>
        <v>100</v>
      </c>
      <c r="G66" s="543">
        <f t="shared" si="17"/>
        <v>100</v>
      </c>
      <c r="H66" s="543">
        <f t="shared" si="17"/>
        <v>100</v>
      </c>
      <c r="I66" s="543">
        <f t="shared" si="17"/>
        <v>100</v>
      </c>
      <c r="J66" s="543"/>
      <c r="K66" s="543"/>
      <c r="L66" s="543"/>
      <c r="M66" s="544"/>
      <c r="N66" s="1155"/>
      <c r="O66" s="1155"/>
      <c r="P66" s="2629"/>
      <c r="Q66" s="503"/>
    </row>
    <row r="67" spans="1:17" ht="15.75" thickTop="1">
      <c r="A67" s="533"/>
      <c r="B67" s="545" t="s">
        <v>2556</v>
      </c>
      <c r="C67" s="546" t="str">
        <f>C68&amp;"（含）"&amp;"-"&amp;D68</f>
        <v>（含）-</v>
      </c>
      <c r="D67" s="546" t="str">
        <f t="shared" ref="D67:L67" si="18">D68&amp;"（含）"&amp;"-"&amp;E68</f>
        <v>（含）-</v>
      </c>
      <c r="E67" s="546" t="str">
        <f t="shared" si="18"/>
        <v>（含）-</v>
      </c>
      <c r="F67" s="546" t="str">
        <f t="shared" si="18"/>
        <v>（含）-</v>
      </c>
      <c r="G67" s="546" t="str">
        <f t="shared" si="18"/>
        <v>（含）-</v>
      </c>
      <c r="H67" s="546" t="str">
        <f t="shared" si="18"/>
        <v>（含）-</v>
      </c>
      <c r="I67" s="546" t="str">
        <f t="shared" si="18"/>
        <v>（含）-</v>
      </c>
      <c r="J67" s="546" t="str">
        <f t="shared" si="18"/>
        <v>（含）-</v>
      </c>
      <c r="K67" s="546" t="str">
        <f>K68&amp;"（含）"&amp;"-"&amp;L68</f>
        <v>（含）-</v>
      </c>
      <c r="L67" s="546" t="str">
        <f t="shared" si="18"/>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9">C69-$K11</f>
        <v>100</v>
      </c>
      <c r="E69" s="543">
        <f t="shared" si="19"/>
        <v>100</v>
      </c>
      <c r="F69" s="543">
        <f t="shared" si="19"/>
        <v>100</v>
      </c>
      <c r="G69" s="543">
        <f t="shared" si="19"/>
        <v>100</v>
      </c>
      <c r="H69" s="543">
        <f t="shared" si="19"/>
        <v>100</v>
      </c>
      <c r="I69" s="543">
        <f t="shared" si="19"/>
        <v>100</v>
      </c>
      <c r="J69" s="543">
        <f t="shared" si="19"/>
        <v>100</v>
      </c>
      <c r="K69" s="543">
        <f t="shared" si="19"/>
        <v>100</v>
      </c>
      <c r="L69" s="543">
        <f t="shared" si="19"/>
        <v>100</v>
      </c>
      <c r="M69" s="544">
        <f t="shared" si="19"/>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59"/>
      <c r="E73" s="559"/>
      <c r="F73" s="559"/>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2097</v>
      </c>
      <c r="C82" s="538" t="s">
        <v>2602</v>
      </c>
      <c r="D82" s="538" t="s">
        <v>2603</v>
      </c>
      <c r="E82" s="538" t="s">
        <v>2604</v>
      </c>
      <c r="F82" s="538" t="s">
        <v>2605</v>
      </c>
      <c r="G82" s="538" t="s">
        <v>2606</v>
      </c>
      <c r="H82" s="538"/>
      <c r="I82" s="538"/>
      <c r="J82" s="538"/>
      <c r="K82" s="538"/>
      <c r="L82" s="538"/>
      <c r="M82" s="1383"/>
      <c r="N82" s="1155"/>
      <c r="O82" s="1155"/>
      <c r="P82" s="2629"/>
      <c r="Q82" s="503"/>
    </row>
    <row r="83" spans="1:17" ht="15.75" thickBot="1">
      <c r="A83" s="533"/>
      <c r="B83" s="545"/>
      <c r="C83" s="659">
        <v>100</v>
      </c>
      <c r="D83" s="659">
        <f>C83-$K21</f>
        <v>100</v>
      </c>
      <c r="E83" s="659">
        <f>D83-$K21</f>
        <v>100</v>
      </c>
      <c r="F83" s="659">
        <f>E83-$K21</f>
        <v>100</v>
      </c>
      <c r="G83" s="659">
        <f>F83-$K21</f>
        <v>100</v>
      </c>
      <c r="H83" s="659"/>
      <c r="I83" s="659"/>
      <c r="J83" s="659"/>
      <c r="K83" s="659"/>
      <c r="L83" s="659"/>
      <c r="M83" s="449"/>
      <c r="N83" s="1155"/>
      <c r="O83" s="1155"/>
      <c r="P83" s="2629"/>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7" customFormat="1" ht="15.75" thickTop="1">
      <c r="A86" s="578"/>
      <c r="B86" s="537" t="s">
        <v>2608</v>
      </c>
      <c r="C86" s="553"/>
      <c r="D86" s="553"/>
      <c r="E86" s="553"/>
      <c r="F86" s="553"/>
      <c r="G86" s="553"/>
      <c r="H86" s="553"/>
      <c r="I86" s="553"/>
      <c r="J86" s="553"/>
      <c r="K86" s="553"/>
      <c r="L86" s="579"/>
      <c r="M86" s="580"/>
      <c r="N86" s="1153"/>
      <c r="O86" s="1153"/>
      <c r="P86" s="2629"/>
      <c r="Q86" s="503"/>
    </row>
    <row r="87" spans="1:17" s="117"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9"/>
      <c r="Q87" s="503"/>
    </row>
    <row r="88" spans="1:17" s="117" customFormat="1" ht="15.75" thickTop="1">
      <c r="A88" s="578"/>
      <c r="B88" s="537" t="s">
        <v>2609</v>
      </c>
      <c r="C88" s="553"/>
      <c r="D88" s="553"/>
      <c r="E88" s="553"/>
      <c r="F88" s="2634"/>
      <c r="G88" s="553"/>
      <c r="H88" s="553"/>
      <c r="I88" s="553"/>
      <c r="J88" s="553"/>
      <c r="K88" s="553"/>
      <c r="L88" s="553"/>
      <c r="M88" s="580"/>
      <c r="N88" s="1153"/>
      <c r="O88" s="1153"/>
      <c r="P88" s="2629"/>
      <c r="Q88" s="503"/>
    </row>
    <row r="89" spans="1:17" s="117"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5"/>
      <c r="O89" s="1155"/>
      <c r="P89" s="2629"/>
      <c r="Q89" s="503"/>
    </row>
    <row r="90" spans="1:17" s="470" customFormat="1" ht="15.75" thickTop="1">
      <c r="A90" s="552"/>
      <c r="B90" s="537">
        <f>B27</f>
        <v>111</v>
      </c>
      <c r="C90" s="553"/>
      <c r="D90" s="553"/>
      <c r="E90" s="553"/>
      <c r="F90" s="553"/>
      <c r="G90" s="553"/>
      <c r="H90" s="554"/>
      <c r="I90" s="554"/>
      <c r="J90" s="554"/>
      <c r="K90" s="554"/>
      <c r="L90" s="555"/>
      <c r="M90" s="556"/>
      <c r="N90" s="1156"/>
      <c r="O90" s="1156"/>
      <c r="P90" s="2630"/>
      <c r="Q90" s="558"/>
    </row>
    <row r="91" spans="1:17" s="470" customFormat="1" ht="15.75" thickBot="1">
      <c r="A91" s="552"/>
      <c r="B91" s="542"/>
      <c r="C91" s="559"/>
      <c r="D91" s="559"/>
      <c r="E91" s="559"/>
      <c r="F91" s="559"/>
      <c r="G91" s="559"/>
      <c r="H91" s="561"/>
      <c r="I91" s="561"/>
      <c r="J91" s="561"/>
      <c r="K91" s="561"/>
      <c r="L91" s="561"/>
      <c r="M91" s="562"/>
      <c r="N91" s="1156"/>
      <c r="O91" s="1156"/>
      <c r="P91" s="2630"/>
      <c r="Q91" s="558"/>
    </row>
    <row r="92" spans="1:17" ht="15.75" thickTop="1">
      <c r="A92" s="533"/>
      <c r="B92" s="537">
        <f>B28</f>
        <v>111</v>
      </c>
      <c r="C92" s="553"/>
      <c r="D92" s="553"/>
      <c r="E92" s="553"/>
      <c r="F92" s="553"/>
      <c r="G92" s="582"/>
      <c r="H92" s="582"/>
      <c r="I92" s="582"/>
      <c r="J92" s="582"/>
      <c r="K92" s="583"/>
      <c r="L92" s="584"/>
      <c r="M92" s="585"/>
      <c r="N92" s="1154"/>
      <c r="O92" s="1154"/>
      <c r="P92" s="2629"/>
      <c r="Q92" s="503"/>
    </row>
    <row r="93" spans="1:17" ht="15.75" thickBot="1">
      <c r="A93" s="533"/>
      <c r="B93" s="542"/>
      <c r="C93" s="559"/>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59"/>
      <c r="E95" s="559"/>
      <c r="F95" s="559"/>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69"/>
      <c r="D97" s="569"/>
      <c r="E97" s="569"/>
      <c r="F97" s="569"/>
      <c r="G97" s="535"/>
      <c r="H97" s="535"/>
      <c r="I97" s="535"/>
      <c r="J97" s="535"/>
      <c r="K97" s="535"/>
      <c r="L97" s="535"/>
      <c r="M97" s="536"/>
      <c r="N97" s="1155"/>
      <c r="O97" s="1155"/>
      <c r="P97" s="2629"/>
      <c r="Q97" s="503"/>
    </row>
    <row r="98" spans="1:17" ht="15.75" thickTop="1">
      <c r="A98" s="533"/>
      <c r="B98" s="545">
        <f>B31</f>
        <v>111</v>
      </c>
      <c r="C98" s="586"/>
      <c r="D98" s="586"/>
      <c r="E98" s="586"/>
      <c r="F98" s="586"/>
      <c r="G98" s="586"/>
      <c r="H98" s="586"/>
      <c r="I98" s="586"/>
      <c r="J98" s="586"/>
      <c r="K98" s="587"/>
      <c r="L98" s="588"/>
      <c r="M98" s="589"/>
      <c r="N98" s="1154"/>
      <c r="O98" s="1154"/>
      <c r="P98" s="2629"/>
      <c r="Q98" s="503"/>
    </row>
    <row r="99" spans="1:17" ht="15.75" thickBot="1">
      <c r="A99" s="2635"/>
      <c r="B99" s="568"/>
      <c r="C99" s="590"/>
      <c r="D99" s="590"/>
      <c r="E99" s="590"/>
      <c r="F99" s="590"/>
      <c r="G99" s="590"/>
      <c r="H99" s="590"/>
      <c r="I99" s="590"/>
      <c r="J99" s="590"/>
      <c r="K99" s="590"/>
      <c r="L99" s="590"/>
      <c r="M99" s="591"/>
      <c r="N99" s="1155"/>
      <c r="O99" s="1155"/>
      <c r="P99" s="2629"/>
      <c r="Q99" s="503"/>
    </row>
    <row r="100" spans="1:17">
      <c r="A100" s="526" t="s">
        <v>2561</v>
      </c>
      <c r="B100" s="527" t="s">
        <v>2610</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3">
        <f t="shared" si="22"/>
        <v>100</v>
      </c>
      <c r="N101" s="1155"/>
      <c r="O101" s="1155"/>
      <c r="P101" s="2629"/>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K103&amp;"(含)"&amp;"-"&amp;L103</f>
        <v>(含)-</v>
      </c>
      <c r="L102" s="577" t="str">
        <f t="shared" si="23"/>
        <v>(含)-</v>
      </c>
      <c r="M102" s="577"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0"/>
      <c r="Q104" s="558"/>
    </row>
    <row r="105" spans="1:17" ht="15" thickTop="1">
      <c r="A105" s="598"/>
      <c r="B105" s="537" t="s">
        <v>2612</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3">
        <f t="shared" si="24"/>
        <v>100</v>
      </c>
      <c r="N106" s="1155"/>
      <c r="O106" s="1155"/>
      <c r="P106" s="2629"/>
      <c r="Q106" s="503"/>
    </row>
    <row r="107" spans="1:17" ht="15" thickTop="1">
      <c r="A107" s="598"/>
      <c r="B107" s="537" t="s">
        <v>2613</v>
      </c>
      <c r="C107" s="582"/>
      <c r="D107" s="582"/>
      <c r="E107" s="582"/>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3">
        <f t="shared" si="25"/>
        <v>100</v>
      </c>
      <c r="N108" s="1155"/>
      <c r="O108" s="1155"/>
      <c r="P108" s="2629"/>
      <c r="Q108" s="503"/>
    </row>
    <row r="109" spans="1:17" ht="15" thickTop="1">
      <c r="A109" s="598"/>
      <c r="B109" s="537" t="s">
        <v>2614</v>
      </c>
      <c r="C109" s="553"/>
      <c r="D109" s="553"/>
      <c r="E109" s="553"/>
      <c r="F109" s="582"/>
      <c r="G109" s="582"/>
      <c r="H109" s="582"/>
      <c r="I109" s="582"/>
      <c r="J109" s="582"/>
      <c r="K109" s="583"/>
      <c r="L109" s="584"/>
      <c r="M109" s="585"/>
      <c r="N109" s="1154"/>
      <c r="O109" s="1154"/>
      <c r="P109" s="2629"/>
      <c r="Q109" s="503"/>
    </row>
    <row r="110" spans="1:17" ht="15.75" thickBot="1">
      <c r="A110" s="533"/>
      <c r="B110" s="542"/>
      <c r="C110" s="543">
        <v>100</v>
      </c>
      <c r="D110" s="543">
        <f t="shared" ref="D110:M110" si="26">C110-$K36</f>
        <v>100</v>
      </c>
      <c r="E110" s="543">
        <f t="shared" si="26"/>
        <v>100</v>
      </c>
      <c r="F110" s="543">
        <f t="shared" si="26"/>
        <v>100</v>
      </c>
      <c r="G110" s="543">
        <f t="shared" si="26"/>
        <v>100</v>
      </c>
      <c r="H110" s="543">
        <f t="shared" si="26"/>
        <v>100</v>
      </c>
      <c r="I110" s="543">
        <f t="shared" si="26"/>
        <v>100</v>
      </c>
      <c r="J110" s="543">
        <f t="shared" si="26"/>
        <v>100</v>
      </c>
      <c r="K110" s="543">
        <f t="shared" si="26"/>
        <v>100</v>
      </c>
      <c r="L110" s="543">
        <f t="shared" si="26"/>
        <v>100</v>
      </c>
      <c r="M110" s="543">
        <f t="shared" si="26"/>
        <v>100</v>
      </c>
      <c r="N110" s="1155"/>
      <c r="O110" s="1155"/>
      <c r="P110" s="2629"/>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0"/>
      <c r="Q113" s="558"/>
    </row>
    <row r="114" spans="1:17" ht="15" thickTop="1">
      <c r="A114" s="598"/>
      <c r="B114" s="537" t="s">
        <v>2615</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7">C115-$K38</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3">
        <f t="shared" si="27"/>
        <v>100</v>
      </c>
      <c r="N115" s="1155"/>
      <c r="O115" s="1155"/>
      <c r="P115" s="2629"/>
      <c r="Q115" s="503"/>
    </row>
    <row r="116" spans="1:17" ht="15" thickTop="1">
      <c r="A116" s="598"/>
      <c r="B116" s="537" t="s">
        <v>2616</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2617</v>
      </c>
      <c r="C118" s="582"/>
      <c r="D118" s="582"/>
      <c r="E118" s="582"/>
      <c r="F118" s="582"/>
      <c r="G118" s="582"/>
      <c r="H118" s="582"/>
      <c r="I118" s="582"/>
      <c r="J118" s="582"/>
      <c r="K118" s="583"/>
      <c r="L118" s="584"/>
      <c r="M118" s="585"/>
      <c r="N118" s="1154"/>
      <c r="O118" s="1154"/>
      <c r="P118" s="2629"/>
      <c r="Q118" s="503"/>
    </row>
    <row r="119" spans="1:17" ht="15.75" thickBot="1">
      <c r="A119" s="533"/>
      <c r="B119" s="542"/>
      <c r="C119" s="543">
        <v>100</v>
      </c>
      <c r="D119" s="543">
        <f t="shared" ref="D119:M119" si="28">C119-$K40</f>
        <v>100</v>
      </c>
      <c r="E119" s="543">
        <f t="shared" si="28"/>
        <v>100</v>
      </c>
      <c r="F119" s="543">
        <f t="shared" si="28"/>
        <v>100</v>
      </c>
      <c r="G119" s="543">
        <f t="shared" si="28"/>
        <v>100</v>
      </c>
      <c r="H119" s="543">
        <f t="shared" si="28"/>
        <v>100</v>
      </c>
      <c r="I119" s="543">
        <f t="shared" si="28"/>
        <v>100</v>
      </c>
      <c r="J119" s="543">
        <f t="shared" si="28"/>
        <v>100</v>
      </c>
      <c r="K119" s="543">
        <f t="shared" si="28"/>
        <v>100</v>
      </c>
      <c r="L119" s="543">
        <f t="shared" si="28"/>
        <v>100</v>
      </c>
      <c r="M119" s="543">
        <f t="shared" si="28"/>
        <v>100</v>
      </c>
      <c r="N119" s="1155"/>
      <c r="O119" s="1155"/>
      <c r="P119" s="2629"/>
      <c r="Q119" s="503"/>
    </row>
    <row r="120" spans="1:17" s="470" customFormat="1" ht="28.5" thickTop="1">
      <c r="A120" s="592"/>
      <c r="B120" s="537" t="s">
        <v>2572</v>
      </c>
      <c r="C120" s="553"/>
      <c r="D120" s="553"/>
      <c r="E120" s="553"/>
      <c r="F120" s="553"/>
      <c r="G120" s="553"/>
      <c r="H120" s="553"/>
      <c r="I120" s="553"/>
      <c r="J120" s="553"/>
      <c r="K120" s="553"/>
      <c r="L120" s="579"/>
      <c r="M120" s="580"/>
      <c r="N120" s="1156"/>
      <c r="O120" s="1156"/>
      <c r="P120" s="2630"/>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0"/>
      <c r="Q121" s="558"/>
    </row>
    <row r="122" spans="1:17" ht="15" thickTop="1">
      <c r="A122" s="598"/>
      <c r="B122" s="537" t="s">
        <v>2618</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29">C123-$K42</f>
        <v>100</v>
      </c>
      <c r="E123" s="543">
        <f t="shared" si="29"/>
        <v>100</v>
      </c>
      <c r="F123" s="543">
        <f t="shared" si="29"/>
        <v>100</v>
      </c>
      <c r="G123" s="543">
        <f t="shared" si="29"/>
        <v>100</v>
      </c>
      <c r="H123" s="543">
        <f t="shared" si="29"/>
        <v>100</v>
      </c>
      <c r="I123" s="543">
        <f t="shared" si="29"/>
        <v>100</v>
      </c>
      <c r="J123" s="543">
        <f t="shared" si="29"/>
        <v>100</v>
      </c>
      <c r="K123" s="543">
        <f t="shared" si="29"/>
        <v>100</v>
      </c>
      <c r="L123" s="543">
        <f t="shared" si="29"/>
        <v>100</v>
      </c>
      <c r="M123" s="543">
        <f t="shared" si="29"/>
        <v>100</v>
      </c>
      <c r="N123" s="1155"/>
      <c r="O123" s="1155"/>
      <c r="P123" s="2629"/>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59"/>
      <c r="E129" s="559"/>
      <c r="F129" s="559"/>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row r="136" spans="1:17" ht="15" thickBot="1">
      <c r="B136" s="2636" t="s">
        <v>2620</v>
      </c>
    </row>
    <row r="137" spans="1:17" ht="15">
      <c r="B137" s="2637" t="s">
        <v>2621</v>
      </c>
      <c r="C137" s="2638"/>
      <c r="D137" s="2638"/>
      <c r="E137" s="2638"/>
      <c r="F137" s="2638"/>
      <c r="G137" s="2639"/>
      <c r="H137" s="2640"/>
      <c r="I137" s="2641" t="s">
        <v>2622</v>
      </c>
      <c r="J137" s="2638"/>
      <c r="K137" s="2642"/>
    </row>
    <row r="138" spans="1:17" ht="15">
      <c r="B138" s="2643"/>
      <c r="C138" s="146" t="s">
        <v>2623</v>
      </c>
      <c r="D138" s="146" t="s">
        <v>2624</v>
      </c>
      <c r="E138" s="2644" t="s">
        <v>2625</v>
      </c>
      <c r="F138" s="2645" t="s">
        <v>2626</v>
      </c>
      <c r="G138" s="146" t="s">
        <v>2624</v>
      </c>
      <c r="H138" s="147" t="s">
        <v>2625</v>
      </c>
      <c r="I138" s="2646"/>
      <c r="J138" s="146" t="s">
        <v>2627</v>
      </c>
      <c r="K138" s="147" t="s">
        <v>2628</v>
      </c>
    </row>
    <row r="139" spans="1:17" ht="15">
      <c r="B139" s="1086">
        <v>6</v>
      </c>
      <c r="C139" s="1087">
        <v>96</v>
      </c>
      <c r="D139" s="2647" t="s">
        <v>2629</v>
      </c>
      <c r="E139" s="1088">
        <v>100</v>
      </c>
      <c r="F139" s="1089">
        <v>102.5</v>
      </c>
      <c r="G139" s="2647" t="s">
        <v>2629</v>
      </c>
      <c r="H139" s="1090">
        <v>105</v>
      </c>
      <c r="I139" s="2648" t="s">
        <v>2630</v>
      </c>
      <c r="J139" s="1087">
        <v>20</v>
      </c>
      <c r="K139" s="1091">
        <f>C145/(J139-2)</f>
        <v>4.0555555555555553E-3</v>
      </c>
    </row>
    <row r="140" spans="1:17" ht="15">
      <c r="B140" s="1092">
        <v>5</v>
      </c>
      <c r="C140" s="1093">
        <v>100</v>
      </c>
      <c r="D140" s="1093"/>
      <c r="E140" s="1094"/>
      <c r="F140" s="1095">
        <v>102</v>
      </c>
      <c r="G140" s="1093"/>
      <c r="H140" s="1096"/>
      <c r="I140" s="2649" t="s">
        <v>2631</v>
      </c>
      <c r="J140" s="315">
        <f>ROUNDUP((J139-1)/2,0)</f>
        <v>10</v>
      </c>
      <c r="K140" s="1097">
        <v>100</v>
      </c>
    </row>
    <row r="141" spans="1:17" ht="15">
      <c r="B141" s="1092">
        <v>4</v>
      </c>
      <c r="C141" s="1093">
        <v>102</v>
      </c>
      <c r="D141" s="1093"/>
      <c r="E141" s="1094"/>
      <c r="F141" s="1095">
        <v>101.5</v>
      </c>
      <c r="G141" s="1093"/>
      <c r="H141" s="1096"/>
      <c r="I141" s="2649" t="s">
        <v>2632</v>
      </c>
      <c r="J141" s="315">
        <v>1</v>
      </c>
      <c r="K141" s="1098">
        <f>ROUND(100+(J141-J140)*K139*100,1)</f>
        <v>96.4</v>
      </c>
    </row>
    <row r="142" spans="1:17" ht="15">
      <c r="B142" s="1092">
        <v>3</v>
      </c>
      <c r="C142" s="1093">
        <v>103</v>
      </c>
      <c r="D142" s="1093"/>
      <c r="E142" s="1094"/>
      <c r="F142" s="1095">
        <v>101</v>
      </c>
      <c r="G142" s="1093"/>
      <c r="H142" s="1096"/>
      <c r="I142" s="2649" t="s">
        <v>2633</v>
      </c>
      <c r="J142" s="315">
        <f>J139</f>
        <v>20</v>
      </c>
      <c r="K142" s="1099">
        <v>95</v>
      </c>
    </row>
    <row r="143" spans="1:17" ht="15">
      <c r="B143" s="1092">
        <v>2</v>
      </c>
      <c r="C143" s="1093">
        <v>100</v>
      </c>
      <c r="D143" s="1093"/>
      <c r="E143" s="1094"/>
      <c r="F143" s="1095">
        <v>100.5</v>
      </c>
      <c r="G143" s="1093"/>
      <c r="H143" s="1096"/>
      <c r="I143" s="2649" t="s">
        <v>2634</v>
      </c>
      <c r="J143" s="1093">
        <v>15</v>
      </c>
      <c r="K143" s="1098">
        <f>ROUND(100+(J143-J140)*K139*100,1)</f>
        <v>102</v>
      </c>
    </row>
    <row r="144" spans="1:17" ht="15">
      <c r="B144" s="1092">
        <v>1</v>
      </c>
      <c r="C144" s="1093">
        <v>98</v>
      </c>
      <c r="D144" s="2650" t="s">
        <v>2635</v>
      </c>
      <c r="E144" s="1094">
        <v>102</v>
      </c>
      <c r="F144" s="1100">
        <v>100</v>
      </c>
      <c r="G144" s="2650" t="s">
        <v>2635</v>
      </c>
      <c r="H144" s="1096">
        <v>105</v>
      </c>
      <c r="I144" s="2649" t="s">
        <v>2634</v>
      </c>
      <c r="J144" s="1093">
        <v>18</v>
      </c>
      <c r="K144" s="1098">
        <f>ROUND(100+(J144-J140)*K139*100,1)</f>
        <v>103.2</v>
      </c>
    </row>
    <row r="145" spans="2:11" ht="15.75" thickBot="1">
      <c r="B145" s="2651" t="s">
        <v>2636</v>
      </c>
      <c r="C145" s="1101">
        <f>ROUND(MAX(C139:C144)/MIN(C139:C144)-1,3)</f>
        <v>7.2999999999999995E-2</v>
      </c>
      <c r="D145" s="1102"/>
      <c r="E145" s="1102"/>
      <c r="F145" s="2652" t="s">
        <v>2637</v>
      </c>
      <c r="G145" s="2653"/>
      <c r="H145" s="2654"/>
      <c r="I145" s="2655" t="s">
        <v>2634</v>
      </c>
      <c r="J145" s="1103">
        <v>8</v>
      </c>
      <c r="K145" s="1104">
        <f>ROUND(100+(J145-J140)*K139*100,1)</f>
        <v>99.2</v>
      </c>
    </row>
    <row r="147" spans="2:11">
      <c r="B147" s="2636" t="s">
        <v>2638</v>
      </c>
    </row>
    <row r="148" spans="2:11">
      <c r="B148" s="2636"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581" t="s">
        <v>2640</v>
      </c>
      <c r="C1" s="1635" t="s">
        <v>2528</v>
      </c>
      <c r="D1" s="1622"/>
      <c r="E1" s="2656"/>
      <c r="F1" s="2583"/>
      <c r="G1" s="1632" t="s">
        <v>2641</v>
      </c>
      <c r="H1" s="1631"/>
      <c r="I1" s="1631"/>
      <c r="J1" s="1631"/>
      <c r="K1" s="1633"/>
      <c r="L1" s="1634"/>
      <c r="M1" s="1635"/>
      <c r="N1" s="1635"/>
      <c r="O1" s="1635"/>
      <c r="P1" s="2657"/>
      <c r="Q1" s="2658"/>
      <c r="R1" s="2658"/>
      <c r="S1" s="2658"/>
      <c r="T1" s="2658"/>
      <c r="U1" s="2658"/>
      <c r="V1" s="2658"/>
      <c r="W1" s="2658"/>
      <c r="X1" s="2658"/>
      <c r="Y1" s="2658"/>
      <c r="Z1" s="2658"/>
      <c r="AA1" s="2658"/>
      <c r="AB1" s="2658"/>
      <c r="AC1" s="2659"/>
    </row>
    <row r="2" spans="1:29" s="398" customFormat="1" ht="28.5" customHeight="1" thickTop="1">
      <c r="A2" s="1618" t="s">
        <v>2327</v>
      </c>
      <c r="B2" s="1419" t="e">
        <f ca="1">IF(C2="——",ROUND(C49*D3/10000,0),ROUND(C49*D3/10000,0)-D2)</f>
        <v>#DIV/0!</v>
      </c>
      <c r="C2" s="2585"/>
      <c r="D2" s="1366" t="e">
        <f ca="1">SUMIF(INDIRECT("'"&amp;F2&amp;"'"&amp;"!A:A"),"承租人权益价值",INDIRECT("'"&amp;F2&amp;"'"&amp;"!c:c"))</f>
        <v>#REF!</v>
      </c>
      <c r="E2" s="2586" t="s">
        <v>2328</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8" customFormat="1" ht="28.5" customHeight="1" thickBot="1">
      <c r="A3" s="247" t="s">
        <v>2329</v>
      </c>
      <c r="B3" s="608" t="e">
        <f ca="1">IF(C2="——",C49,ROUND(B2*10000/D3,0))</f>
        <v>#DIV/0!</v>
      </c>
      <c r="C3" s="400" t="s">
        <v>2642</v>
      </c>
      <c r="D3" s="399">
        <f>IF(D1="",'数据-汇总表'!E3,SUMIF('数据-汇总表'!$C19:$C33,D1,'数据-汇总表'!$E19:$E33))</f>
        <v>25792.44</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1" t="s">
        <v>2643</v>
      </c>
      <c r="B4" s="402"/>
      <c r="C4" s="3188" t="s">
        <v>2644</v>
      </c>
      <c r="D4" s="3201"/>
      <c r="E4" s="3202" t="s">
        <v>2645</v>
      </c>
      <c r="F4" s="3203"/>
      <c r="G4" s="3188" t="s">
        <v>2646</v>
      </c>
      <c r="H4" s="3201"/>
      <c r="I4" s="3188" t="s">
        <v>2647</v>
      </c>
      <c r="J4" s="3201"/>
      <c r="K4" s="609" t="s">
        <v>2648</v>
      </c>
      <c r="L4" s="1132"/>
      <c r="M4" s="1133"/>
      <c r="N4" s="1133"/>
      <c r="O4" s="1133"/>
      <c r="P4" s="3204" t="s">
        <v>2649</v>
      </c>
      <c r="Q4" s="3205"/>
      <c r="R4" s="3210" t="s">
        <v>2645</v>
      </c>
      <c r="S4" s="3211"/>
      <c r="T4" s="3210" t="s">
        <v>2646</v>
      </c>
      <c r="U4" s="3211"/>
      <c r="V4" s="3197" t="s">
        <v>2647</v>
      </c>
      <c r="W4" s="3197"/>
      <c r="X4" s="1814"/>
      <c r="Y4" s="3210" t="s">
        <v>2649</v>
      </c>
      <c r="Z4" s="3211"/>
      <c r="AA4" s="3198" t="s">
        <v>2645</v>
      </c>
      <c r="AB4" s="3197" t="s">
        <v>2646</v>
      </c>
      <c r="AC4" s="3198" t="s">
        <v>2647</v>
      </c>
    </row>
    <row r="5" spans="1:29" ht="15">
      <c r="A5" s="404"/>
      <c r="B5" s="405"/>
      <c r="C5" s="3218" t="s">
        <v>2540</v>
      </c>
      <c r="D5" s="3219"/>
      <c r="E5" s="3225" t="s">
        <v>2541</v>
      </c>
      <c r="F5" s="3226"/>
      <c r="G5" s="3218" t="s">
        <v>2542</v>
      </c>
      <c r="H5" s="3219"/>
      <c r="I5" s="3218" t="s">
        <v>2543</v>
      </c>
      <c r="J5" s="3219"/>
      <c r="K5" s="609"/>
      <c r="L5" s="1132"/>
      <c r="M5" s="1133"/>
      <c r="N5" s="1133"/>
      <c r="O5" s="1133"/>
      <c r="P5" s="3206"/>
      <c r="Q5" s="3207"/>
      <c r="R5" s="3212"/>
      <c r="S5" s="3213"/>
      <c r="T5" s="3212"/>
      <c r="U5" s="3213"/>
      <c r="V5" s="3197"/>
      <c r="W5" s="3197"/>
      <c r="X5" s="1814"/>
      <c r="Y5" s="3212"/>
      <c r="Z5" s="3213"/>
      <c r="AA5" s="3199"/>
      <c r="AB5" s="3197"/>
      <c r="AC5" s="3199"/>
    </row>
    <row r="6" spans="1:29" ht="15.75" thickBot="1">
      <c r="A6" s="406"/>
      <c r="B6" s="407"/>
      <c r="C6" s="3216" t="s">
        <v>2544</v>
      </c>
      <c r="D6" s="3217"/>
      <c r="E6" s="3223" t="s">
        <v>2544</v>
      </c>
      <c r="F6" s="3224"/>
      <c r="G6" s="3216" t="s">
        <v>2544</v>
      </c>
      <c r="H6" s="3217"/>
      <c r="I6" s="3216" t="s">
        <v>2544</v>
      </c>
      <c r="J6" s="3217"/>
      <c r="K6" s="609" t="s">
        <v>2545</v>
      </c>
      <c r="L6" s="1132"/>
      <c r="M6" s="1133"/>
      <c r="N6" s="1133"/>
      <c r="O6" s="1133"/>
      <c r="P6" s="3208"/>
      <c r="Q6" s="3209"/>
      <c r="R6" s="3212"/>
      <c r="S6" s="3213"/>
      <c r="T6" s="3214"/>
      <c r="U6" s="3215"/>
      <c r="V6" s="3197"/>
      <c r="W6" s="3197"/>
      <c r="X6" s="1814"/>
      <c r="Y6" s="3214"/>
      <c r="Z6" s="3215"/>
      <c r="AA6" s="3200"/>
      <c r="AB6" s="3197"/>
      <c r="AC6" s="3200"/>
    </row>
    <row r="7" spans="1:29" s="117" customFormat="1" ht="15.75" thickBot="1">
      <c r="A7" s="408" t="s">
        <v>2546</v>
      </c>
      <c r="B7" s="409"/>
      <c r="C7" s="410">
        <f>'数据-取费表'!B2</f>
        <v>43692</v>
      </c>
      <c r="D7" s="411">
        <v>100</v>
      </c>
      <c r="E7" s="412"/>
      <c r="F7" s="413">
        <f>SUMIF(58:58,YEAR(E7)&amp;"-"&amp;MONTH(E7),59:59)</f>
        <v>0</v>
      </c>
      <c r="G7" s="412"/>
      <c r="H7" s="411">
        <f>SUMIF(58:58,YEAR(G7)&amp;"-"&amp;MONTH(G7),59:59)</f>
        <v>0</v>
      </c>
      <c r="I7" s="412"/>
      <c r="J7" s="411">
        <f>SUMIF(58:58,YEAR(I7)&amp;"-"&amp;MONTH(I7),59:59)</f>
        <v>0</v>
      </c>
      <c r="K7" s="610"/>
      <c r="L7" s="1134"/>
      <c r="M7" s="1135"/>
      <c r="N7" s="1135"/>
      <c r="O7" s="1135"/>
      <c r="P7" s="3220" t="s">
        <v>2547</v>
      </c>
      <c r="Q7" s="3222"/>
      <c r="R7" s="769" t="s">
        <v>17</v>
      </c>
      <c r="S7" s="770">
        <f t="shared" ref="S7:S15" si="0">F7</f>
        <v>0</v>
      </c>
      <c r="T7" s="769" t="s">
        <v>17</v>
      </c>
      <c r="U7" s="770">
        <f t="shared" ref="U7:U15" si="1">H7</f>
        <v>0</v>
      </c>
      <c r="V7" s="769" t="s">
        <v>17</v>
      </c>
      <c r="W7" s="770">
        <f t="shared" ref="W7:W15" si="2">J7</f>
        <v>0</v>
      </c>
      <c r="X7" s="771"/>
      <c r="Y7" s="3220" t="s">
        <v>2547</v>
      </c>
      <c r="Z7" s="3221"/>
      <c r="AA7" s="772" t="e">
        <f>D7/F7</f>
        <v>#DIV/0!</v>
      </c>
      <c r="AB7" s="772" t="e">
        <f>D7/H7</f>
        <v>#DIV/0!</v>
      </c>
      <c r="AC7" s="772"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0"/>
      <c r="L8" s="1134"/>
      <c r="M8" s="1135"/>
      <c r="N8" s="1135"/>
      <c r="O8" s="1135"/>
      <c r="P8" s="3220" t="s">
        <v>2550</v>
      </c>
      <c r="Q8" s="3221"/>
      <c r="R8" s="769" t="s">
        <v>17</v>
      </c>
      <c r="S8" s="770">
        <f t="shared" si="0"/>
        <v>0</v>
      </c>
      <c r="T8" s="769" t="s">
        <v>17</v>
      </c>
      <c r="U8" s="770">
        <f t="shared" si="1"/>
        <v>0</v>
      </c>
      <c r="V8" s="769" t="s">
        <v>17</v>
      </c>
      <c r="W8" s="770">
        <f t="shared" si="2"/>
        <v>0</v>
      </c>
      <c r="X8" s="771"/>
      <c r="Y8" s="3220" t="s">
        <v>2550</v>
      </c>
      <c r="Z8" s="3221"/>
      <c r="AA8" s="772" t="e">
        <f t="shared" ref="AA8:AA46" si="3">D8/F8</f>
        <v>#DIV/0!</v>
      </c>
      <c r="AB8" s="772" t="e">
        <f t="shared" ref="AB8:AB46" si="4">D8/H8</f>
        <v>#DIV/0!</v>
      </c>
      <c r="AC8" s="772"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0"/>
      <c r="L9" s="1134"/>
      <c r="M9" s="1135"/>
      <c r="N9" s="1135"/>
      <c r="O9" s="1135"/>
      <c r="P9" s="3190" t="s">
        <v>2553</v>
      </c>
      <c r="Q9" s="1796" t="str">
        <f t="shared" ref="Q9:Q15" si="6">B9</f>
        <v>用途</v>
      </c>
      <c r="R9" s="769" t="s">
        <v>17</v>
      </c>
      <c r="S9" s="770">
        <f t="shared" si="0"/>
        <v>100</v>
      </c>
      <c r="T9" s="769" t="s">
        <v>17</v>
      </c>
      <c r="U9" s="770">
        <f t="shared" si="1"/>
        <v>100</v>
      </c>
      <c r="V9" s="769" t="s">
        <v>17</v>
      </c>
      <c r="W9" s="770">
        <f t="shared" si="2"/>
        <v>100</v>
      </c>
      <c r="X9" s="771"/>
      <c r="Y9" s="3042" t="s">
        <v>2554</v>
      </c>
      <c r="Z9" s="55" t="str">
        <f t="shared" ref="Z9:Z15" si="7">Q9</f>
        <v>用途</v>
      </c>
      <c r="AA9" s="772">
        <f t="shared" si="3"/>
        <v>1</v>
      </c>
      <c r="AB9" s="772">
        <f t="shared" si="4"/>
        <v>1</v>
      </c>
      <c r="AC9" s="772">
        <f t="shared" si="5"/>
        <v>1</v>
      </c>
    </row>
    <row r="10" spans="1:29" s="426" customFormat="1" ht="27">
      <c r="A10" s="420"/>
      <c r="B10" s="421" t="s">
        <v>2555</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190"/>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2556</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190"/>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190"/>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90"/>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90"/>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71.25">
      <c r="A15" s="439" t="s">
        <v>2557</v>
      </c>
      <c r="B15" s="69" t="s">
        <v>2651</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34" t="s">
        <v>2558</v>
      </c>
      <c r="Q15" s="1811" t="str">
        <f t="shared" si="6"/>
        <v>商业繁华度</v>
      </c>
      <c r="R15" s="773" t="s">
        <v>17</v>
      </c>
      <c r="S15" s="774">
        <f t="shared" si="0"/>
        <v>100</v>
      </c>
      <c r="T15" s="773" t="s">
        <v>17</v>
      </c>
      <c r="U15" s="774">
        <f t="shared" si="1"/>
        <v>100</v>
      </c>
      <c r="V15" s="773" t="s">
        <v>17</v>
      </c>
      <c r="W15" s="774">
        <f t="shared" si="2"/>
        <v>100</v>
      </c>
      <c r="X15" s="1814"/>
      <c r="Y15" s="3193" t="s">
        <v>2558</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35"/>
      <c r="Q16" s="1811"/>
      <c r="R16" s="773"/>
      <c r="S16" s="774"/>
      <c r="T16" s="773"/>
      <c r="U16" s="774"/>
      <c r="V16" s="773"/>
      <c r="W16" s="774"/>
      <c r="X16" s="1814"/>
      <c r="Y16" s="3194"/>
      <c r="Z16" s="1815"/>
      <c r="AA16" s="1812">
        <v>1</v>
      </c>
      <c r="AB16" s="1812">
        <v>1</v>
      </c>
      <c r="AC16" s="1812">
        <v>1</v>
      </c>
    </row>
    <row r="17" spans="1:29" ht="85.5">
      <c r="A17" s="427"/>
      <c r="B17" s="450" t="s">
        <v>2096</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5"/>
      <c r="Q17" s="1811" t="str">
        <f>B17</f>
        <v>交通便捷度</v>
      </c>
      <c r="R17" s="773" t="s">
        <v>17</v>
      </c>
      <c r="S17" s="774">
        <f>F17</f>
        <v>100</v>
      </c>
      <c r="T17" s="773" t="s">
        <v>17</v>
      </c>
      <c r="U17" s="774">
        <f>H17</f>
        <v>100</v>
      </c>
      <c r="V17" s="773" t="s">
        <v>17</v>
      </c>
      <c r="W17" s="774">
        <f>J17</f>
        <v>100</v>
      </c>
      <c r="X17" s="1814"/>
      <c r="Y17" s="3194"/>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2"/>
      <c r="M18" s="1133"/>
      <c r="N18" s="1133"/>
      <c r="O18" s="1133"/>
      <c r="P18" s="3235"/>
      <c r="Q18" s="1811"/>
      <c r="R18" s="773"/>
      <c r="S18" s="774"/>
      <c r="T18" s="773"/>
      <c r="U18" s="774"/>
      <c r="V18" s="773"/>
      <c r="W18" s="774"/>
      <c r="X18" s="1814"/>
      <c r="Y18" s="3194"/>
      <c r="Z18" s="1815"/>
      <c r="AA18" s="1812">
        <v>1</v>
      </c>
      <c r="AB18" s="1812">
        <v>1</v>
      </c>
      <c r="AC18" s="1812">
        <v>1</v>
      </c>
    </row>
    <row r="19" spans="1:29" ht="42.75">
      <c r="A19" s="427"/>
      <c r="B19" s="450" t="s">
        <v>2652</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5"/>
      <c r="Q19" s="1811" t="str">
        <f>B19</f>
        <v>公共配套设施</v>
      </c>
      <c r="R19" s="773" t="s">
        <v>17</v>
      </c>
      <c r="S19" s="774">
        <f>F19</f>
        <v>100</v>
      </c>
      <c r="T19" s="773" t="s">
        <v>17</v>
      </c>
      <c r="U19" s="774">
        <f>H19</f>
        <v>100</v>
      </c>
      <c r="V19" s="773" t="s">
        <v>17</v>
      </c>
      <c r="W19" s="774">
        <f>J19</f>
        <v>100</v>
      </c>
      <c r="X19" s="1814"/>
      <c r="Y19" s="3194"/>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2"/>
      <c r="M20" s="1133"/>
      <c r="N20" s="1133"/>
      <c r="O20" s="1133"/>
      <c r="P20" s="3235"/>
      <c r="Q20" s="1811"/>
      <c r="R20" s="773"/>
      <c r="S20" s="774"/>
      <c r="T20" s="773"/>
      <c r="U20" s="774"/>
      <c r="V20" s="773"/>
      <c r="W20" s="774"/>
      <c r="X20" s="1814"/>
      <c r="Y20" s="3194"/>
      <c r="Z20" s="1815"/>
      <c r="AA20" s="1812">
        <v>1</v>
      </c>
      <c r="AB20" s="1812">
        <v>1</v>
      </c>
      <c r="AC20" s="1812">
        <v>1</v>
      </c>
    </row>
    <row r="21" spans="1:29" ht="28.5">
      <c r="A21" s="427"/>
      <c r="B21" s="1385" t="s">
        <v>2653</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5"/>
      <c r="Q21" s="1811" t="str">
        <f>B21</f>
        <v>基础设施水平</v>
      </c>
      <c r="R21" s="773" t="s">
        <v>17</v>
      </c>
      <c r="S21" s="774">
        <f>F21</f>
        <v>100</v>
      </c>
      <c r="T21" s="773" t="s">
        <v>17</v>
      </c>
      <c r="U21" s="774">
        <f>H21</f>
        <v>100</v>
      </c>
      <c r="V21" s="773" t="s">
        <v>17</v>
      </c>
      <c r="W21" s="774">
        <f>J21</f>
        <v>100</v>
      </c>
      <c r="X21" s="1814"/>
      <c r="Y21" s="3194"/>
      <c r="Z21" s="1815" t="str">
        <f>Q21</f>
        <v>基础设施水平</v>
      </c>
      <c r="AA21" s="1812">
        <f>D21/F21</f>
        <v>1</v>
      </c>
      <c r="AB21" s="1812">
        <f>D21/H21</f>
        <v>1</v>
      </c>
      <c r="AC21" s="1812">
        <f>D21/J21</f>
        <v>1</v>
      </c>
    </row>
    <row r="22" spans="1:29" ht="15">
      <c r="A22" s="427"/>
      <c r="B22" s="1385"/>
      <c r="C22" s="2607"/>
      <c r="D22" s="447"/>
      <c r="E22" s="446"/>
      <c r="F22" s="448"/>
      <c r="G22" s="446"/>
      <c r="H22" s="447"/>
      <c r="I22" s="446"/>
      <c r="J22" s="447"/>
      <c r="K22" s="1384"/>
      <c r="L22" s="1142"/>
      <c r="M22" s="1133"/>
      <c r="N22" s="1133"/>
      <c r="O22" s="1133"/>
      <c r="P22" s="3235"/>
      <c r="Q22" s="1811"/>
      <c r="R22" s="773"/>
      <c r="S22" s="774"/>
      <c r="T22" s="773"/>
      <c r="U22" s="774"/>
      <c r="V22" s="773"/>
      <c r="W22" s="774"/>
      <c r="X22" s="1814"/>
      <c r="Y22" s="3194"/>
      <c r="Z22" s="1815"/>
      <c r="AA22" s="1812">
        <v>1</v>
      </c>
      <c r="AB22" s="1812">
        <v>1</v>
      </c>
      <c r="AC22" s="1812">
        <v>1</v>
      </c>
    </row>
    <row r="23" spans="1:29" ht="57">
      <c r="A23" s="427"/>
      <c r="B23" s="450" t="s">
        <v>2101</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5"/>
      <c r="Q23" s="1811" t="str">
        <f>B23</f>
        <v>自然及人文环境</v>
      </c>
      <c r="R23" s="773" t="s">
        <v>17</v>
      </c>
      <c r="S23" s="774">
        <f>F23</f>
        <v>100</v>
      </c>
      <c r="T23" s="773" t="s">
        <v>17</v>
      </c>
      <c r="U23" s="774">
        <f>H23</f>
        <v>100</v>
      </c>
      <c r="V23" s="773" t="s">
        <v>17</v>
      </c>
      <c r="W23" s="774">
        <f>J23</f>
        <v>100</v>
      </c>
      <c r="X23" s="1814"/>
      <c r="Y23" s="3194"/>
      <c r="Z23" s="1815" t="str">
        <f>Q23</f>
        <v>自然及人文环境</v>
      </c>
      <c r="AA23" s="1812">
        <f t="shared" si="3"/>
        <v>1</v>
      </c>
      <c r="AB23" s="1812">
        <f t="shared" si="4"/>
        <v>1</v>
      </c>
      <c r="AC23" s="1812">
        <f t="shared" si="5"/>
        <v>1</v>
      </c>
    </row>
    <row r="24" spans="1:29" ht="15">
      <c r="A24" s="427"/>
      <c r="B24" s="455"/>
      <c r="C24" s="446"/>
      <c r="D24" s="447"/>
      <c r="E24" s="2604"/>
      <c r="F24" s="448"/>
      <c r="G24" s="2603"/>
      <c r="H24" s="447"/>
      <c r="I24" s="2604"/>
      <c r="J24" s="447"/>
      <c r="K24" s="614"/>
      <c r="L24" s="1142"/>
      <c r="M24" s="1133"/>
      <c r="N24" s="1133"/>
      <c r="O24" s="1133"/>
      <c r="P24" s="3235"/>
      <c r="Q24" s="1811"/>
      <c r="R24" s="773"/>
      <c r="S24" s="774"/>
      <c r="T24" s="773"/>
      <c r="U24" s="774"/>
      <c r="V24" s="773"/>
      <c r="W24" s="774"/>
      <c r="X24" s="1814"/>
      <c r="Y24" s="3194"/>
      <c r="Z24" s="1815"/>
      <c r="AA24" s="1812">
        <v>1</v>
      </c>
      <c r="AB24" s="1812">
        <v>1</v>
      </c>
      <c r="AC24" s="1812">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5"/>
      <c r="Q25" s="1811" t="str">
        <f t="shared" ref="Q25:Q46" si="8">B25</f>
        <v>临街状况</v>
      </c>
      <c r="R25" s="773" t="s">
        <v>17</v>
      </c>
      <c r="S25" s="774">
        <f>F25</f>
        <v>100</v>
      </c>
      <c r="T25" s="773" t="s">
        <v>17</v>
      </c>
      <c r="U25" s="774">
        <f>H25</f>
        <v>100</v>
      </c>
      <c r="V25" s="773" t="s">
        <v>17</v>
      </c>
      <c r="W25" s="774">
        <f>J25</f>
        <v>100</v>
      </c>
      <c r="X25" s="1814"/>
      <c r="Y25" s="3194"/>
      <c r="Z25" s="1815" t="str">
        <f>Q25</f>
        <v>临街状况</v>
      </c>
      <c r="AA25" s="1812">
        <f t="shared" si="3"/>
        <v>1</v>
      </c>
      <c r="AB25" s="1812">
        <f t="shared" si="4"/>
        <v>1</v>
      </c>
      <c r="AC25" s="1812">
        <f t="shared" si="5"/>
        <v>1</v>
      </c>
    </row>
    <row r="26" spans="1:29" ht="15">
      <c r="A26" s="427"/>
      <c r="B26" s="1387" t="s">
        <v>2655</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5"/>
      <c r="Q26" s="1811" t="str">
        <f t="shared" si="8"/>
        <v>平面位置/可视性</v>
      </c>
      <c r="R26" s="773" t="s">
        <v>17</v>
      </c>
      <c r="S26" s="774">
        <f>F26</f>
        <v>100</v>
      </c>
      <c r="T26" s="773" t="s">
        <v>17</v>
      </c>
      <c r="U26" s="774">
        <f>H26</f>
        <v>100</v>
      </c>
      <c r="V26" s="773" t="s">
        <v>17</v>
      </c>
      <c r="W26" s="774">
        <f>J26</f>
        <v>100</v>
      </c>
      <c r="X26" s="1814"/>
      <c r="Y26" s="3194"/>
      <c r="Z26" s="1815" t="str">
        <f>Q26</f>
        <v>平面位置/可视性</v>
      </c>
      <c r="AA26" s="1812">
        <f t="shared" si="3"/>
        <v>1</v>
      </c>
      <c r="AB26" s="1812">
        <f t="shared" si="4"/>
        <v>1</v>
      </c>
      <c r="AC26" s="1812">
        <f t="shared" si="5"/>
        <v>1</v>
      </c>
    </row>
    <row r="27" spans="1:29" s="117" customFormat="1" ht="15">
      <c r="A27" s="430"/>
      <c r="B27" s="450" t="s">
        <v>2656</v>
      </c>
      <c r="C27" s="2664"/>
      <c r="D27" s="461">
        <v>100</v>
      </c>
      <c r="E27" s="2664"/>
      <c r="F27" s="463">
        <f>SUMIF(90:90,E27,91:91)-SUMIF(90:90,C27,91:91)+100</f>
        <v>100</v>
      </c>
      <c r="G27" s="2664"/>
      <c r="H27" s="461">
        <f>SUMIF(90:90,G27,91:91)-SUMIF(90:90,C27,91:91)+100</f>
        <v>100</v>
      </c>
      <c r="I27" s="2664"/>
      <c r="J27" s="461">
        <f>SUMIF(90:90,I27,91:91)-SUMIF(90:90,C27,91:91)+100</f>
        <v>100</v>
      </c>
      <c r="K27" s="611"/>
      <c r="L27" s="1134"/>
      <c r="M27" s="1135"/>
      <c r="N27" s="1135"/>
      <c r="O27" s="1135"/>
      <c r="P27" s="3235"/>
      <c r="Q27" s="1796" t="str">
        <f t="shared" si="8"/>
        <v>人流量</v>
      </c>
      <c r="R27" s="769" t="s">
        <v>17</v>
      </c>
      <c r="S27" s="770">
        <f>F27</f>
        <v>100</v>
      </c>
      <c r="T27" s="769" t="s">
        <v>17</v>
      </c>
      <c r="U27" s="770">
        <f>H27</f>
        <v>100</v>
      </c>
      <c r="V27" s="769" t="s">
        <v>17</v>
      </c>
      <c r="W27" s="770">
        <f>J27</f>
        <v>100</v>
      </c>
      <c r="X27" s="771"/>
      <c r="Y27" s="3194"/>
      <c r="Z27" s="55" t="str">
        <f>Q27</f>
        <v>人流量</v>
      </c>
      <c r="AA27" s="1812">
        <f>D27/F27</f>
        <v>1</v>
      </c>
      <c r="AB27" s="1812">
        <f>D27/H27</f>
        <v>1</v>
      </c>
      <c r="AC27" s="1812">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5"/>
      <c r="Q28" s="1811" t="str">
        <f t="shared" si="8"/>
        <v>楼层</v>
      </c>
      <c r="R28" s="773" t="s">
        <v>17</v>
      </c>
      <c r="S28" s="774">
        <f t="shared" ref="S28:S46" si="9">F28</f>
        <v>100</v>
      </c>
      <c r="T28" s="773" t="s">
        <v>17</v>
      </c>
      <c r="U28" s="774">
        <f t="shared" ref="U28:U46" si="10">H28</f>
        <v>100</v>
      </c>
      <c r="V28" s="773" t="s">
        <v>17</v>
      </c>
      <c r="W28" s="774">
        <f t="shared" ref="W28:W46" si="11">J28</f>
        <v>100</v>
      </c>
      <c r="X28" s="1814"/>
      <c r="Y28" s="3194"/>
      <c r="Z28" s="1815" t="str">
        <f t="shared" ref="Z28:Z46" si="12">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5"/>
      <c r="Q29" s="1811">
        <f t="shared" si="8"/>
        <v>111</v>
      </c>
      <c r="R29" s="773" t="s">
        <v>17</v>
      </c>
      <c r="S29" s="774">
        <f t="shared" si="9"/>
        <v>100</v>
      </c>
      <c r="T29" s="773" t="s">
        <v>17</v>
      </c>
      <c r="U29" s="774">
        <f t="shared" si="10"/>
        <v>100</v>
      </c>
      <c r="V29" s="773" t="s">
        <v>17</v>
      </c>
      <c r="W29" s="774">
        <f t="shared" si="11"/>
        <v>100</v>
      </c>
      <c r="X29" s="1814"/>
      <c r="Y29" s="3194"/>
      <c r="Z29" s="1815">
        <f t="shared" si="12"/>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5"/>
      <c r="Q30" s="1811">
        <f t="shared" si="8"/>
        <v>111</v>
      </c>
      <c r="R30" s="773" t="s">
        <v>17</v>
      </c>
      <c r="S30" s="774">
        <f t="shared" si="9"/>
        <v>100</v>
      </c>
      <c r="T30" s="773" t="s">
        <v>17</v>
      </c>
      <c r="U30" s="774">
        <f t="shared" si="10"/>
        <v>100</v>
      </c>
      <c r="V30" s="773" t="s">
        <v>17</v>
      </c>
      <c r="W30" s="774">
        <f t="shared" si="11"/>
        <v>100</v>
      </c>
      <c r="X30" s="1814"/>
      <c r="Y30" s="3194"/>
      <c r="Z30" s="1815">
        <f t="shared" si="12"/>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5"/>
      <c r="Q31" s="1811">
        <f t="shared" si="8"/>
        <v>111</v>
      </c>
      <c r="R31" s="773" t="s">
        <v>17</v>
      </c>
      <c r="S31" s="774">
        <f t="shared" si="9"/>
        <v>100</v>
      </c>
      <c r="T31" s="773" t="s">
        <v>17</v>
      </c>
      <c r="U31" s="774">
        <f t="shared" si="10"/>
        <v>100</v>
      </c>
      <c r="V31" s="773" t="s">
        <v>17</v>
      </c>
      <c r="W31" s="774">
        <f t="shared" si="11"/>
        <v>100</v>
      </c>
      <c r="X31" s="1814"/>
      <c r="Y31" s="3194"/>
      <c r="Z31" s="1815">
        <f t="shared" si="12"/>
        <v>111</v>
      </c>
      <c r="AA31" s="1812">
        <f t="shared" si="3"/>
        <v>1</v>
      </c>
      <c r="AB31" s="1812">
        <f t="shared" si="4"/>
        <v>1</v>
      </c>
      <c r="AC31" s="1812">
        <f t="shared" si="5"/>
        <v>1</v>
      </c>
    </row>
    <row r="32" spans="1:29" ht="15">
      <c r="A32" s="439" t="s">
        <v>2561</v>
      </c>
      <c r="B32" s="71" t="s">
        <v>2658</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2"/>
      <c r="M32" s="1133"/>
      <c r="N32" s="1133"/>
      <c r="O32" s="1133"/>
      <c r="P32" s="3236" t="s">
        <v>2563</v>
      </c>
      <c r="Q32" s="1811" t="str">
        <f t="shared" si="8"/>
        <v>商业类型</v>
      </c>
      <c r="R32" s="773" t="s">
        <v>17</v>
      </c>
      <c r="S32" s="774">
        <f t="shared" si="9"/>
        <v>100</v>
      </c>
      <c r="T32" s="773" t="s">
        <v>17</v>
      </c>
      <c r="U32" s="774">
        <f t="shared" si="10"/>
        <v>100</v>
      </c>
      <c r="V32" s="773" t="s">
        <v>17</v>
      </c>
      <c r="W32" s="774">
        <f t="shared" si="11"/>
        <v>100</v>
      </c>
      <c r="X32" s="1814"/>
      <c r="Y32" s="3196" t="s">
        <v>2563</v>
      </c>
      <c r="Z32" s="1815" t="str">
        <f t="shared" si="12"/>
        <v>商业类型</v>
      </c>
      <c r="AA32" s="1812">
        <f t="shared" si="3"/>
        <v>1</v>
      </c>
      <c r="AB32" s="1812">
        <f t="shared" si="4"/>
        <v>1</v>
      </c>
      <c r="AC32" s="1812">
        <f t="shared" si="5"/>
        <v>1</v>
      </c>
    </row>
    <row r="33" spans="1:29" s="470" customFormat="1" ht="15">
      <c r="A33" s="467"/>
      <c r="B33" s="421" t="s">
        <v>2564</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237"/>
      <c r="Q33" s="775" t="str">
        <f t="shared" si="8"/>
        <v>项目建筑规模</v>
      </c>
      <c r="R33" s="776" t="s">
        <v>17</v>
      </c>
      <c r="S33" s="777" t="e">
        <f t="shared" si="9"/>
        <v>#N/A</v>
      </c>
      <c r="T33" s="776" t="s">
        <v>17</v>
      </c>
      <c r="U33" s="777" t="e">
        <f t="shared" si="10"/>
        <v>#N/A</v>
      </c>
      <c r="V33" s="776" t="s">
        <v>17</v>
      </c>
      <c r="W33" s="777" t="e">
        <f t="shared" si="11"/>
        <v>#N/A</v>
      </c>
      <c r="X33" s="778"/>
      <c r="Y33" s="3196"/>
      <c r="Z33" s="779" t="str">
        <f t="shared" si="12"/>
        <v>项目建筑规模</v>
      </c>
      <c r="AA33" s="1812" t="e">
        <f t="shared" si="3"/>
        <v>#N/A</v>
      </c>
      <c r="AB33" s="1812" t="e">
        <f t="shared" si="4"/>
        <v>#N/A</v>
      </c>
      <c r="AC33" s="1812" t="e">
        <f t="shared" si="5"/>
        <v>#N/A</v>
      </c>
    </row>
    <row r="34" spans="1:29" ht="15">
      <c r="A34" s="471"/>
      <c r="B34" s="421" t="s">
        <v>2565</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2"/>
      <c r="M34" s="1133"/>
      <c r="N34" s="1133"/>
      <c r="O34" s="1133"/>
      <c r="P34" s="3237"/>
      <c r="Q34" s="1811" t="str">
        <f t="shared" si="8"/>
        <v>建筑结构</v>
      </c>
      <c r="R34" s="773" t="s">
        <v>17</v>
      </c>
      <c r="S34" s="774">
        <f t="shared" si="9"/>
        <v>100</v>
      </c>
      <c r="T34" s="773" t="s">
        <v>17</v>
      </c>
      <c r="U34" s="774">
        <f t="shared" si="10"/>
        <v>100</v>
      </c>
      <c r="V34" s="773" t="s">
        <v>17</v>
      </c>
      <c r="W34" s="774">
        <f t="shared" si="11"/>
        <v>100</v>
      </c>
      <c r="X34" s="1814"/>
      <c r="Y34" s="3196"/>
      <c r="Z34" s="1815" t="str">
        <f t="shared" si="12"/>
        <v>建筑结构</v>
      </c>
      <c r="AA34" s="1812">
        <f t="shared" si="3"/>
        <v>1</v>
      </c>
      <c r="AB34" s="1812">
        <f t="shared" si="4"/>
        <v>1</v>
      </c>
      <c r="AC34" s="1812">
        <f t="shared" si="5"/>
        <v>1</v>
      </c>
    </row>
    <row r="35" spans="1:29" ht="15">
      <c r="A35" s="471"/>
      <c r="B35" s="421" t="s">
        <v>2659</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2"/>
      <c r="M35" s="1133"/>
      <c r="N35" s="1133"/>
      <c r="O35" s="1133"/>
      <c r="P35" s="3237"/>
      <c r="Q35" s="1811" t="str">
        <f t="shared" si="8"/>
        <v>公共部分装修</v>
      </c>
      <c r="R35" s="773" t="s">
        <v>17</v>
      </c>
      <c r="S35" s="774">
        <f t="shared" si="9"/>
        <v>100</v>
      </c>
      <c r="T35" s="773" t="s">
        <v>17</v>
      </c>
      <c r="U35" s="774">
        <f t="shared" si="10"/>
        <v>100</v>
      </c>
      <c r="V35" s="773" t="s">
        <v>17</v>
      </c>
      <c r="W35" s="774">
        <f t="shared" si="11"/>
        <v>100</v>
      </c>
      <c r="X35" s="1814"/>
      <c r="Y35" s="3196"/>
      <c r="Z35" s="1815" t="str">
        <f t="shared" si="12"/>
        <v>公共部分装修</v>
      </c>
      <c r="AA35" s="1812">
        <f t="shared" si="3"/>
        <v>1</v>
      </c>
      <c r="AB35" s="1812">
        <f t="shared" si="4"/>
        <v>1</v>
      </c>
      <c r="AC35" s="1812">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7"/>
      <c r="Q36" s="1811" t="str">
        <f t="shared" si="8"/>
        <v>成新度</v>
      </c>
      <c r="R36" s="773" t="s">
        <v>17</v>
      </c>
      <c r="S36" s="774" t="e">
        <f t="shared" si="9"/>
        <v>#N/A</v>
      </c>
      <c r="T36" s="773" t="s">
        <v>17</v>
      </c>
      <c r="U36" s="774" t="e">
        <f t="shared" si="10"/>
        <v>#N/A</v>
      </c>
      <c r="V36" s="773" t="s">
        <v>17</v>
      </c>
      <c r="W36" s="774" t="e">
        <f t="shared" si="11"/>
        <v>#N/A</v>
      </c>
      <c r="X36" s="1814"/>
      <c r="Y36" s="3196"/>
      <c r="Z36" s="1815" t="str">
        <f t="shared" si="12"/>
        <v>成新度</v>
      </c>
      <c r="AA36" s="1812" t="e">
        <f t="shared" si="3"/>
        <v>#N/A</v>
      </c>
      <c r="AB36" s="1812" t="e">
        <f t="shared" si="4"/>
        <v>#N/A</v>
      </c>
      <c r="AC36" s="1812" t="e">
        <f t="shared" si="5"/>
        <v>#N/A</v>
      </c>
    </row>
    <row r="37" spans="1:29" s="117" customFormat="1" ht="15">
      <c r="A37" s="472"/>
      <c r="B37" s="421" t="s">
        <v>2661</v>
      </c>
      <c r="C37" s="2612"/>
      <c r="D37" s="136">
        <v>100</v>
      </c>
      <c r="E37" s="2612"/>
      <c r="F37" s="460">
        <f>SUMIF(112:112,E37,113:113)-SUMIF(112:112,C37,113:113)+100</f>
        <v>100</v>
      </c>
      <c r="G37" s="2612"/>
      <c r="H37" s="434">
        <f>SUMIF(112:112,G37,113:113)-SUMIF(112:112,C37,113:113)+100</f>
        <v>100</v>
      </c>
      <c r="I37" s="2612"/>
      <c r="J37" s="434">
        <f>SUMIF(112:112,I37,113:113)-SUMIF(112:112,C37,113:113)+100</f>
        <v>100</v>
      </c>
      <c r="K37" s="611"/>
      <c r="L37" s="1134"/>
      <c r="M37" s="1135"/>
      <c r="N37" s="1135"/>
      <c r="O37" s="1135"/>
      <c r="P37" s="3237"/>
      <c r="Q37" s="1796" t="str">
        <f t="shared" si="8"/>
        <v>市政基础设施</v>
      </c>
      <c r="R37" s="769" t="s">
        <v>17</v>
      </c>
      <c r="S37" s="770">
        <f t="shared" si="9"/>
        <v>100</v>
      </c>
      <c r="T37" s="769" t="s">
        <v>17</v>
      </c>
      <c r="U37" s="770">
        <f t="shared" si="10"/>
        <v>100</v>
      </c>
      <c r="V37" s="769" t="s">
        <v>17</v>
      </c>
      <c r="W37" s="770">
        <f t="shared" si="11"/>
        <v>100</v>
      </c>
      <c r="X37" s="771"/>
      <c r="Y37" s="3196"/>
      <c r="Z37" s="55" t="str">
        <f t="shared" si="12"/>
        <v>市政基础设施</v>
      </c>
      <c r="AA37" s="772">
        <f t="shared" si="3"/>
        <v>1</v>
      </c>
      <c r="AB37" s="772">
        <f t="shared" si="4"/>
        <v>1</v>
      </c>
      <c r="AC37" s="772">
        <f t="shared" si="5"/>
        <v>1</v>
      </c>
    </row>
    <row r="38" spans="1:29" ht="15">
      <c r="A38" s="471"/>
      <c r="B38" s="421" t="s">
        <v>2662</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2"/>
      <c r="M38" s="1133"/>
      <c r="N38" s="1133"/>
      <c r="O38" s="1133"/>
      <c r="P38" s="3237" t="s">
        <v>2563</v>
      </c>
      <c r="Q38" s="1811" t="str">
        <f t="shared" si="8"/>
        <v>业态</v>
      </c>
      <c r="R38" s="773" t="s">
        <v>17</v>
      </c>
      <c r="S38" s="774">
        <f t="shared" si="9"/>
        <v>100</v>
      </c>
      <c r="T38" s="773" t="s">
        <v>17</v>
      </c>
      <c r="U38" s="774">
        <f t="shared" si="10"/>
        <v>100</v>
      </c>
      <c r="V38" s="773" t="s">
        <v>17</v>
      </c>
      <c r="W38" s="774">
        <f t="shared" si="11"/>
        <v>100</v>
      </c>
      <c r="X38" s="1814"/>
      <c r="Y38" s="3196" t="s">
        <v>2563</v>
      </c>
      <c r="Z38" s="1815" t="str">
        <f t="shared" si="12"/>
        <v>业态</v>
      </c>
      <c r="AA38" s="1812">
        <f t="shared" si="3"/>
        <v>1</v>
      </c>
      <c r="AB38" s="1812">
        <f t="shared" si="4"/>
        <v>1</v>
      </c>
      <c r="AC38" s="1812">
        <f t="shared" si="5"/>
        <v>1</v>
      </c>
    </row>
    <row r="39" spans="1:29" ht="15">
      <c r="A39" s="471"/>
      <c r="B39" s="421" t="s">
        <v>2663</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2"/>
      <c r="M39" s="1133"/>
      <c r="N39" s="1133"/>
      <c r="O39" s="1133"/>
      <c r="P39" s="3237"/>
      <c r="Q39" s="1811" t="str">
        <f t="shared" si="8"/>
        <v>层高</v>
      </c>
      <c r="R39" s="773" t="s">
        <v>17</v>
      </c>
      <c r="S39" s="774">
        <f t="shared" si="9"/>
        <v>100</v>
      </c>
      <c r="T39" s="773" t="s">
        <v>17</v>
      </c>
      <c r="U39" s="774">
        <f t="shared" si="10"/>
        <v>100</v>
      </c>
      <c r="V39" s="773" t="s">
        <v>17</v>
      </c>
      <c r="W39" s="774">
        <f t="shared" si="11"/>
        <v>100</v>
      </c>
      <c r="X39" s="1814"/>
      <c r="Y39" s="3196"/>
      <c r="Z39" s="1815" t="str">
        <f t="shared" si="12"/>
        <v>层高</v>
      </c>
      <c r="AA39" s="1812">
        <f t="shared" si="3"/>
        <v>1</v>
      </c>
      <c r="AB39" s="1812">
        <f t="shared" si="4"/>
        <v>1</v>
      </c>
      <c r="AC39" s="1812">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7"/>
      <c r="Q40" s="1811" t="str">
        <f t="shared" si="8"/>
        <v>单套建筑面积</v>
      </c>
      <c r="R40" s="773" t="s">
        <v>17</v>
      </c>
      <c r="S40" s="774">
        <f t="shared" si="9"/>
        <v>100</v>
      </c>
      <c r="T40" s="773" t="s">
        <v>17</v>
      </c>
      <c r="U40" s="774">
        <f t="shared" si="10"/>
        <v>100</v>
      </c>
      <c r="V40" s="773" t="s">
        <v>17</v>
      </c>
      <c r="W40" s="774">
        <f t="shared" si="11"/>
        <v>100</v>
      </c>
      <c r="X40" s="1814"/>
      <c r="Y40" s="3196"/>
      <c r="Z40" s="1815" t="str">
        <f t="shared" si="12"/>
        <v>单套建筑面积</v>
      </c>
      <c r="AA40" s="1812">
        <f t="shared" si="3"/>
        <v>1</v>
      </c>
      <c r="AB40" s="1812">
        <f t="shared" si="4"/>
        <v>1</v>
      </c>
      <c r="AC40" s="1812">
        <f t="shared" si="5"/>
        <v>1</v>
      </c>
    </row>
    <row r="41" spans="1:29" s="470" customFormat="1" ht="15">
      <c r="A41" s="467"/>
      <c r="B41" s="1813"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7"/>
      <c r="Q41" s="775" t="str">
        <f t="shared" si="8"/>
        <v>进深比</v>
      </c>
      <c r="R41" s="776" t="s">
        <v>17</v>
      </c>
      <c r="S41" s="777">
        <f t="shared" si="9"/>
        <v>100</v>
      </c>
      <c r="T41" s="776" t="s">
        <v>17</v>
      </c>
      <c r="U41" s="777">
        <f t="shared" si="10"/>
        <v>100</v>
      </c>
      <c r="V41" s="776" t="s">
        <v>17</v>
      </c>
      <c r="W41" s="777">
        <f t="shared" si="11"/>
        <v>100</v>
      </c>
      <c r="X41" s="778"/>
      <c r="Y41" s="3196"/>
      <c r="Z41" s="779" t="str">
        <f t="shared" si="12"/>
        <v>进深比</v>
      </c>
      <c r="AA41" s="1812">
        <f t="shared" si="3"/>
        <v>1</v>
      </c>
      <c r="AB41" s="1812">
        <f t="shared" si="4"/>
        <v>1</v>
      </c>
      <c r="AC41" s="1812">
        <f t="shared" si="5"/>
        <v>1</v>
      </c>
    </row>
    <row r="42" spans="1:29" ht="15">
      <c r="A42" s="471"/>
      <c r="B42" s="421" t="s">
        <v>2666</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2"/>
      <c r="M42" s="1133"/>
      <c r="N42" s="1133"/>
      <c r="O42" s="1133"/>
      <c r="P42" s="3237"/>
      <c r="Q42" s="1811" t="str">
        <f t="shared" si="8"/>
        <v>内部装修</v>
      </c>
      <c r="R42" s="773" t="s">
        <v>17</v>
      </c>
      <c r="S42" s="774">
        <f t="shared" si="9"/>
        <v>100</v>
      </c>
      <c r="T42" s="773" t="s">
        <v>17</v>
      </c>
      <c r="U42" s="774">
        <f t="shared" si="10"/>
        <v>100</v>
      </c>
      <c r="V42" s="773" t="s">
        <v>17</v>
      </c>
      <c r="W42" s="774">
        <f t="shared" si="11"/>
        <v>100</v>
      </c>
      <c r="X42" s="1814"/>
      <c r="Y42" s="3196"/>
      <c r="Z42" s="1815" t="str">
        <f t="shared" si="12"/>
        <v>内部装修</v>
      </c>
      <c r="AA42" s="1812">
        <f t="shared" si="3"/>
        <v>1</v>
      </c>
      <c r="AB42" s="1812">
        <f t="shared" si="4"/>
        <v>1</v>
      </c>
      <c r="AC42" s="1812">
        <f t="shared" si="5"/>
        <v>1</v>
      </c>
    </row>
    <row r="43" spans="1:29" ht="15">
      <c r="A43" s="471"/>
      <c r="B43" s="421" t="s">
        <v>2574</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2"/>
      <c r="M43" s="1133"/>
      <c r="N43" s="1133"/>
      <c r="O43" s="1133"/>
      <c r="P43" s="3237"/>
      <c r="Q43" s="1811" t="str">
        <f t="shared" si="8"/>
        <v>内部装修维护情况</v>
      </c>
      <c r="R43" s="773" t="s">
        <v>17</v>
      </c>
      <c r="S43" s="774">
        <f t="shared" si="9"/>
        <v>100</v>
      </c>
      <c r="T43" s="773" t="s">
        <v>17</v>
      </c>
      <c r="U43" s="774">
        <f t="shared" si="10"/>
        <v>100</v>
      </c>
      <c r="V43" s="773" t="s">
        <v>17</v>
      </c>
      <c r="W43" s="774">
        <f t="shared" si="11"/>
        <v>100</v>
      </c>
      <c r="X43" s="1814"/>
      <c r="Y43" s="3196"/>
      <c r="Z43" s="1815" t="str">
        <f t="shared" si="12"/>
        <v>内部装修维护情况</v>
      </c>
      <c r="AA43" s="1812">
        <f t="shared" si="3"/>
        <v>1</v>
      </c>
      <c r="AB43" s="1812">
        <f t="shared" si="4"/>
        <v>1</v>
      </c>
      <c r="AC43" s="1812">
        <f t="shared" si="5"/>
        <v>1</v>
      </c>
    </row>
    <row r="44" spans="1:29" s="117" customFormat="1" ht="15">
      <c r="A44" s="472"/>
      <c r="B44" s="1387">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237"/>
      <c r="Q44" s="1796">
        <f t="shared" si="8"/>
        <v>111</v>
      </c>
      <c r="R44" s="769" t="s">
        <v>17</v>
      </c>
      <c r="S44" s="770">
        <f t="shared" si="9"/>
        <v>100</v>
      </c>
      <c r="T44" s="769" t="s">
        <v>17</v>
      </c>
      <c r="U44" s="770">
        <f t="shared" si="10"/>
        <v>100</v>
      </c>
      <c r="V44" s="769" t="s">
        <v>17</v>
      </c>
      <c r="W44" s="770">
        <f t="shared" si="11"/>
        <v>100</v>
      </c>
      <c r="X44" s="771"/>
      <c r="Y44" s="3196"/>
      <c r="Z44" s="55">
        <f t="shared" si="12"/>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7"/>
      <c r="Q45" s="1811">
        <f t="shared" si="8"/>
        <v>111</v>
      </c>
      <c r="R45" s="773" t="s">
        <v>17</v>
      </c>
      <c r="S45" s="774">
        <f t="shared" si="9"/>
        <v>100</v>
      </c>
      <c r="T45" s="773" t="s">
        <v>17</v>
      </c>
      <c r="U45" s="774">
        <f t="shared" si="10"/>
        <v>100</v>
      </c>
      <c r="V45" s="773" t="s">
        <v>17</v>
      </c>
      <c r="W45" s="774">
        <f t="shared" si="11"/>
        <v>100</v>
      </c>
      <c r="X45" s="1814"/>
      <c r="Y45" s="3196"/>
      <c r="Z45" s="1815">
        <f t="shared" si="12"/>
        <v>111</v>
      </c>
      <c r="AA45" s="1812">
        <f t="shared" si="3"/>
        <v>1</v>
      </c>
      <c r="AB45" s="1812">
        <f t="shared" si="4"/>
        <v>1</v>
      </c>
      <c r="AC45" s="1812">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8"/>
      <c r="Q46" s="1811">
        <f t="shared" si="8"/>
        <v>111</v>
      </c>
      <c r="R46" s="773" t="s">
        <v>17</v>
      </c>
      <c r="S46" s="774">
        <f t="shared" si="9"/>
        <v>100</v>
      </c>
      <c r="T46" s="773" t="s">
        <v>17</v>
      </c>
      <c r="U46" s="774">
        <f t="shared" si="10"/>
        <v>100</v>
      </c>
      <c r="V46" s="773" t="s">
        <v>17</v>
      </c>
      <c r="W46" s="774">
        <f t="shared" si="11"/>
        <v>100</v>
      </c>
      <c r="X46" s="1814"/>
      <c r="Y46" s="3239"/>
      <c r="Z46" s="1815">
        <f t="shared" si="12"/>
        <v>111</v>
      </c>
      <c r="AA46" s="1812">
        <f t="shared" si="3"/>
        <v>1</v>
      </c>
      <c r="AB46" s="1812">
        <f t="shared" si="4"/>
        <v>1</v>
      </c>
      <c r="AC46" s="1812">
        <f t="shared" si="5"/>
        <v>1</v>
      </c>
    </row>
    <row r="47" spans="1:29" ht="15">
      <c r="A47" s="478" t="s">
        <v>2575</v>
      </c>
      <c r="B47" s="479"/>
      <c r="C47" s="1408" t="s">
        <v>1</v>
      </c>
      <c r="D47" s="1409"/>
      <c r="E47" s="1410"/>
      <c r="F47" s="1411"/>
      <c r="G47" s="1412"/>
      <c r="H47" s="1413"/>
      <c r="I47" s="1410"/>
      <c r="J47" s="1413"/>
      <c r="K47" s="782"/>
      <c r="L47" s="1145"/>
      <c r="M47" s="1146"/>
      <c r="N47" s="1133"/>
      <c r="O47" s="1146"/>
      <c r="P47" s="3191" t="str">
        <f>A47</f>
        <v>成交单价（元/平方米）</v>
      </c>
      <c r="Q47" s="3191"/>
      <c r="R47" s="3197">
        <f>E47</f>
        <v>0</v>
      </c>
      <c r="S47" s="3197"/>
      <c r="T47" s="3197">
        <f>G47</f>
        <v>0</v>
      </c>
      <c r="U47" s="3197"/>
      <c r="V47" s="3197">
        <f>I47</f>
        <v>0</v>
      </c>
      <c r="W47" s="3197"/>
      <c r="X47" s="758"/>
      <c r="Y47" s="780"/>
      <c r="Z47" s="758"/>
      <c r="AA47" s="758"/>
      <c r="AB47" s="758"/>
      <c r="AC47" s="758"/>
    </row>
    <row r="48" spans="1:29" ht="15.75" thickBot="1">
      <c r="A48" s="485" t="s">
        <v>2667</v>
      </c>
      <c r="B48" s="486"/>
      <c r="C48" s="1414" t="e">
        <f>R49</f>
        <v>#DIV/0!</v>
      </c>
      <c r="D48" s="1415"/>
      <c r="E48" s="1416" t="e">
        <f>R48</f>
        <v>#DIV/0!</v>
      </c>
      <c r="F48" s="1416"/>
      <c r="G48" s="1414" t="e">
        <f>T48</f>
        <v>#DIV/0!</v>
      </c>
      <c r="H48" s="1415"/>
      <c r="I48" s="1416" t="e">
        <f>V48</f>
        <v>#DIV/0!</v>
      </c>
      <c r="J48" s="1415"/>
      <c r="K48" s="783"/>
      <c r="L48" s="1145"/>
      <c r="M48" s="1146"/>
      <c r="N48" s="1133"/>
      <c r="O48" s="1146"/>
      <c r="P48" s="3191" t="str">
        <f>A48</f>
        <v>比较价值（元/平方米）</v>
      </c>
      <c r="Q48" s="3191"/>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8"/>
      <c r="Y48" s="758"/>
      <c r="Z48" s="758"/>
      <c r="AA48" s="758"/>
      <c r="AB48" s="758"/>
      <c r="AC48" s="758"/>
    </row>
    <row r="49" spans="1:29" ht="15.75" thickBot="1">
      <c r="A49" s="491" t="s">
        <v>2668</v>
      </c>
      <c r="B49" s="492"/>
      <c r="C49" s="1418" t="e">
        <f>R49</f>
        <v>#DIV/0!</v>
      </c>
      <c r="D49" s="1418"/>
      <c r="E49" s="1418"/>
      <c r="F49" s="1418"/>
      <c r="G49" s="1418"/>
      <c r="H49" s="1418"/>
      <c r="I49" s="1418"/>
      <c r="J49" s="1418"/>
      <c r="K49" s="784"/>
      <c r="L49" s="1145"/>
      <c r="M49" s="1146"/>
      <c r="N49" s="1133"/>
      <c r="O49" s="1146"/>
      <c r="P49" s="3185" t="str">
        <f>A49</f>
        <v>估价对象XX用房的比较价值（楼面单价，元/平方米）</v>
      </c>
      <c r="Q49" s="3186"/>
      <c r="R49" s="3281" t="e">
        <f>IF(F1="售价",ROUND(AVERAGE(R48:V48),0),ROUND(AVERAGE(R48:V48),1))</f>
        <v>#DIV/0!</v>
      </c>
      <c r="S49" s="3281"/>
      <c r="T49" s="3281"/>
      <c r="U49" s="3281"/>
      <c r="V49" s="3281"/>
      <c r="W49" s="328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7" customFormat="1" ht="15">
      <c r="A58" s="504" t="s">
        <v>2546</v>
      </c>
      <c r="B58" s="505"/>
      <c r="C58" s="1575" t="str">
        <f>YEAR(C7)&amp;"-"&amp;MONTH(C7)</f>
        <v>2019-8</v>
      </c>
      <c r="D58" s="1576">
        <f>EDATE(C58,-1)</f>
        <v>43647</v>
      </c>
      <c r="E58" s="1576">
        <f t="shared" ref="E58:N58" si="13">EDATE(D58,-1)</f>
        <v>43617</v>
      </c>
      <c r="F58" s="1576">
        <f t="shared" si="13"/>
        <v>43586</v>
      </c>
      <c r="G58" s="1576">
        <f t="shared" si="13"/>
        <v>43556</v>
      </c>
      <c r="H58" s="1576">
        <f t="shared" si="13"/>
        <v>43525</v>
      </c>
      <c r="I58" s="1576">
        <f t="shared" si="13"/>
        <v>43497</v>
      </c>
      <c r="J58" s="1576">
        <f t="shared" si="13"/>
        <v>43466</v>
      </c>
      <c r="K58" s="1576">
        <f t="shared" si="13"/>
        <v>43435</v>
      </c>
      <c r="L58" s="1576">
        <f t="shared" si="13"/>
        <v>43405</v>
      </c>
      <c r="M58" s="1576">
        <f t="shared" si="13"/>
        <v>43374</v>
      </c>
      <c r="N58" s="1576">
        <f t="shared" si="13"/>
        <v>43344</v>
      </c>
      <c r="O58" s="1576">
        <f>EDATE(N58,-1)</f>
        <v>43313</v>
      </c>
      <c r="P58" s="1571"/>
    </row>
    <row r="59" spans="1:29" s="117" customFormat="1" ht="15">
      <c r="A59" s="508"/>
      <c r="B59" s="509"/>
      <c r="C59" s="1574">
        <v>100</v>
      </c>
      <c r="D59" s="511"/>
      <c r="E59" s="511"/>
      <c r="F59" s="511"/>
      <c r="G59" s="511"/>
      <c r="H59" s="511"/>
      <c r="I59" s="511"/>
      <c r="J59" s="511"/>
      <c r="K59" s="511"/>
      <c r="L59" s="511"/>
      <c r="M59" s="512"/>
      <c r="N59" s="511"/>
      <c r="O59" s="512"/>
      <c r="P59" s="2627"/>
    </row>
    <row r="60" spans="1:29" s="117" customFormat="1" ht="15.75" thickBot="1">
      <c r="A60" s="514" t="s">
        <v>2583</v>
      </c>
      <c r="B60" s="515"/>
      <c r="C60" s="516"/>
      <c r="D60" s="517"/>
      <c r="E60" s="517"/>
      <c r="F60" s="517"/>
      <c r="G60" s="517"/>
      <c r="H60" s="517"/>
      <c r="I60" s="517"/>
      <c r="J60" s="517"/>
      <c r="K60" s="517"/>
      <c r="L60" s="517"/>
      <c r="M60" s="518"/>
      <c r="N60" s="517"/>
      <c r="O60" s="518"/>
      <c r="P60" s="2627"/>
      <c r="Q60" s="503"/>
    </row>
    <row r="61" spans="1:29" s="117" customFormat="1" ht="15">
      <c r="A61" s="520" t="s">
        <v>2548</v>
      </c>
      <c r="B61" s="509"/>
      <c r="C61" s="521" t="s">
        <v>2650</v>
      </c>
      <c r="D61" s="522"/>
      <c r="E61" s="522"/>
      <c r="F61" s="522"/>
      <c r="G61" s="522"/>
      <c r="H61" s="522"/>
      <c r="I61" s="522"/>
      <c r="J61" s="522"/>
      <c r="K61" s="522"/>
      <c r="L61" s="523"/>
      <c r="M61" s="524"/>
      <c r="N61" s="1153"/>
      <c r="O61" s="1153"/>
      <c r="P61" s="2628"/>
      <c r="Q61" s="503"/>
    </row>
    <row r="62" spans="1:29" s="117"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2586</v>
      </c>
      <c r="B63" s="527" t="s">
        <v>2552</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54"/>
      <c r="O65" s="1154"/>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9"/>
      <c r="Q66" s="503"/>
    </row>
    <row r="67" spans="1:17" ht="15.75" thickTop="1">
      <c r="A67" s="533"/>
      <c r="B67" s="545" t="s">
        <v>2556</v>
      </c>
      <c r="C67" s="546" t="str">
        <f>C68&amp;"（含）"&amp;"-"&amp;D68</f>
        <v>（含）-</v>
      </c>
      <c r="D67" s="546" t="str">
        <f t="shared" ref="D67:L67" si="14">D68&amp;"（含）"&amp;"-"&amp;E68</f>
        <v>（含）-</v>
      </c>
      <c r="E67" s="546" t="str">
        <f t="shared" si="14"/>
        <v>（含）-</v>
      </c>
      <c r="F67" s="546" t="str">
        <f t="shared" si="14"/>
        <v>（含）-</v>
      </c>
      <c r="G67" s="546" t="str">
        <f t="shared" si="14"/>
        <v>（含）-</v>
      </c>
      <c r="H67" s="546" t="str">
        <f t="shared" si="14"/>
        <v>（含）-</v>
      </c>
      <c r="I67" s="546" t="str">
        <f t="shared" si="14"/>
        <v>（含）-</v>
      </c>
      <c r="J67" s="546" t="str">
        <f t="shared" si="14"/>
        <v>（含）-</v>
      </c>
      <c r="K67" s="546" t="str">
        <f t="shared" si="14"/>
        <v>（含）-</v>
      </c>
      <c r="L67" s="546" t="str">
        <f t="shared" si="14"/>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5">C69-$K11</f>
        <v>100</v>
      </c>
      <c r="E69" s="543">
        <f t="shared" si="15"/>
        <v>100</v>
      </c>
      <c r="F69" s="543">
        <f t="shared" si="15"/>
        <v>100</v>
      </c>
      <c r="G69" s="543">
        <f t="shared" si="15"/>
        <v>100</v>
      </c>
      <c r="H69" s="543">
        <f t="shared" si="15"/>
        <v>100</v>
      </c>
      <c r="I69" s="543">
        <f t="shared" si="15"/>
        <v>100</v>
      </c>
      <c r="J69" s="543">
        <f t="shared" si="15"/>
        <v>100</v>
      </c>
      <c r="K69" s="543">
        <f t="shared" si="15"/>
        <v>100</v>
      </c>
      <c r="L69" s="543">
        <f t="shared" si="15"/>
        <v>100</v>
      </c>
      <c r="M69" s="544">
        <f t="shared" si="15"/>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35"/>
      <c r="E73" s="535"/>
      <c r="F73" s="535"/>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2653</v>
      </c>
      <c r="C82" s="659" t="s">
        <v>2673</v>
      </c>
      <c r="D82" s="659" t="s">
        <v>2674</v>
      </c>
      <c r="E82" s="659" t="s">
        <v>2675</v>
      </c>
      <c r="F82" s="659" t="s">
        <v>2676</v>
      </c>
      <c r="G82" s="659" t="s">
        <v>2677</v>
      </c>
      <c r="H82" s="538"/>
      <c r="I82" s="538"/>
      <c r="J82" s="538"/>
      <c r="K82" s="538"/>
      <c r="L82" s="538"/>
      <c r="M82" s="1383"/>
      <c r="N82" s="1155"/>
      <c r="O82" s="1155"/>
      <c r="P82" s="2629"/>
      <c r="Q82" s="503"/>
    </row>
    <row r="83" spans="1:17" ht="15.75" thickBot="1">
      <c r="A83" s="533"/>
      <c r="B83" s="545"/>
      <c r="C83" s="543">
        <v>100</v>
      </c>
      <c r="D83" s="543">
        <f>C83-$K21</f>
        <v>100</v>
      </c>
      <c r="E83" s="543">
        <f>D83-$K21</f>
        <v>100</v>
      </c>
      <c r="F83" s="543">
        <f>E83-$K21</f>
        <v>100</v>
      </c>
      <c r="G83" s="543">
        <f>F83-$K21</f>
        <v>100</v>
      </c>
      <c r="H83" s="659"/>
      <c r="I83" s="659"/>
      <c r="J83" s="659"/>
      <c r="K83" s="659"/>
      <c r="L83" s="659"/>
      <c r="M83" s="449"/>
      <c r="N83" s="1155"/>
      <c r="O83" s="1155"/>
      <c r="P83" s="2629"/>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7" customFormat="1" ht="15.75" thickTop="1">
      <c r="A86" s="578"/>
      <c r="B86" s="537" t="s">
        <v>2678</v>
      </c>
      <c r="C86" s="553"/>
      <c r="D86" s="553"/>
      <c r="E86" s="553"/>
      <c r="F86" s="553"/>
      <c r="G86" s="553"/>
      <c r="H86" s="553"/>
      <c r="I86" s="553"/>
      <c r="J86" s="553"/>
      <c r="K86" s="553"/>
      <c r="L86" s="579"/>
      <c r="M86" s="580"/>
      <c r="N86" s="1153"/>
      <c r="O86" s="1153"/>
      <c r="P86" s="2629"/>
      <c r="Q86" s="503"/>
    </row>
    <row r="87" spans="1:17" s="117" customFormat="1" ht="15.75" thickBot="1">
      <c r="A87" s="578"/>
      <c r="B87" s="542"/>
      <c r="C87" s="581">
        <v>100</v>
      </c>
      <c r="D87" s="543">
        <f t="shared" ref="D87:M87" si="16">C87-$K25</f>
        <v>100</v>
      </c>
      <c r="E87" s="543">
        <f t="shared" si="16"/>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5"/>
      <c r="O87" s="1155"/>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3"/>
      <c r="O88" s="1153"/>
      <c r="P88" s="2629"/>
      <c r="Q88" s="503"/>
    </row>
    <row r="89" spans="1:17" s="117" customFormat="1" ht="15.75" thickBot="1">
      <c r="A89" s="578"/>
      <c r="B89" s="542"/>
      <c r="C89" s="559"/>
      <c r="D89" s="535"/>
      <c r="E89" s="535"/>
      <c r="F89" s="535"/>
      <c r="G89" s="535"/>
      <c r="H89" s="535"/>
      <c r="I89" s="535"/>
      <c r="J89" s="535"/>
      <c r="K89" s="535"/>
      <c r="L89" s="535"/>
      <c r="M89" s="535"/>
      <c r="N89" s="1155"/>
      <c r="O89" s="1155"/>
      <c r="P89" s="2629"/>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0"/>
      <c r="Q90" s="558"/>
    </row>
    <row r="91" spans="1:17" s="470" customFormat="1" ht="15.75" thickBot="1">
      <c r="A91" s="552"/>
      <c r="B91" s="542"/>
      <c r="C91" s="581">
        <v>100</v>
      </c>
      <c r="D91" s="543">
        <f>C91-$K27</f>
        <v>100</v>
      </c>
      <c r="E91" s="543">
        <f t="shared" ref="E91:M91" si="17">D91-$K27</f>
        <v>100</v>
      </c>
      <c r="F91" s="543">
        <f t="shared" si="17"/>
        <v>100</v>
      </c>
      <c r="G91" s="543">
        <f t="shared" si="17"/>
        <v>100</v>
      </c>
      <c r="H91" s="543">
        <f t="shared" si="17"/>
        <v>100</v>
      </c>
      <c r="I91" s="543">
        <f t="shared" si="17"/>
        <v>100</v>
      </c>
      <c r="J91" s="543">
        <f t="shared" si="17"/>
        <v>100</v>
      </c>
      <c r="K91" s="543">
        <f t="shared" si="17"/>
        <v>100</v>
      </c>
      <c r="L91" s="543">
        <f t="shared" si="17"/>
        <v>100</v>
      </c>
      <c r="M91" s="543">
        <f t="shared" si="17"/>
        <v>100</v>
      </c>
      <c r="N91" s="1156"/>
      <c r="O91" s="1156"/>
      <c r="P91" s="2630"/>
      <c r="Q91" s="558"/>
    </row>
    <row r="92" spans="1:17" ht="15.75" thickTop="1">
      <c r="A92" s="533"/>
      <c r="B92" s="537" t="str">
        <f>B28</f>
        <v>楼层</v>
      </c>
      <c r="C92" s="553"/>
      <c r="D92" s="553"/>
      <c r="E92" s="553"/>
      <c r="F92" s="553"/>
      <c r="G92" s="553"/>
      <c r="H92" s="553"/>
      <c r="I92" s="553"/>
      <c r="J92" s="553"/>
      <c r="K92" s="553"/>
      <c r="L92" s="579"/>
      <c r="M92" s="580"/>
      <c r="N92" s="1154"/>
      <c r="O92" s="1154"/>
      <c r="P92" s="2629"/>
      <c r="Q92" s="503"/>
    </row>
    <row r="93" spans="1:17" ht="15.75" thickBot="1">
      <c r="A93" s="533"/>
      <c r="B93" s="542"/>
      <c r="C93" s="535"/>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35"/>
      <c r="E95" s="535"/>
      <c r="F95" s="535"/>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59"/>
      <c r="D97" s="535"/>
      <c r="E97" s="535"/>
      <c r="F97" s="535"/>
      <c r="G97" s="535"/>
      <c r="H97" s="535"/>
      <c r="I97" s="535"/>
      <c r="J97" s="535"/>
      <c r="K97" s="535"/>
      <c r="L97" s="535"/>
      <c r="M97" s="536"/>
      <c r="N97" s="1155"/>
      <c r="O97" s="1155"/>
      <c r="P97" s="2629"/>
      <c r="Q97" s="503"/>
    </row>
    <row r="98" spans="1:17" ht="15.75" thickTop="1">
      <c r="A98" s="533"/>
      <c r="B98" s="545">
        <f>B31</f>
        <v>111</v>
      </c>
      <c r="C98" s="553"/>
      <c r="D98" s="553"/>
      <c r="E98" s="553"/>
      <c r="F98" s="553"/>
      <c r="G98" s="586"/>
      <c r="H98" s="586"/>
      <c r="I98" s="586"/>
      <c r="J98" s="586"/>
      <c r="K98" s="587"/>
      <c r="L98" s="588"/>
      <c r="M98" s="589"/>
      <c r="N98" s="1154"/>
      <c r="O98" s="1154"/>
      <c r="P98" s="2629"/>
      <c r="Q98" s="503"/>
    </row>
    <row r="99" spans="1:17" ht="15.75" thickBot="1">
      <c r="A99" s="2635"/>
      <c r="B99" s="568"/>
      <c r="C99" s="569"/>
      <c r="D99" s="569"/>
      <c r="E99" s="569"/>
      <c r="F99" s="569"/>
      <c r="G99" s="590"/>
      <c r="H99" s="590"/>
      <c r="I99" s="590"/>
      <c r="J99" s="590"/>
      <c r="K99" s="590"/>
      <c r="L99" s="590"/>
      <c r="M99" s="591"/>
      <c r="N99" s="1155"/>
      <c r="O99" s="1155"/>
      <c r="P99" s="2629"/>
      <c r="Q99" s="503"/>
    </row>
    <row r="100" spans="1:17">
      <c r="A100" s="526" t="s">
        <v>2561</v>
      </c>
      <c r="B100" s="527" t="s">
        <v>2679</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18">C101-$K32</f>
        <v>100</v>
      </c>
      <c r="E101" s="543">
        <f t="shared" si="18"/>
        <v>100</v>
      </c>
      <c r="F101" s="543">
        <f t="shared" si="18"/>
        <v>100</v>
      </c>
      <c r="G101" s="543">
        <f t="shared" si="18"/>
        <v>100</v>
      </c>
      <c r="H101" s="543">
        <f t="shared" si="18"/>
        <v>100</v>
      </c>
      <c r="I101" s="543">
        <f t="shared" si="18"/>
        <v>100</v>
      </c>
      <c r="J101" s="543">
        <f t="shared" si="18"/>
        <v>100</v>
      </c>
      <c r="K101" s="543">
        <f t="shared" si="18"/>
        <v>100</v>
      </c>
      <c r="L101" s="543">
        <f t="shared" si="18"/>
        <v>100</v>
      </c>
      <c r="M101" s="544">
        <f t="shared" si="18"/>
        <v>100</v>
      </c>
      <c r="N101" s="1155"/>
      <c r="O101" s="1155"/>
      <c r="P101" s="2629"/>
      <c r="Q101" s="503"/>
    </row>
    <row r="102" spans="1:17" ht="15.75" thickTop="1">
      <c r="A102" s="533"/>
      <c r="B102" s="537" t="s">
        <v>2611</v>
      </c>
      <c r="C102" s="577" t="str">
        <f>C103&amp;"(含)"&amp;"-"&amp;D103</f>
        <v>(含)-</v>
      </c>
      <c r="D102" s="577" t="str">
        <f t="shared" ref="D102:L102" si="19">D103&amp;"(含)"&amp;"-"&amp;E103</f>
        <v>(含)-</v>
      </c>
      <c r="E102" s="577" t="str">
        <f t="shared" si="19"/>
        <v>(含)-</v>
      </c>
      <c r="F102" s="577" t="str">
        <f t="shared" si="19"/>
        <v>(含)-</v>
      </c>
      <c r="G102" s="577" t="str">
        <f t="shared" si="19"/>
        <v>(含)-</v>
      </c>
      <c r="H102" s="577" t="str">
        <f t="shared" si="19"/>
        <v>(含)-</v>
      </c>
      <c r="I102" s="577" t="str">
        <f t="shared" si="19"/>
        <v>(含)-</v>
      </c>
      <c r="J102" s="577" t="str">
        <f t="shared" si="19"/>
        <v>(含)-</v>
      </c>
      <c r="K102" s="577" t="str">
        <f t="shared" si="19"/>
        <v>(含)-</v>
      </c>
      <c r="L102" s="577" t="str">
        <f t="shared" si="19"/>
        <v>(含)-</v>
      </c>
      <c r="M102" s="621"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0"/>
      <c r="Q104" s="558"/>
    </row>
    <row r="105" spans="1:17" ht="15" thickTop="1">
      <c r="A105" s="598"/>
      <c r="B105" s="537" t="s">
        <v>2612</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0">C106-$K34</f>
        <v>100</v>
      </c>
      <c r="E106" s="543">
        <f t="shared" si="20"/>
        <v>100</v>
      </c>
      <c r="F106" s="543">
        <f t="shared" si="20"/>
        <v>100</v>
      </c>
      <c r="G106" s="543">
        <f t="shared" si="20"/>
        <v>100</v>
      </c>
      <c r="H106" s="543">
        <f t="shared" si="20"/>
        <v>100</v>
      </c>
      <c r="I106" s="543">
        <f t="shared" si="20"/>
        <v>100</v>
      </c>
      <c r="J106" s="543">
        <f t="shared" si="20"/>
        <v>100</v>
      </c>
      <c r="K106" s="543">
        <f t="shared" si="20"/>
        <v>100</v>
      </c>
      <c r="L106" s="543">
        <f t="shared" si="20"/>
        <v>100</v>
      </c>
      <c r="M106" s="544">
        <f t="shared" si="20"/>
        <v>100</v>
      </c>
      <c r="N106" s="1155"/>
      <c r="O106" s="1155"/>
      <c r="P106" s="2629"/>
      <c r="Q106" s="503"/>
    </row>
    <row r="107" spans="1:17" ht="15" thickTop="1">
      <c r="A107" s="598"/>
      <c r="B107" s="537" t="s">
        <v>2614</v>
      </c>
      <c r="C107" s="553"/>
      <c r="D107" s="553"/>
      <c r="E107" s="553"/>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1">C108-$K35</f>
        <v>100</v>
      </c>
      <c r="E108" s="543">
        <f t="shared" si="21"/>
        <v>100</v>
      </c>
      <c r="F108" s="543">
        <f t="shared" si="21"/>
        <v>100</v>
      </c>
      <c r="G108" s="543">
        <f t="shared" si="21"/>
        <v>100</v>
      </c>
      <c r="H108" s="543">
        <f t="shared" si="21"/>
        <v>100</v>
      </c>
      <c r="I108" s="543">
        <f t="shared" si="21"/>
        <v>100</v>
      </c>
      <c r="J108" s="543">
        <f t="shared" si="21"/>
        <v>100</v>
      </c>
      <c r="K108" s="543">
        <f t="shared" si="21"/>
        <v>100</v>
      </c>
      <c r="L108" s="543">
        <f t="shared" si="21"/>
        <v>100</v>
      </c>
      <c r="M108" s="544">
        <f t="shared" si="21"/>
        <v>100</v>
      </c>
      <c r="N108" s="1155"/>
      <c r="O108" s="1155"/>
      <c r="P108" s="2629"/>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9"/>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9"/>
      <c r="Q110" s="503"/>
    </row>
    <row r="111" spans="1:17" ht="15.75" thickBot="1">
      <c r="A111" s="533"/>
      <c r="B111" s="542"/>
      <c r="C111" s="581">
        <v>100</v>
      </c>
      <c r="D111" s="543">
        <f>C111+$K36</f>
        <v>100</v>
      </c>
      <c r="E111" s="543">
        <f t="shared" ref="E111:M111" si="22">D111+$K36</f>
        <v>100</v>
      </c>
      <c r="F111" s="543">
        <f t="shared" si="22"/>
        <v>100</v>
      </c>
      <c r="G111" s="543">
        <f t="shared" si="22"/>
        <v>100</v>
      </c>
      <c r="H111" s="543">
        <f t="shared" si="22"/>
        <v>100</v>
      </c>
      <c r="I111" s="543">
        <f t="shared" si="22"/>
        <v>100</v>
      </c>
      <c r="J111" s="543">
        <f t="shared" si="22"/>
        <v>100</v>
      </c>
      <c r="K111" s="543">
        <f t="shared" si="22"/>
        <v>100</v>
      </c>
      <c r="L111" s="543">
        <f t="shared" si="22"/>
        <v>100</v>
      </c>
      <c r="M111" s="543">
        <f t="shared" si="22"/>
        <v>100</v>
      </c>
      <c r="N111" s="1155"/>
      <c r="O111" s="1155"/>
      <c r="P111" s="2629"/>
      <c r="Q111" s="503"/>
    </row>
    <row r="112" spans="1:17" s="470" customFormat="1" ht="15" thickTop="1">
      <c r="A112" s="592"/>
      <c r="B112" s="537" t="s">
        <v>2616</v>
      </c>
      <c r="C112" s="553"/>
      <c r="D112" s="553"/>
      <c r="E112" s="553"/>
      <c r="F112" s="553"/>
      <c r="G112" s="553"/>
      <c r="H112" s="582"/>
      <c r="I112" s="582"/>
      <c r="J112" s="582"/>
      <c r="K112" s="583"/>
      <c r="L112" s="584"/>
      <c r="M112" s="585"/>
      <c r="N112" s="1156"/>
      <c r="O112" s="1156"/>
      <c r="P112" s="2630"/>
      <c r="Q112" s="558"/>
    </row>
    <row r="113" spans="1:17" s="470" customFormat="1" ht="15.75" thickBot="1">
      <c r="A113" s="552"/>
      <c r="B113" s="542"/>
      <c r="C113" s="543">
        <v>100</v>
      </c>
      <c r="D113" s="543">
        <f>C113-$K37</f>
        <v>100</v>
      </c>
      <c r="E113" s="543">
        <f t="shared" ref="E113:M113" si="23">D113-$K37</f>
        <v>100</v>
      </c>
      <c r="F113" s="543">
        <f t="shared" si="23"/>
        <v>100</v>
      </c>
      <c r="G113" s="543">
        <f t="shared" si="23"/>
        <v>100</v>
      </c>
      <c r="H113" s="543">
        <f t="shared" si="23"/>
        <v>100</v>
      </c>
      <c r="I113" s="543">
        <f t="shared" si="23"/>
        <v>100</v>
      </c>
      <c r="J113" s="543">
        <f t="shared" si="23"/>
        <v>100</v>
      </c>
      <c r="K113" s="543">
        <f t="shared" si="23"/>
        <v>100</v>
      </c>
      <c r="L113" s="543">
        <f t="shared" si="23"/>
        <v>100</v>
      </c>
      <c r="M113" s="543">
        <f t="shared" si="23"/>
        <v>100</v>
      </c>
      <c r="N113" s="1156"/>
      <c r="O113" s="1156"/>
      <c r="P113" s="2630"/>
      <c r="Q113" s="558"/>
    </row>
    <row r="114" spans="1:17" ht="15" thickTop="1">
      <c r="A114" s="598"/>
      <c r="B114" s="537" t="s">
        <v>2680</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4">C115-$K38</f>
        <v>100</v>
      </c>
      <c r="E115" s="543">
        <f t="shared" si="24"/>
        <v>100</v>
      </c>
      <c r="F115" s="543">
        <f t="shared" si="24"/>
        <v>100</v>
      </c>
      <c r="G115" s="543">
        <f t="shared" si="24"/>
        <v>100</v>
      </c>
      <c r="H115" s="543">
        <f t="shared" si="24"/>
        <v>100</v>
      </c>
      <c r="I115" s="543">
        <f t="shared" si="24"/>
        <v>100</v>
      </c>
      <c r="J115" s="543">
        <f t="shared" si="24"/>
        <v>100</v>
      </c>
      <c r="K115" s="543">
        <f t="shared" si="24"/>
        <v>100</v>
      </c>
      <c r="L115" s="543">
        <f t="shared" si="24"/>
        <v>100</v>
      </c>
      <c r="M115" s="544">
        <f t="shared" si="24"/>
        <v>100</v>
      </c>
      <c r="N115" s="1155"/>
      <c r="O115" s="1155"/>
      <c r="P115" s="2629"/>
      <c r="Q115" s="503"/>
    </row>
    <row r="116" spans="1:17" ht="15" thickTop="1">
      <c r="A116" s="598"/>
      <c r="B116" s="537" t="s">
        <v>2681</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2682</v>
      </c>
      <c r="C118" s="626"/>
      <c r="D118" s="626"/>
      <c r="E118" s="626"/>
      <c r="F118" s="626"/>
      <c r="G118" s="626"/>
      <c r="H118" s="554"/>
      <c r="I118" s="554"/>
      <c r="J118" s="554"/>
      <c r="K118" s="554"/>
      <c r="L118" s="555"/>
      <c r="M118" s="556"/>
      <c r="N118" s="1154"/>
      <c r="O118" s="1154"/>
      <c r="P118" s="2629"/>
      <c r="Q118" s="503"/>
    </row>
    <row r="119" spans="1:17" ht="15.75" thickBot="1">
      <c r="A119" s="533"/>
      <c r="B119" s="542"/>
      <c r="C119" s="559"/>
      <c r="D119" s="535"/>
      <c r="E119" s="535"/>
      <c r="F119" s="535"/>
      <c r="G119" s="535"/>
      <c r="H119" s="535"/>
      <c r="I119" s="535"/>
      <c r="J119" s="535"/>
      <c r="K119" s="535"/>
      <c r="L119" s="535"/>
      <c r="M119" s="536"/>
      <c r="N119" s="1155"/>
      <c r="O119" s="1155"/>
      <c r="P119" s="2629"/>
      <c r="Q119" s="503"/>
    </row>
    <row r="120" spans="1:17" s="470" customFormat="1" ht="15" thickTop="1">
      <c r="A120" s="592"/>
      <c r="B120" s="537" t="s">
        <v>2683</v>
      </c>
      <c r="C120" s="582"/>
      <c r="D120" s="582"/>
      <c r="E120" s="582"/>
      <c r="F120" s="582"/>
      <c r="G120" s="554"/>
      <c r="H120" s="554"/>
      <c r="I120" s="554"/>
      <c r="J120" s="554"/>
      <c r="K120" s="554"/>
      <c r="L120" s="555"/>
      <c r="M120" s="556"/>
      <c r="N120" s="1156"/>
      <c r="O120" s="1156"/>
      <c r="P120" s="2630"/>
      <c r="Q120" s="558"/>
    </row>
    <row r="121" spans="1:17" s="470" customFormat="1" ht="15.75" thickBot="1">
      <c r="A121" s="552"/>
      <c r="B121" s="534"/>
      <c r="C121" s="581">
        <v>100</v>
      </c>
      <c r="D121" s="543">
        <f>C121-$K41</f>
        <v>100</v>
      </c>
      <c r="E121" s="543">
        <f t="shared" ref="E121:M121" si="25">D121-$K41</f>
        <v>100</v>
      </c>
      <c r="F121" s="543">
        <f t="shared" si="25"/>
        <v>100</v>
      </c>
      <c r="G121" s="543">
        <f t="shared" si="25"/>
        <v>100</v>
      </c>
      <c r="H121" s="543">
        <f t="shared" si="25"/>
        <v>100</v>
      </c>
      <c r="I121" s="543">
        <f t="shared" si="25"/>
        <v>100</v>
      </c>
      <c r="J121" s="543">
        <f t="shared" si="25"/>
        <v>100</v>
      </c>
      <c r="K121" s="543">
        <f t="shared" si="25"/>
        <v>100</v>
      </c>
      <c r="L121" s="543">
        <f t="shared" si="25"/>
        <v>100</v>
      </c>
      <c r="M121" s="544">
        <f t="shared" si="25"/>
        <v>100</v>
      </c>
      <c r="N121" s="1156"/>
      <c r="O121" s="1156"/>
      <c r="P121" s="2630"/>
      <c r="Q121" s="558"/>
    </row>
    <row r="122" spans="1:17" ht="15" thickTop="1">
      <c r="A122" s="598"/>
      <c r="B122" s="537" t="s">
        <v>2618</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26">C123-$K42</f>
        <v>100</v>
      </c>
      <c r="E123" s="543">
        <f t="shared" si="26"/>
        <v>100</v>
      </c>
      <c r="F123" s="543">
        <f t="shared" si="26"/>
        <v>100</v>
      </c>
      <c r="G123" s="543">
        <f t="shared" si="26"/>
        <v>100</v>
      </c>
      <c r="H123" s="543">
        <f t="shared" si="26"/>
        <v>100</v>
      </c>
      <c r="I123" s="543">
        <f t="shared" si="26"/>
        <v>100</v>
      </c>
      <c r="J123" s="543">
        <f t="shared" si="26"/>
        <v>100</v>
      </c>
      <c r="K123" s="543">
        <f t="shared" si="26"/>
        <v>100</v>
      </c>
      <c r="L123" s="543">
        <f t="shared" si="26"/>
        <v>100</v>
      </c>
      <c r="M123" s="544">
        <f t="shared" si="26"/>
        <v>100</v>
      </c>
      <c r="N123" s="1155"/>
      <c r="O123" s="1155"/>
      <c r="P123" s="2629"/>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35"/>
      <c r="E129" s="535"/>
      <c r="F129" s="535"/>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中信信托：</v>
      </c>
    </row>
    <row r="4" spans="1:1" ht="36">
      <c r="A4" s="1949" t="str">
        <f>"受贵公司委托，我公司对"&amp;项目基本情况!S1&amp;"进行了预评估。"</f>
        <v>受贵公司委托，我公司对山东省山东省济南市历城区唐冶西路868号A7-1整幢办公商业及地下车位房地产抵押价值进行了预评估。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山东省济南市历城区唐冶西路868号A7-1整幢办公商业及地下车位房地产，为山东省济南市历城区国资运营公司所有。根据，估价对象（分摊）出让国有建设用地使用权面积为0平方米，建筑面积为25792.44平方米。</v>
      </c>
    </row>
    <row r="8" spans="1:1" ht="57.75">
      <c r="A8" s="1952" t="s">
        <v>1614</v>
      </c>
    </row>
    <row r="9" spans="1:1" ht="18.75">
      <c r="A9" s="1951" t="s">
        <v>1615</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山东省济南市历城区唐冶西路868号A7-1整幢办公商业及地下车位房地产,属山东省济南市历城区国资运营公司开发建设的居住项目，该项目尚在开发建设中。根据，估价对象（分摊）出让国有建设用地使用权面积为0平方米，规划建筑面积为25792.44平方米。</v>
      </c>
    </row>
    <row r="11" spans="1:1" ht="76.5">
      <c r="A11" s="1952" t="s">
        <v>1616</v>
      </c>
    </row>
    <row r="12" spans="1:1" ht="18.75">
      <c r="A12" s="1950" t="s">
        <v>1617</v>
      </c>
    </row>
    <row r="13" spans="1:1" ht="38.25" customHeight="1">
      <c r="A13" s="1953" t="str">
        <f>IF(项目基本情况!B8="抵押",IF(项目基本情况!B5=项目基本情况!B6,定义!C51,定义!B51),定义!D51)</f>
        <v>山东省济南市历城区国资运营公司拟使用山东省山东省济南市历城区唐冶西路868号A7-1整幢办公商业及地下车位房地产作为抵押担保物，向中信信托办理贷款手续。中信信托特委托北京康正宏基房地产评估有限公司对上述抵押物进行评估。本次评估为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2019年8月15日（评估专业人员实地查勘之日）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15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本次评估采用的主估价方法为比较法和收益法。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668" t="s">
        <v>2700</v>
      </c>
      <c r="C1" s="1621" t="s">
        <v>2528</v>
      </c>
      <c r="D1" s="1622"/>
      <c r="E1" s="1631"/>
      <c r="F1" s="2583"/>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19" t="e">
        <f ca="1">IF(C2="——",ROUND(C43*D3/10000,0),ROUND(C43*D3/10000,0)-D2)</f>
        <v>#DIV/0!</v>
      </c>
      <c r="C2" s="2585"/>
      <c r="D2" s="1126" t="e">
        <f ca="1">SUMIF(INDIRECT("'"&amp;F2&amp;"'"&amp;"!A:A"),"承租人权益价值",INDIRECT("'"&amp;F2&amp;"'"&amp;"!c:c"))</f>
        <v>#REF!</v>
      </c>
      <c r="E2" s="2586" t="s">
        <v>2328</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2329</v>
      </c>
      <c r="B3" s="608" t="e">
        <f ca="1">IF(C2="——",C43,ROUND(B2*10000/D3,0))</f>
        <v>#DIV/0!</v>
      </c>
      <c r="C3" s="400" t="s">
        <v>2642</v>
      </c>
      <c r="D3" s="399">
        <f>IF(D1="",'数据-汇总表'!E3,SUMIF('数据-汇总表'!$C19:$C33,D1,'数据-汇总表'!$E19:$E33))</f>
        <v>25792.44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188" t="s">
        <v>2644</v>
      </c>
      <c r="D4" s="3201"/>
      <c r="E4" s="3202" t="s">
        <v>2645</v>
      </c>
      <c r="F4" s="3203"/>
      <c r="G4" s="3188" t="s">
        <v>2646</v>
      </c>
      <c r="H4" s="3201"/>
      <c r="I4" s="3188" t="s">
        <v>2647</v>
      </c>
      <c r="J4" s="3201"/>
      <c r="K4" s="609" t="s">
        <v>2648</v>
      </c>
      <c r="L4" s="1132"/>
      <c r="M4" s="1133"/>
      <c r="N4" s="1133"/>
      <c r="O4" s="1133"/>
      <c r="P4" s="3204" t="s">
        <v>2649</v>
      </c>
      <c r="Q4" s="3205"/>
      <c r="R4" s="3210" t="s">
        <v>2645</v>
      </c>
      <c r="S4" s="3211"/>
      <c r="T4" s="3210" t="s">
        <v>2646</v>
      </c>
      <c r="U4" s="3211"/>
      <c r="V4" s="3197" t="s">
        <v>2647</v>
      </c>
      <c r="W4" s="3197"/>
      <c r="X4" s="1814"/>
      <c r="Y4" s="3210" t="s">
        <v>2649</v>
      </c>
      <c r="Z4" s="3211"/>
      <c r="AA4" s="3198" t="s">
        <v>2645</v>
      </c>
      <c r="AB4" s="3199" t="s">
        <v>2646</v>
      </c>
      <c r="AC4" s="3198" t="s">
        <v>2647</v>
      </c>
    </row>
    <row r="5" spans="1:29" ht="15">
      <c r="A5" s="404"/>
      <c r="B5" s="405"/>
      <c r="C5" s="3218" t="s">
        <v>2540</v>
      </c>
      <c r="D5" s="3219"/>
      <c r="E5" s="3225" t="s">
        <v>2541</v>
      </c>
      <c r="F5" s="3226"/>
      <c r="G5" s="3218" t="s">
        <v>2542</v>
      </c>
      <c r="H5" s="3219"/>
      <c r="I5" s="3218" t="s">
        <v>2543</v>
      </c>
      <c r="J5" s="3219"/>
      <c r="K5" s="609"/>
      <c r="L5" s="1132"/>
      <c r="M5" s="1133"/>
      <c r="N5" s="1133"/>
      <c r="O5" s="1133"/>
      <c r="P5" s="3206"/>
      <c r="Q5" s="3207"/>
      <c r="R5" s="3212"/>
      <c r="S5" s="3213"/>
      <c r="T5" s="3212"/>
      <c r="U5" s="3213"/>
      <c r="V5" s="3197"/>
      <c r="W5" s="3197"/>
      <c r="X5" s="1814"/>
      <c r="Y5" s="3212"/>
      <c r="Z5" s="3213"/>
      <c r="AA5" s="3199"/>
      <c r="AB5" s="3199"/>
      <c r="AC5" s="3199"/>
    </row>
    <row r="6" spans="1:29" ht="15.75" thickBot="1">
      <c r="A6" s="406"/>
      <c r="B6" s="407"/>
      <c r="C6" s="3216" t="s">
        <v>2544</v>
      </c>
      <c r="D6" s="3217"/>
      <c r="E6" s="3223" t="s">
        <v>2544</v>
      </c>
      <c r="F6" s="3224"/>
      <c r="G6" s="3216" t="s">
        <v>2544</v>
      </c>
      <c r="H6" s="3217"/>
      <c r="I6" s="3216" t="s">
        <v>2544</v>
      </c>
      <c r="J6" s="3217"/>
      <c r="K6" s="609" t="s">
        <v>2545</v>
      </c>
      <c r="L6" s="1132"/>
      <c r="M6" s="1133"/>
      <c r="N6" s="1133"/>
      <c r="O6" s="1133"/>
      <c r="P6" s="3208"/>
      <c r="Q6" s="3209"/>
      <c r="R6" s="3212"/>
      <c r="S6" s="3213"/>
      <c r="T6" s="3214"/>
      <c r="U6" s="3215"/>
      <c r="V6" s="3197"/>
      <c r="W6" s="3197"/>
      <c r="X6" s="1814"/>
      <c r="Y6" s="3214"/>
      <c r="Z6" s="3215"/>
      <c r="AA6" s="3200"/>
      <c r="AB6" s="3200"/>
      <c r="AC6" s="3200"/>
    </row>
    <row r="7" spans="1:29" s="117" customFormat="1" ht="15.75" thickBot="1">
      <c r="A7" s="408" t="s">
        <v>2546</v>
      </c>
      <c r="B7" s="409"/>
      <c r="C7" s="410">
        <f>'数据-取费表'!B2</f>
        <v>43692</v>
      </c>
      <c r="D7" s="411">
        <v>100</v>
      </c>
      <c r="E7" s="412"/>
      <c r="F7" s="413">
        <f>SUMIF(52:52,YEAR(E7)&amp;"-"&amp;MONTH(E7),53:53)</f>
        <v>0</v>
      </c>
      <c r="G7" s="412"/>
      <c r="H7" s="411">
        <f>SUMIF(52:52,YEAR(G7)&amp;"-"&amp;MONTH(G7),53:53)</f>
        <v>0</v>
      </c>
      <c r="I7" s="412"/>
      <c r="J7" s="411">
        <f>SUMIF(52:52,YEAR(I7)&amp;"-"&amp;MONTH(I7),53:53)</f>
        <v>0</v>
      </c>
      <c r="K7" s="610"/>
      <c r="L7" s="1134"/>
      <c r="M7" s="1135"/>
      <c r="N7" s="1135"/>
      <c r="O7" s="1135"/>
      <c r="P7" s="3220" t="s">
        <v>2547</v>
      </c>
      <c r="Q7" s="3222"/>
      <c r="R7" s="769" t="s">
        <v>17</v>
      </c>
      <c r="S7" s="770">
        <f t="shared" ref="S7:S15" si="0">F7</f>
        <v>0</v>
      </c>
      <c r="T7" s="769" t="s">
        <v>17</v>
      </c>
      <c r="U7" s="770">
        <f t="shared" ref="U7:U15" si="1">H7</f>
        <v>0</v>
      </c>
      <c r="V7" s="769" t="s">
        <v>17</v>
      </c>
      <c r="W7" s="770">
        <f t="shared" ref="W7:W15" si="2">J7</f>
        <v>0</v>
      </c>
      <c r="X7" s="771"/>
      <c r="Y7" s="3220" t="s">
        <v>2547</v>
      </c>
      <c r="Z7" s="3221"/>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0"/>
      <c r="L8" s="1134"/>
      <c r="M8" s="1135"/>
      <c r="N8" s="1135"/>
      <c r="O8" s="1135"/>
      <c r="P8" s="3220" t="s">
        <v>2550</v>
      </c>
      <c r="Q8" s="3221"/>
      <c r="R8" s="769" t="s">
        <v>17</v>
      </c>
      <c r="S8" s="770">
        <f t="shared" si="0"/>
        <v>0</v>
      </c>
      <c r="T8" s="769" t="s">
        <v>17</v>
      </c>
      <c r="U8" s="770">
        <f t="shared" si="1"/>
        <v>0</v>
      </c>
      <c r="V8" s="769" t="s">
        <v>17</v>
      </c>
      <c r="W8" s="770">
        <f t="shared" si="2"/>
        <v>0</v>
      </c>
      <c r="X8" s="771"/>
      <c r="Y8" s="3220" t="s">
        <v>2550</v>
      </c>
      <c r="Z8" s="3221"/>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0"/>
      <c r="L9" s="1134"/>
      <c r="M9" s="1135"/>
      <c r="N9" s="1135"/>
      <c r="O9" s="1136"/>
      <c r="P9" s="3191" t="s">
        <v>2553</v>
      </c>
      <c r="Q9" s="1796" t="str">
        <f t="shared" ref="Q9:Q15" si="6">B9</f>
        <v>用途</v>
      </c>
      <c r="R9" s="769" t="s">
        <v>17</v>
      </c>
      <c r="S9" s="770">
        <f t="shared" si="0"/>
        <v>100</v>
      </c>
      <c r="T9" s="769" t="s">
        <v>17</v>
      </c>
      <c r="U9" s="770">
        <f t="shared" si="1"/>
        <v>100</v>
      </c>
      <c r="V9" s="769" t="s">
        <v>17</v>
      </c>
      <c r="W9" s="770">
        <f t="shared" si="2"/>
        <v>100</v>
      </c>
      <c r="X9" s="771"/>
      <c r="Y9" s="3042" t="s">
        <v>2554</v>
      </c>
      <c r="Z9" s="55" t="str">
        <f t="shared" ref="Z9:Z15" si="7">Q9</f>
        <v>用途</v>
      </c>
      <c r="AA9" s="772">
        <f t="shared" si="3"/>
        <v>1</v>
      </c>
      <c r="AB9" s="772">
        <f t="shared" si="4"/>
        <v>1</v>
      </c>
      <c r="AC9" s="772">
        <f t="shared" si="5"/>
        <v>1</v>
      </c>
    </row>
    <row r="10" spans="1:29" s="426" customFormat="1" ht="27">
      <c r="A10" s="420"/>
      <c r="B10" s="421" t="s">
        <v>2555</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191"/>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2556</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191"/>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6">
        <f>SUMIF(64:64,E12,65:65)-SUMIF(64:64,C12,65:65)+100</f>
        <v>100</v>
      </c>
      <c r="G12" s="2691"/>
      <c r="H12" s="136">
        <f>SUMIF(64:64,G12,65:65)-SUMIF(64:64,C12,65:65)+100</f>
        <v>100</v>
      </c>
      <c r="I12" s="468"/>
      <c r="J12" s="136">
        <f>SUMIF(64:64,I12,65:65)-SUMIF(64:64,C12,65:65)+100</f>
        <v>100</v>
      </c>
      <c r="K12" s="612"/>
      <c r="L12" s="1134"/>
      <c r="M12" s="1135"/>
      <c r="N12" s="1135"/>
      <c r="O12" s="1136"/>
      <c r="P12" s="3191"/>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599">
        <v>111</v>
      </c>
      <c r="C13" s="433"/>
      <c r="D13" s="434">
        <v>100</v>
      </c>
      <c r="E13" s="433"/>
      <c r="F13" s="136">
        <f>SUMIF(66:66,E13,67:67)-SUMIF(66:66,C13,67:67)+100</f>
        <v>100</v>
      </c>
      <c r="G13" s="2691"/>
      <c r="H13" s="434">
        <f>SUMIF(66:66,G13,67:67)-SUMIF(66:66,C13,67:67)+100</f>
        <v>100</v>
      </c>
      <c r="I13" s="468"/>
      <c r="J13" s="434">
        <f>SUMIF(66:66,I13,67:67)-SUMIF(66:66,C13,67:67)+100</f>
        <v>100</v>
      </c>
      <c r="K13" s="612"/>
      <c r="L13" s="1142"/>
      <c r="M13" s="1133"/>
      <c r="N13" s="1133"/>
      <c r="O13" s="1141"/>
      <c r="P13" s="3191"/>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2"/>
      <c r="M14" s="1133"/>
      <c r="N14" s="1133"/>
      <c r="O14" s="1141"/>
      <c r="P14" s="3191"/>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39" t="s">
        <v>2557</v>
      </c>
      <c r="B15" s="69" t="s">
        <v>2701</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3" t="s">
        <v>2558</v>
      </c>
      <c r="Q15" s="1811" t="str">
        <f t="shared" si="6"/>
        <v>产业集聚程度</v>
      </c>
      <c r="R15" s="773" t="s">
        <v>17</v>
      </c>
      <c r="S15" s="774">
        <f t="shared" si="0"/>
        <v>100</v>
      </c>
      <c r="T15" s="773" t="s">
        <v>17</v>
      </c>
      <c r="U15" s="774">
        <f t="shared" si="1"/>
        <v>100</v>
      </c>
      <c r="V15" s="773" t="s">
        <v>17</v>
      </c>
      <c r="W15" s="774">
        <f t="shared" si="2"/>
        <v>100</v>
      </c>
      <c r="X15" s="1814"/>
      <c r="Y15" s="3193" t="s">
        <v>2558</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94"/>
      <c r="Q16" s="1811"/>
      <c r="R16" s="773"/>
      <c r="S16" s="774"/>
      <c r="T16" s="773"/>
      <c r="U16" s="774"/>
      <c r="V16" s="773"/>
      <c r="W16" s="774"/>
      <c r="X16" s="1814"/>
      <c r="Y16" s="3194"/>
      <c r="Z16" s="1815"/>
      <c r="AA16" s="1812">
        <v>1</v>
      </c>
      <c r="AB16" s="1812">
        <v>1</v>
      </c>
      <c r="AC16" s="1812">
        <v>1</v>
      </c>
    </row>
    <row r="17" spans="1:29" ht="85.5">
      <c r="A17" s="427"/>
      <c r="B17" s="450" t="s">
        <v>2096</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4"/>
      <c r="Q17" s="1811" t="str">
        <f>B17</f>
        <v>交通便捷度</v>
      </c>
      <c r="R17" s="773" t="s">
        <v>17</v>
      </c>
      <c r="S17" s="774">
        <f>F17</f>
        <v>100</v>
      </c>
      <c r="T17" s="773" t="s">
        <v>17</v>
      </c>
      <c r="U17" s="774">
        <f>H17</f>
        <v>100</v>
      </c>
      <c r="V17" s="773" t="s">
        <v>17</v>
      </c>
      <c r="W17" s="774">
        <f>J17</f>
        <v>100</v>
      </c>
      <c r="X17" s="1814"/>
      <c r="Y17" s="3194"/>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2"/>
      <c r="M18" s="1133"/>
      <c r="N18" s="1133"/>
      <c r="O18" s="1141"/>
      <c r="P18" s="3194"/>
      <c r="Q18" s="1811"/>
      <c r="R18" s="773"/>
      <c r="S18" s="774"/>
      <c r="T18" s="773"/>
      <c r="U18" s="774"/>
      <c r="V18" s="773"/>
      <c r="W18" s="774"/>
      <c r="X18" s="1814"/>
      <c r="Y18" s="3194"/>
      <c r="Z18" s="1815"/>
      <c r="AA18" s="1812">
        <v>1</v>
      </c>
      <c r="AB18" s="1812">
        <v>1</v>
      </c>
      <c r="AC18" s="1812">
        <v>1</v>
      </c>
    </row>
    <row r="19" spans="1:29" ht="42.75">
      <c r="A19" s="427"/>
      <c r="B19" s="450" t="s">
        <v>2686</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4"/>
      <c r="Q19" s="1811" t="str">
        <f>B19</f>
        <v>公共配套设施</v>
      </c>
      <c r="R19" s="773" t="s">
        <v>17</v>
      </c>
      <c r="S19" s="774">
        <f>F19</f>
        <v>100</v>
      </c>
      <c r="T19" s="773" t="s">
        <v>17</v>
      </c>
      <c r="U19" s="774">
        <f>H19</f>
        <v>100</v>
      </c>
      <c r="V19" s="773" t="s">
        <v>17</v>
      </c>
      <c r="W19" s="774">
        <f>J19</f>
        <v>100</v>
      </c>
      <c r="X19" s="1814"/>
      <c r="Y19" s="3194"/>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2"/>
      <c r="M20" s="1133"/>
      <c r="N20" s="1133"/>
      <c r="O20" s="1141"/>
      <c r="P20" s="3194"/>
      <c r="Q20" s="1811"/>
      <c r="R20" s="773"/>
      <c r="S20" s="774"/>
      <c r="T20" s="773"/>
      <c r="U20" s="774"/>
      <c r="V20" s="773"/>
      <c r="W20" s="774"/>
      <c r="X20" s="1814"/>
      <c r="Y20" s="3194"/>
      <c r="Z20" s="1815"/>
      <c r="AA20" s="1812">
        <v>1</v>
      </c>
      <c r="AB20" s="1812">
        <v>1</v>
      </c>
      <c r="AC20" s="1812">
        <v>1</v>
      </c>
    </row>
    <row r="21" spans="1:29" ht="28.5">
      <c r="A21" s="427"/>
      <c r="B21" s="1385" t="s">
        <v>2687</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4"/>
      <c r="Q21" s="1811" t="str">
        <f>B21</f>
        <v>基础设施水平</v>
      </c>
      <c r="R21" s="773" t="s">
        <v>17</v>
      </c>
      <c r="S21" s="774">
        <f>F21</f>
        <v>100</v>
      </c>
      <c r="T21" s="773" t="s">
        <v>17</v>
      </c>
      <c r="U21" s="774">
        <f>H21</f>
        <v>100</v>
      </c>
      <c r="V21" s="773" t="s">
        <v>17</v>
      </c>
      <c r="W21" s="774">
        <f>J21</f>
        <v>100</v>
      </c>
      <c r="X21" s="1814"/>
      <c r="Y21" s="3194"/>
      <c r="Z21" s="1815" t="str">
        <f>Q21</f>
        <v>基础设施水平</v>
      </c>
      <c r="AA21" s="1812">
        <f>D21/F21</f>
        <v>1</v>
      </c>
      <c r="AB21" s="1812">
        <f>D21/H21</f>
        <v>1</v>
      </c>
      <c r="AC21" s="1812">
        <f>D21/J21</f>
        <v>1</v>
      </c>
    </row>
    <row r="22" spans="1:29" ht="15">
      <c r="A22" s="427"/>
      <c r="B22" s="1385"/>
      <c r="C22" s="2607"/>
      <c r="D22" s="447"/>
      <c r="E22" s="446"/>
      <c r="F22" s="448"/>
      <c r="G22" s="446"/>
      <c r="H22" s="447"/>
      <c r="I22" s="446"/>
      <c r="J22" s="447"/>
      <c r="K22" s="1384"/>
      <c r="L22" s="1142"/>
      <c r="M22" s="1133"/>
      <c r="N22" s="1133"/>
      <c r="O22" s="1141"/>
      <c r="P22" s="3194"/>
      <c r="Q22" s="1811"/>
      <c r="R22" s="773"/>
      <c r="S22" s="774"/>
      <c r="T22" s="773"/>
      <c r="U22" s="774"/>
      <c r="V22" s="773"/>
      <c r="W22" s="774"/>
      <c r="X22" s="1814"/>
      <c r="Y22" s="3194"/>
      <c r="Z22" s="1815"/>
      <c r="AA22" s="1812">
        <v>1</v>
      </c>
      <c r="AB22" s="1812">
        <v>1</v>
      </c>
      <c r="AC22" s="1812">
        <v>1</v>
      </c>
    </row>
    <row r="23" spans="1:29" ht="71.25">
      <c r="A23" s="427"/>
      <c r="B23" s="450" t="s">
        <v>2688</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4"/>
      <c r="Q23" s="1811" t="str">
        <f>B23</f>
        <v>环境质量</v>
      </c>
      <c r="R23" s="773" t="s">
        <v>17</v>
      </c>
      <c r="S23" s="774">
        <f>F23</f>
        <v>100</v>
      </c>
      <c r="T23" s="773" t="s">
        <v>17</v>
      </c>
      <c r="U23" s="774">
        <f>H23</f>
        <v>100</v>
      </c>
      <c r="V23" s="773" t="s">
        <v>17</v>
      </c>
      <c r="W23" s="774">
        <f>J23</f>
        <v>100</v>
      </c>
      <c r="X23" s="1814"/>
      <c r="Y23" s="3194"/>
      <c r="Z23" s="1815" t="str">
        <f>Q23</f>
        <v>环境质量</v>
      </c>
      <c r="AA23" s="1812">
        <f t="shared" si="3"/>
        <v>1</v>
      </c>
      <c r="AB23" s="1812">
        <f t="shared" si="4"/>
        <v>1</v>
      </c>
      <c r="AC23" s="1812">
        <f t="shared" si="5"/>
        <v>1</v>
      </c>
    </row>
    <row r="24" spans="1:29" ht="15">
      <c r="A24" s="427"/>
      <c r="B24" s="1385"/>
      <c r="C24" s="446"/>
      <c r="D24" s="447"/>
      <c r="E24" s="2604"/>
      <c r="F24" s="448"/>
      <c r="G24" s="2603"/>
      <c r="H24" s="447"/>
      <c r="I24" s="2604"/>
      <c r="J24" s="447"/>
      <c r="K24" s="614"/>
      <c r="L24" s="1142"/>
      <c r="M24" s="1133"/>
      <c r="N24" s="1133"/>
      <c r="O24" s="1141"/>
      <c r="P24" s="3194"/>
      <c r="Q24" s="1811"/>
      <c r="R24" s="773"/>
      <c r="S24" s="774"/>
      <c r="T24" s="773"/>
      <c r="U24" s="774"/>
      <c r="V24" s="773"/>
      <c r="W24" s="774"/>
      <c r="X24" s="1814"/>
      <c r="Y24" s="3194"/>
      <c r="Z24" s="1815"/>
      <c r="AA24" s="1812">
        <v>1</v>
      </c>
      <c r="AB24" s="1812">
        <v>1</v>
      </c>
      <c r="AC24" s="1812">
        <v>1</v>
      </c>
    </row>
    <row r="25" spans="1:29" ht="15">
      <c r="A25" s="404"/>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4"/>
      <c r="Q25" s="1811">
        <f>B25</f>
        <v>111</v>
      </c>
      <c r="R25" s="773" t="s">
        <v>17</v>
      </c>
      <c r="S25" s="774">
        <f>F25</f>
        <v>100</v>
      </c>
      <c r="T25" s="773" t="s">
        <v>17</v>
      </c>
      <c r="U25" s="774">
        <f>H25</f>
        <v>100</v>
      </c>
      <c r="V25" s="773" t="s">
        <v>17</v>
      </c>
      <c r="W25" s="774">
        <f>J25</f>
        <v>100</v>
      </c>
      <c r="X25" s="1814"/>
      <c r="Y25" s="3194"/>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4"/>
      <c r="Q26" s="1811">
        <f t="shared" ref="Q26:Q40" si="8">B26</f>
        <v>111</v>
      </c>
      <c r="R26" s="773" t="s">
        <v>17</v>
      </c>
      <c r="S26" s="774">
        <f>F26</f>
        <v>100</v>
      </c>
      <c r="T26" s="773" t="s">
        <v>17</v>
      </c>
      <c r="U26" s="774">
        <f>H26</f>
        <v>100</v>
      </c>
      <c r="V26" s="773" t="s">
        <v>17</v>
      </c>
      <c r="W26" s="774">
        <f>J26</f>
        <v>100</v>
      </c>
      <c r="X26" s="1814"/>
      <c r="Y26" s="3194"/>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4"/>
      <c r="Q27" s="1796">
        <f t="shared" si="8"/>
        <v>111</v>
      </c>
      <c r="R27" s="769" t="s">
        <v>17</v>
      </c>
      <c r="S27" s="770">
        <f>F27</f>
        <v>100</v>
      </c>
      <c r="T27" s="769" t="s">
        <v>17</v>
      </c>
      <c r="U27" s="770">
        <f>H27</f>
        <v>100</v>
      </c>
      <c r="V27" s="769" t="s">
        <v>17</v>
      </c>
      <c r="W27" s="770">
        <f>J27</f>
        <v>100</v>
      </c>
      <c r="X27" s="771"/>
      <c r="Y27" s="3194"/>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4"/>
      <c r="Q28" s="1811">
        <f t="shared" si="8"/>
        <v>111</v>
      </c>
      <c r="R28" s="773" t="s">
        <v>17</v>
      </c>
      <c r="S28" s="774">
        <f t="shared" ref="S28:S40" si="9">F28</f>
        <v>100</v>
      </c>
      <c r="T28" s="773" t="s">
        <v>17</v>
      </c>
      <c r="U28" s="774">
        <f t="shared" ref="U28:U40" si="10">H28</f>
        <v>100</v>
      </c>
      <c r="V28" s="773" t="s">
        <v>17</v>
      </c>
      <c r="W28" s="774">
        <f t="shared" ref="W28:W40" si="11">J28</f>
        <v>100</v>
      </c>
      <c r="X28" s="1814"/>
      <c r="Y28" s="3194"/>
      <c r="Z28" s="1815">
        <f t="shared" ref="Z28:Z40" si="12">Q28</f>
        <v>111</v>
      </c>
      <c r="AA28" s="1812">
        <f t="shared" si="3"/>
        <v>1</v>
      </c>
      <c r="AB28" s="1812">
        <f t="shared" si="4"/>
        <v>1</v>
      </c>
      <c r="AC28" s="1812">
        <f t="shared" si="5"/>
        <v>1</v>
      </c>
    </row>
    <row r="29" spans="1:29" ht="15">
      <c r="A29" s="465" t="s">
        <v>2561</v>
      </c>
      <c r="B29" s="71" t="s">
        <v>2691</v>
      </c>
      <c r="C29" s="2678"/>
      <c r="D29" s="466">
        <v>100</v>
      </c>
      <c r="E29" s="2678"/>
      <c r="F29" s="460">
        <f>SUMIF(88:88,E29,89:89)-SUMIF(88:88,C29,89:89)+100</f>
        <v>100</v>
      </c>
      <c r="G29" s="2678"/>
      <c r="H29" s="434">
        <f>SUMIF(88:88,G29,89:89)-SUMIF(88:88,C29,89:89)+100</f>
        <v>100</v>
      </c>
      <c r="I29" s="2678"/>
      <c r="J29" s="466">
        <f>SUMIF(88:88,I29,89:89)-SUMIF(88:88,C29,89:89)+100</f>
        <v>100</v>
      </c>
      <c r="K29" s="611"/>
      <c r="L29" s="1142"/>
      <c r="M29" s="1133"/>
      <c r="N29" s="1133"/>
      <c r="O29" s="1141"/>
      <c r="P29" s="3195" t="s">
        <v>2563</v>
      </c>
      <c r="Q29" s="1811" t="str">
        <f t="shared" si="8"/>
        <v>建筑类型</v>
      </c>
      <c r="R29" s="773" t="s">
        <v>17</v>
      </c>
      <c r="S29" s="774">
        <f t="shared" si="9"/>
        <v>100</v>
      </c>
      <c r="T29" s="773" t="s">
        <v>17</v>
      </c>
      <c r="U29" s="774">
        <f t="shared" si="10"/>
        <v>100</v>
      </c>
      <c r="V29" s="773" t="s">
        <v>17</v>
      </c>
      <c r="W29" s="774">
        <f t="shared" si="11"/>
        <v>100</v>
      </c>
      <c r="X29" s="1814"/>
      <c r="Y29" s="3196" t="s">
        <v>2563</v>
      </c>
      <c r="Z29" s="1815" t="str">
        <f t="shared" si="12"/>
        <v>建筑类型</v>
      </c>
      <c r="AA29" s="1812">
        <f t="shared" si="3"/>
        <v>1</v>
      </c>
      <c r="AB29" s="1812">
        <f t="shared" si="4"/>
        <v>1</v>
      </c>
      <c r="AC29" s="1812">
        <f t="shared" si="5"/>
        <v>1</v>
      </c>
    </row>
    <row r="30" spans="1:29" s="470" customFormat="1" ht="15">
      <c r="A30" s="467"/>
      <c r="B30" s="421" t="s">
        <v>2564</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196"/>
      <c r="Q30" s="775" t="str">
        <f t="shared" si="8"/>
        <v>项目建筑规模</v>
      </c>
      <c r="R30" s="776" t="s">
        <v>17</v>
      </c>
      <c r="S30" s="777" t="e">
        <f t="shared" si="9"/>
        <v>#N/A</v>
      </c>
      <c r="T30" s="776" t="s">
        <v>17</v>
      </c>
      <c r="U30" s="777" t="e">
        <f t="shared" si="10"/>
        <v>#N/A</v>
      </c>
      <c r="V30" s="776" t="s">
        <v>17</v>
      </c>
      <c r="W30" s="777" t="e">
        <f t="shared" si="11"/>
        <v>#N/A</v>
      </c>
      <c r="X30" s="778"/>
      <c r="Y30" s="3196"/>
      <c r="Z30" s="779" t="str">
        <f t="shared" si="12"/>
        <v>项目建筑规模</v>
      </c>
      <c r="AA30" s="1812" t="e">
        <f t="shared" si="3"/>
        <v>#N/A</v>
      </c>
      <c r="AB30" s="1812" t="e">
        <f t="shared" si="4"/>
        <v>#N/A</v>
      </c>
      <c r="AC30" s="1812"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96"/>
      <c r="Q31" s="1811" t="str">
        <f t="shared" si="8"/>
        <v>建筑结构</v>
      </c>
      <c r="R31" s="773" t="s">
        <v>17</v>
      </c>
      <c r="S31" s="774">
        <f t="shared" si="9"/>
        <v>100</v>
      </c>
      <c r="T31" s="773" t="s">
        <v>17</v>
      </c>
      <c r="U31" s="774">
        <f t="shared" si="10"/>
        <v>100</v>
      </c>
      <c r="V31" s="773" t="s">
        <v>17</v>
      </c>
      <c r="W31" s="774">
        <f t="shared" si="11"/>
        <v>100</v>
      </c>
      <c r="X31" s="1814"/>
      <c r="Y31" s="3196"/>
      <c r="Z31" s="1815" t="str">
        <f t="shared" si="12"/>
        <v>建筑结构</v>
      </c>
      <c r="AA31" s="1812">
        <f t="shared" si="3"/>
        <v>1</v>
      </c>
      <c r="AB31" s="1812">
        <f t="shared" si="4"/>
        <v>1</v>
      </c>
      <c r="AC31" s="1812">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96"/>
      <c r="Q32" s="1811" t="str">
        <f t="shared" si="8"/>
        <v>公共部分装修</v>
      </c>
      <c r="R32" s="773" t="s">
        <v>17</v>
      </c>
      <c r="S32" s="774">
        <f t="shared" si="9"/>
        <v>100</v>
      </c>
      <c r="T32" s="773" t="s">
        <v>17</v>
      </c>
      <c r="U32" s="774">
        <f t="shared" si="10"/>
        <v>100</v>
      </c>
      <c r="V32" s="773" t="s">
        <v>17</v>
      </c>
      <c r="W32" s="774">
        <f t="shared" si="11"/>
        <v>100</v>
      </c>
      <c r="X32" s="1814"/>
      <c r="Y32" s="3196"/>
      <c r="Z32" s="1815" t="str">
        <f t="shared" si="12"/>
        <v>公共部分装修</v>
      </c>
      <c r="AA32" s="1812">
        <f t="shared" si="3"/>
        <v>1</v>
      </c>
      <c r="AB32" s="1812">
        <f t="shared" si="4"/>
        <v>1</v>
      </c>
      <c r="AC32" s="1812">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96"/>
      <c r="Q33" s="1811" t="str">
        <f t="shared" si="8"/>
        <v>成新度</v>
      </c>
      <c r="R33" s="773" t="s">
        <v>17</v>
      </c>
      <c r="S33" s="774" t="e">
        <f t="shared" si="9"/>
        <v>#N/A</v>
      </c>
      <c r="T33" s="773" t="s">
        <v>17</v>
      </c>
      <c r="U33" s="774" t="e">
        <f t="shared" si="10"/>
        <v>#N/A</v>
      </c>
      <c r="V33" s="773" t="s">
        <v>17</v>
      </c>
      <c r="W33" s="774" t="e">
        <f t="shared" si="11"/>
        <v>#N/A</v>
      </c>
      <c r="X33" s="1814"/>
      <c r="Y33" s="3196"/>
      <c r="Z33" s="1815" t="str">
        <f t="shared" si="12"/>
        <v>成新度</v>
      </c>
      <c r="AA33" s="1812" t="e">
        <f t="shared" si="3"/>
        <v>#N/A</v>
      </c>
      <c r="AB33" s="1812" t="e">
        <f t="shared" si="4"/>
        <v>#N/A</v>
      </c>
      <c r="AC33" s="1812" t="e">
        <f t="shared" si="5"/>
        <v>#N/A</v>
      </c>
    </row>
    <row r="34" spans="1:29" s="117" customFormat="1" ht="15">
      <c r="A34" s="472"/>
      <c r="B34" s="421" t="s">
        <v>2693</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96"/>
      <c r="Q34" s="1796" t="str">
        <f t="shared" si="8"/>
        <v>物业管理</v>
      </c>
      <c r="R34" s="769" t="s">
        <v>17</v>
      </c>
      <c r="S34" s="770">
        <f t="shared" si="9"/>
        <v>100</v>
      </c>
      <c r="T34" s="769" t="s">
        <v>17</v>
      </c>
      <c r="U34" s="770">
        <f t="shared" si="10"/>
        <v>100</v>
      </c>
      <c r="V34" s="769" t="s">
        <v>17</v>
      </c>
      <c r="W34" s="770">
        <f t="shared" si="11"/>
        <v>100</v>
      </c>
      <c r="X34" s="771"/>
      <c r="Y34" s="3196"/>
      <c r="Z34" s="55" t="str">
        <f t="shared" si="12"/>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96" t="s">
        <v>2563</v>
      </c>
      <c r="Q35" s="1811" t="str">
        <f t="shared" si="8"/>
        <v>市政基础设施</v>
      </c>
      <c r="R35" s="773" t="s">
        <v>17</v>
      </c>
      <c r="S35" s="774">
        <f t="shared" si="9"/>
        <v>100</v>
      </c>
      <c r="T35" s="773" t="s">
        <v>17</v>
      </c>
      <c r="U35" s="774">
        <f t="shared" si="10"/>
        <v>100</v>
      </c>
      <c r="V35" s="773" t="s">
        <v>17</v>
      </c>
      <c r="W35" s="774">
        <f t="shared" si="11"/>
        <v>100</v>
      </c>
      <c r="X35" s="1814"/>
      <c r="Y35" s="3196" t="s">
        <v>2563</v>
      </c>
      <c r="Z35" s="1815" t="str">
        <f t="shared" si="12"/>
        <v>市政基础设施</v>
      </c>
      <c r="AA35" s="1812">
        <f t="shared" si="3"/>
        <v>1</v>
      </c>
      <c r="AB35" s="1812">
        <f t="shared" si="4"/>
        <v>1</v>
      </c>
      <c r="AC35" s="1812">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96"/>
      <c r="Q36" s="1811" t="str">
        <f t="shared" si="8"/>
        <v>内部装修</v>
      </c>
      <c r="R36" s="773" t="s">
        <v>17</v>
      </c>
      <c r="S36" s="774">
        <f t="shared" si="9"/>
        <v>100</v>
      </c>
      <c r="T36" s="773" t="s">
        <v>17</v>
      </c>
      <c r="U36" s="774">
        <f t="shared" si="10"/>
        <v>100</v>
      </c>
      <c r="V36" s="773" t="s">
        <v>17</v>
      </c>
      <c r="W36" s="774">
        <f t="shared" si="11"/>
        <v>100</v>
      </c>
      <c r="X36" s="1814"/>
      <c r="Y36" s="3196"/>
      <c r="Z36" s="1815" t="str">
        <f t="shared" si="12"/>
        <v>内部装修</v>
      </c>
      <c r="AA36" s="1812">
        <f t="shared" si="3"/>
        <v>1</v>
      </c>
      <c r="AB36" s="1812">
        <f t="shared" si="4"/>
        <v>1</v>
      </c>
      <c r="AC36" s="1812">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96"/>
      <c r="Q37" s="1811" t="str">
        <f t="shared" si="8"/>
        <v>内部装修状况</v>
      </c>
      <c r="R37" s="773" t="s">
        <v>17</v>
      </c>
      <c r="S37" s="774">
        <f t="shared" si="9"/>
        <v>100</v>
      </c>
      <c r="T37" s="773" t="s">
        <v>17</v>
      </c>
      <c r="U37" s="774">
        <f t="shared" si="10"/>
        <v>100</v>
      </c>
      <c r="V37" s="773" t="s">
        <v>17</v>
      </c>
      <c r="W37" s="774">
        <f t="shared" si="11"/>
        <v>100</v>
      </c>
      <c r="X37" s="1814"/>
      <c r="Y37" s="3196"/>
      <c r="Z37" s="1815" t="str">
        <f t="shared" si="12"/>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96"/>
      <c r="Q38" s="775">
        <f t="shared" si="8"/>
        <v>111</v>
      </c>
      <c r="R38" s="776" t="s">
        <v>17</v>
      </c>
      <c r="S38" s="777">
        <f t="shared" si="9"/>
        <v>100</v>
      </c>
      <c r="T38" s="776" t="s">
        <v>17</v>
      </c>
      <c r="U38" s="777">
        <f t="shared" si="10"/>
        <v>100</v>
      </c>
      <c r="V38" s="776" t="s">
        <v>17</v>
      </c>
      <c r="W38" s="777">
        <f t="shared" si="11"/>
        <v>100</v>
      </c>
      <c r="X38" s="778"/>
      <c r="Y38" s="3196"/>
      <c r="Z38" s="779">
        <f t="shared" si="12"/>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96"/>
      <c r="Q39" s="1811">
        <f t="shared" si="8"/>
        <v>111</v>
      </c>
      <c r="R39" s="773" t="s">
        <v>17</v>
      </c>
      <c r="S39" s="774">
        <f t="shared" si="9"/>
        <v>100</v>
      </c>
      <c r="T39" s="773" t="s">
        <v>17</v>
      </c>
      <c r="U39" s="774">
        <f t="shared" si="10"/>
        <v>100</v>
      </c>
      <c r="V39" s="773" t="s">
        <v>17</v>
      </c>
      <c r="W39" s="774">
        <f t="shared" si="11"/>
        <v>100</v>
      </c>
      <c r="X39" s="1814"/>
      <c r="Y39" s="3196"/>
      <c r="Z39" s="1815">
        <f t="shared" si="12"/>
        <v>111</v>
      </c>
      <c r="AA39" s="1812">
        <f t="shared" si="3"/>
        <v>1</v>
      </c>
      <c r="AB39" s="1812">
        <f t="shared" si="4"/>
        <v>1</v>
      </c>
      <c r="AC39" s="1812">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9"/>
      <c r="Q40" s="1811">
        <f t="shared" si="8"/>
        <v>111</v>
      </c>
      <c r="R40" s="773" t="s">
        <v>17</v>
      </c>
      <c r="S40" s="774">
        <f t="shared" si="9"/>
        <v>100</v>
      </c>
      <c r="T40" s="773" t="s">
        <v>17</v>
      </c>
      <c r="U40" s="774">
        <f t="shared" si="10"/>
        <v>100</v>
      </c>
      <c r="V40" s="773" t="s">
        <v>17</v>
      </c>
      <c r="W40" s="774">
        <f t="shared" si="11"/>
        <v>100</v>
      </c>
      <c r="X40" s="1814"/>
      <c r="Y40" s="3239"/>
      <c r="Z40" s="1815">
        <f t="shared" si="12"/>
        <v>111</v>
      </c>
      <c r="AA40" s="1812">
        <f t="shared" si="3"/>
        <v>1</v>
      </c>
      <c r="AB40" s="1812">
        <f t="shared" si="4"/>
        <v>1</v>
      </c>
      <c r="AC40" s="1812">
        <f t="shared" si="5"/>
        <v>1</v>
      </c>
    </row>
    <row r="41" spans="1:29" ht="15">
      <c r="A41" s="478" t="s">
        <v>2575</v>
      </c>
      <c r="B41" s="479"/>
      <c r="C41" s="1408" t="s">
        <v>1</v>
      </c>
      <c r="D41" s="1409"/>
      <c r="E41" s="1410"/>
      <c r="F41" s="1411"/>
      <c r="G41" s="1412"/>
      <c r="H41" s="1413"/>
      <c r="I41" s="1410"/>
      <c r="J41" s="1413"/>
      <c r="K41" s="782"/>
      <c r="L41" s="1145"/>
      <c r="M41" s="1146"/>
      <c r="N41" s="1133"/>
      <c r="O41" s="1146"/>
      <c r="P41" s="3191" t="str">
        <f>A41</f>
        <v>成交单价（元/平方米）</v>
      </c>
      <c r="Q41" s="3191"/>
      <c r="R41" s="3230">
        <f>E41</f>
        <v>0</v>
      </c>
      <c r="S41" s="3230"/>
      <c r="T41" s="3230">
        <f>G41</f>
        <v>0</v>
      </c>
      <c r="U41" s="3230"/>
      <c r="V41" s="3230">
        <f>I41</f>
        <v>0</v>
      </c>
      <c r="W41" s="3230"/>
      <c r="X41" s="758"/>
      <c r="Y41" s="780"/>
      <c r="Z41" s="758"/>
      <c r="AA41" s="758"/>
      <c r="AB41" s="758"/>
      <c r="AC41" s="758"/>
    </row>
    <row r="42" spans="1:29" ht="15.75" thickBot="1">
      <c r="A42" s="485" t="s">
        <v>2667</v>
      </c>
      <c r="B42" s="486"/>
      <c r="C42" s="1414" t="e">
        <f>R43</f>
        <v>#DIV/0!</v>
      </c>
      <c r="D42" s="1415"/>
      <c r="E42" s="1416" t="e">
        <f>R42</f>
        <v>#DIV/0!</v>
      </c>
      <c r="F42" s="1416"/>
      <c r="G42" s="1414" t="e">
        <f>T42</f>
        <v>#DIV/0!</v>
      </c>
      <c r="H42" s="1415"/>
      <c r="I42" s="1416" t="e">
        <f>V42</f>
        <v>#DIV/0!</v>
      </c>
      <c r="J42" s="1415"/>
      <c r="K42" s="783"/>
      <c r="L42" s="1145"/>
      <c r="M42" s="1146"/>
      <c r="N42" s="1133"/>
      <c r="O42" s="1146"/>
      <c r="P42" s="3191" t="str">
        <f>A42</f>
        <v>比较价值（元/平方米）</v>
      </c>
      <c r="Q42" s="3191"/>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8"/>
      <c r="Y42" s="758"/>
      <c r="Z42" s="758"/>
      <c r="AA42" s="758"/>
      <c r="AB42" s="758"/>
      <c r="AC42" s="758"/>
    </row>
    <row r="43" spans="1:29" ht="15.75" thickBot="1">
      <c r="A43" s="491" t="s">
        <v>2668</v>
      </c>
      <c r="B43" s="492"/>
      <c r="C43" s="1418" t="e">
        <f>R43</f>
        <v>#DIV/0!</v>
      </c>
      <c r="D43" s="1418"/>
      <c r="E43" s="1418"/>
      <c r="F43" s="1418"/>
      <c r="G43" s="1418"/>
      <c r="H43" s="1418"/>
      <c r="I43" s="1418"/>
      <c r="J43" s="1418"/>
      <c r="K43" s="784"/>
      <c r="L43" s="1145"/>
      <c r="M43" s="1146"/>
      <c r="N43" s="1146"/>
      <c r="O43" s="1146"/>
      <c r="P43" s="3185" t="str">
        <f>A43</f>
        <v>估价对象XX用房的比较价值（楼面单价，元/平方米）</v>
      </c>
      <c r="Q43" s="3186"/>
      <c r="R43" s="3281" t="e">
        <f>IF(F1="售价",ROUND(AVERAGE(R42:V42),0),ROUND(AVERAGE(R42:V42),1))</f>
        <v>#DIV/0!</v>
      </c>
      <c r="S43" s="3281"/>
      <c r="T43" s="3281"/>
      <c r="U43" s="3281"/>
      <c r="V43" s="3281"/>
      <c r="W43" s="328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2"/>
      <c r="Q51" s="503"/>
    </row>
    <row r="52" spans="1:17" s="507" customFormat="1" ht="15">
      <c r="A52" s="504" t="s">
        <v>2546</v>
      </c>
      <c r="B52" s="505"/>
      <c r="C52" s="1575" t="str">
        <f>YEAR(C7)&amp;"-"&amp;MONTH(C7)</f>
        <v>2019-8</v>
      </c>
      <c r="D52" s="1576">
        <f>EDATE(C52,-1)</f>
        <v>43647</v>
      </c>
      <c r="E52" s="1576">
        <f t="shared" ref="E52:O52" si="13">EDATE(D52,-1)</f>
        <v>43617</v>
      </c>
      <c r="F52" s="1576">
        <f t="shared" si="13"/>
        <v>43586</v>
      </c>
      <c r="G52" s="1576">
        <f t="shared" si="13"/>
        <v>43556</v>
      </c>
      <c r="H52" s="1576">
        <f t="shared" si="13"/>
        <v>43525</v>
      </c>
      <c r="I52" s="1576">
        <f t="shared" si="13"/>
        <v>43497</v>
      </c>
      <c r="J52" s="1576">
        <f t="shared" si="13"/>
        <v>43466</v>
      </c>
      <c r="K52" s="1576">
        <f t="shared" si="13"/>
        <v>43435</v>
      </c>
      <c r="L52" s="1576">
        <f t="shared" si="13"/>
        <v>43405</v>
      </c>
      <c r="M52" s="1576">
        <f t="shared" si="13"/>
        <v>43374</v>
      </c>
      <c r="N52" s="1576">
        <f t="shared" si="13"/>
        <v>43344</v>
      </c>
      <c r="O52" s="1576">
        <f t="shared" si="13"/>
        <v>43313</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2583</v>
      </c>
      <c r="B54" s="515"/>
      <c r="C54" s="516"/>
      <c r="D54" s="517"/>
      <c r="E54" s="517"/>
      <c r="F54" s="517"/>
      <c r="G54" s="517"/>
      <c r="H54" s="517"/>
      <c r="I54" s="517"/>
      <c r="J54" s="517"/>
      <c r="K54" s="517"/>
      <c r="L54" s="517"/>
      <c r="M54" s="518"/>
      <c r="N54" s="517"/>
      <c r="O54" s="519"/>
      <c r="P54" s="503"/>
      <c r="Q54" s="503"/>
    </row>
    <row r="55" spans="1:17" s="117" customFormat="1" ht="15">
      <c r="A55" s="520" t="s">
        <v>2548</v>
      </c>
      <c r="B55" s="509"/>
      <c r="C55" s="521" t="s">
        <v>2650</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2586</v>
      </c>
      <c r="B57" s="527" t="s">
        <v>2552</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2556</v>
      </c>
      <c r="C61" s="546" t="str">
        <f>C62&amp;"（含）"&amp;"-"&amp;D62</f>
        <v>（含）-</v>
      </c>
      <c r="D61" s="546" t="str">
        <f t="shared" ref="D61:L61" si="14">D62&amp;"（含）"&amp;"-"&amp;E62</f>
        <v>（含）-</v>
      </c>
      <c r="E61" s="546" t="str">
        <f t="shared" si="14"/>
        <v>（含）-</v>
      </c>
      <c r="F61" s="546" t="str">
        <f t="shared" si="14"/>
        <v>（含）-</v>
      </c>
      <c r="G61" s="546" t="str">
        <f t="shared" si="14"/>
        <v>（含）-</v>
      </c>
      <c r="H61" s="546" t="str">
        <f t="shared" si="14"/>
        <v>（含）-</v>
      </c>
      <c r="I61" s="546" t="str">
        <f t="shared" si="14"/>
        <v>（含）-</v>
      </c>
      <c r="J61" s="546" t="str">
        <f t="shared" si="14"/>
        <v>（含）-</v>
      </c>
      <c r="K61" s="546" t="str">
        <f t="shared" si="14"/>
        <v>（含）-</v>
      </c>
      <c r="L61" s="546" t="str">
        <f t="shared" si="14"/>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5">C63-$K11</f>
        <v>100</v>
      </c>
      <c r="E63" s="543">
        <f t="shared" si="15"/>
        <v>100</v>
      </c>
      <c r="F63" s="543">
        <f t="shared" si="15"/>
        <v>100</v>
      </c>
      <c r="G63" s="543">
        <f t="shared" si="15"/>
        <v>100</v>
      </c>
      <c r="H63" s="543">
        <f t="shared" si="15"/>
        <v>100</v>
      </c>
      <c r="I63" s="543">
        <f t="shared" si="15"/>
        <v>100</v>
      </c>
      <c r="J63" s="543">
        <f t="shared" si="15"/>
        <v>100</v>
      </c>
      <c r="K63" s="543">
        <f t="shared" si="15"/>
        <v>100</v>
      </c>
      <c r="L63" s="543">
        <f t="shared" si="15"/>
        <v>100</v>
      </c>
      <c r="M63" s="544">
        <f t="shared" si="15"/>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2687</v>
      </c>
      <c r="C76" s="659" t="s">
        <v>2673</v>
      </c>
      <c r="D76" s="659" t="s">
        <v>2674</v>
      </c>
      <c r="E76" s="659" t="s">
        <v>2675</v>
      </c>
      <c r="F76" s="659" t="s">
        <v>2676</v>
      </c>
      <c r="G76" s="659" t="s">
        <v>2677</v>
      </c>
      <c r="H76" s="538"/>
      <c r="I76" s="538"/>
      <c r="J76" s="538"/>
      <c r="K76" s="538"/>
      <c r="L76" s="538"/>
      <c r="M76" s="1383"/>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5"/>
      <c r="B87" s="568"/>
      <c r="C87" s="569"/>
      <c r="D87" s="569"/>
      <c r="E87" s="569"/>
      <c r="F87" s="569"/>
      <c r="G87" s="590"/>
      <c r="H87" s="590"/>
      <c r="I87" s="590"/>
      <c r="J87" s="590"/>
      <c r="K87" s="590"/>
      <c r="L87" s="590"/>
      <c r="M87" s="591"/>
      <c r="N87" s="1155"/>
      <c r="O87" s="1155"/>
      <c r="P87" s="45"/>
      <c r="Q87" s="503"/>
    </row>
    <row r="88" spans="1:17">
      <c r="A88" s="526" t="s">
        <v>2561</v>
      </c>
      <c r="B88" s="527" t="s">
        <v>2610</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6">C89-$K29</f>
        <v>100</v>
      </c>
      <c r="E89" s="543">
        <f t="shared" si="16"/>
        <v>100</v>
      </c>
      <c r="F89" s="543">
        <f t="shared" si="16"/>
        <v>100</v>
      </c>
      <c r="G89" s="543">
        <f t="shared" si="16"/>
        <v>100</v>
      </c>
      <c r="H89" s="543">
        <f t="shared" si="16"/>
        <v>100</v>
      </c>
      <c r="I89" s="543">
        <f t="shared" si="16"/>
        <v>100</v>
      </c>
      <c r="J89" s="543">
        <f t="shared" si="16"/>
        <v>100</v>
      </c>
      <c r="K89" s="543">
        <f t="shared" si="16"/>
        <v>100</v>
      </c>
      <c r="L89" s="543">
        <f t="shared" si="16"/>
        <v>100</v>
      </c>
      <c r="M89" s="544">
        <f t="shared" si="16"/>
        <v>100</v>
      </c>
      <c r="N89" s="1155"/>
      <c r="O89" s="1155"/>
      <c r="P89" s="45"/>
      <c r="Q89" s="503"/>
    </row>
    <row r="90" spans="1:17" ht="15.75" thickTop="1">
      <c r="A90" s="533"/>
      <c r="B90" s="537" t="s">
        <v>2611</v>
      </c>
      <c r="C90" s="577" t="str">
        <f>C91&amp;"(含)"&amp;"-"&amp;D91</f>
        <v>(含)-</v>
      </c>
      <c r="D90" s="577" t="str">
        <f t="shared" ref="D90:L90" si="17">D91&amp;"(含)"&amp;"-"&amp;E91</f>
        <v>(含)-</v>
      </c>
      <c r="E90" s="577" t="str">
        <f t="shared" si="17"/>
        <v>(含)-</v>
      </c>
      <c r="F90" s="577" t="str">
        <f t="shared" si="17"/>
        <v>(含)-</v>
      </c>
      <c r="G90" s="577" t="str">
        <f t="shared" si="17"/>
        <v>(含)-</v>
      </c>
      <c r="H90" s="577" t="str">
        <f t="shared" si="17"/>
        <v>(含)-</v>
      </c>
      <c r="I90" s="577" t="str">
        <f t="shared" si="17"/>
        <v>(含)-</v>
      </c>
      <c r="J90" s="577" t="str">
        <f t="shared" si="17"/>
        <v>(含)-</v>
      </c>
      <c r="K90" s="577" t="str">
        <f t="shared" si="17"/>
        <v>(含)-</v>
      </c>
      <c r="L90" s="577" t="str">
        <f t="shared" si="17"/>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2612</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18">C94-$K31</f>
        <v>100</v>
      </c>
      <c r="E94" s="543">
        <f t="shared" si="18"/>
        <v>100</v>
      </c>
      <c r="F94" s="543">
        <f t="shared" si="18"/>
        <v>100</v>
      </c>
      <c r="G94" s="543">
        <f t="shared" si="18"/>
        <v>100</v>
      </c>
      <c r="H94" s="543">
        <f t="shared" si="18"/>
        <v>100</v>
      </c>
      <c r="I94" s="543">
        <f t="shared" si="18"/>
        <v>100</v>
      </c>
      <c r="J94" s="543">
        <f t="shared" si="18"/>
        <v>100</v>
      </c>
      <c r="K94" s="543">
        <f t="shared" si="18"/>
        <v>100</v>
      </c>
      <c r="L94" s="543">
        <f t="shared" si="18"/>
        <v>100</v>
      </c>
      <c r="M94" s="544">
        <f t="shared" si="18"/>
        <v>100</v>
      </c>
      <c r="N94" s="1155"/>
      <c r="O94" s="1155"/>
      <c r="P94" s="45"/>
      <c r="Q94" s="503"/>
    </row>
    <row r="95" spans="1:17" ht="15" thickTop="1">
      <c r="A95" s="598"/>
      <c r="B95" s="537" t="s">
        <v>2614</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19">C96-$K32</f>
        <v>100</v>
      </c>
      <c r="E96" s="543">
        <f t="shared" si="19"/>
        <v>100</v>
      </c>
      <c r="F96" s="543">
        <f t="shared" si="19"/>
        <v>100</v>
      </c>
      <c r="G96" s="543">
        <f t="shared" si="19"/>
        <v>100</v>
      </c>
      <c r="H96" s="543">
        <f t="shared" si="19"/>
        <v>100</v>
      </c>
      <c r="I96" s="543">
        <f t="shared" si="19"/>
        <v>100</v>
      </c>
      <c r="J96" s="543">
        <f t="shared" si="19"/>
        <v>100</v>
      </c>
      <c r="K96" s="543">
        <f t="shared" si="19"/>
        <v>100</v>
      </c>
      <c r="L96" s="543">
        <f t="shared" si="19"/>
        <v>100</v>
      </c>
      <c r="M96" s="544">
        <f t="shared" si="19"/>
        <v>100</v>
      </c>
      <c r="N96" s="1155"/>
      <c r="O96" s="1155"/>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0">D99+$K33</f>
        <v>100</v>
      </c>
      <c r="F99" s="543">
        <f t="shared" si="20"/>
        <v>100</v>
      </c>
      <c r="G99" s="543">
        <f t="shared" si="20"/>
        <v>100</v>
      </c>
      <c r="H99" s="543">
        <f t="shared" si="20"/>
        <v>100</v>
      </c>
      <c r="I99" s="543">
        <f t="shared" si="20"/>
        <v>100</v>
      </c>
      <c r="J99" s="543">
        <f t="shared" si="20"/>
        <v>100</v>
      </c>
      <c r="K99" s="543">
        <f t="shared" si="20"/>
        <v>100</v>
      </c>
      <c r="L99" s="543">
        <f t="shared" si="20"/>
        <v>100</v>
      </c>
      <c r="M99" s="543">
        <f t="shared" si="20"/>
        <v>100</v>
      </c>
      <c r="N99" s="1155"/>
      <c r="O99" s="1155"/>
      <c r="P99" s="45"/>
      <c r="Q99" s="503"/>
    </row>
    <row r="100" spans="1:17" s="470" customFormat="1" ht="15" thickTop="1">
      <c r="A100" s="592"/>
      <c r="B100" s="537" t="s">
        <v>2615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1">D101-$K34</f>
        <v>100</v>
      </c>
      <c r="F101" s="543">
        <f t="shared" si="21"/>
        <v>100</v>
      </c>
      <c r="G101" s="543">
        <f t="shared" si="21"/>
        <v>100</v>
      </c>
      <c r="H101" s="543">
        <f t="shared" si="21"/>
        <v>100</v>
      </c>
      <c r="I101" s="543">
        <f t="shared" si="21"/>
        <v>100</v>
      </c>
      <c r="J101" s="543">
        <f t="shared" si="21"/>
        <v>100</v>
      </c>
      <c r="K101" s="543">
        <f t="shared" si="21"/>
        <v>100</v>
      </c>
      <c r="L101" s="543">
        <f t="shared" si="21"/>
        <v>100</v>
      </c>
      <c r="M101" s="543">
        <f t="shared" si="21"/>
        <v>100</v>
      </c>
      <c r="N101" s="1156"/>
      <c r="O101" s="1156"/>
      <c r="P101" s="557"/>
      <c r="Q101" s="558"/>
    </row>
    <row r="102" spans="1:17" ht="15" thickTop="1">
      <c r="A102" s="598"/>
      <c r="B102" s="537" t="s">
        <v>2616</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2">C103-$K35</f>
        <v>100</v>
      </c>
      <c r="E103" s="543">
        <f t="shared" si="22"/>
        <v>100</v>
      </c>
      <c r="F103" s="543">
        <f t="shared" si="22"/>
        <v>100</v>
      </c>
      <c r="G103" s="543">
        <f t="shared" si="22"/>
        <v>100</v>
      </c>
      <c r="H103" s="543">
        <f t="shared" si="22"/>
        <v>100</v>
      </c>
      <c r="I103" s="543">
        <f t="shared" si="22"/>
        <v>100</v>
      </c>
      <c r="J103" s="543">
        <f t="shared" si="22"/>
        <v>100</v>
      </c>
      <c r="K103" s="543">
        <f t="shared" si="22"/>
        <v>100</v>
      </c>
      <c r="L103" s="543">
        <f t="shared" si="22"/>
        <v>100</v>
      </c>
      <c r="M103" s="544">
        <f t="shared" si="22"/>
        <v>100</v>
      </c>
      <c r="N103" s="1155"/>
      <c r="O103" s="1155"/>
      <c r="P103" s="45"/>
      <c r="Q103" s="503"/>
    </row>
    <row r="104" spans="1:17" ht="15" thickTop="1">
      <c r="A104" s="598"/>
      <c r="B104" s="537" t="s">
        <v>2618</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55"/>
      <c r="O106" s="1155"/>
      <c r="P106" s="636"/>
      <c r="Q106" s="637"/>
    </row>
    <row r="107" spans="1:17" ht="15.75" thickBot="1">
      <c r="A107" s="533"/>
      <c r="B107" s="542"/>
      <c r="C107" s="581">
        <v>100</v>
      </c>
      <c r="D107" s="543">
        <f t="shared" ref="D107:M107" si="23">C107-$K37</f>
        <v>100</v>
      </c>
      <c r="E107" s="543">
        <f t="shared" si="23"/>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5"/>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2705</v>
      </c>
      <c r="B1" s="1620"/>
      <c r="C1" s="1621" t="s">
        <v>2528</v>
      </c>
      <c r="D1" s="1622"/>
      <c r="E1" s="1623"/>
      <c r="F1" s="2583"/>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2327</v>
      </c>
      <c r="B2" s="1419" t="e">
        <f ca="1">IF(C2="——",IF(B37="元/平方米",ROUND(C39*D3/10000,0),ROUND(F3*C39/10000,0)),IF(B37="元/平方米",ROUND(C39*D3/10000,0),ROUND(F3*C39/10000,0))-D2)</f>
        <v>#DIV/0!</v>
      </c>
      <c r="C2" s="2585"/>
      <c r="D2" s="1126" t="e">
        <f ca="1">SUMIF(INDIRECT("'"&amp;F2&amp;"'"&amp;"!A:A"),"承租人权益价值",INDIRECT("'"&amp;F2&amp;"'"&amp;"!c:c"))</f>
        <v>#REF!</v>
      </c>
      <c r="E2" s="2586" t="s">
        <v>2328</v>
      </c>
      <c r="F2" s="2587"/>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8" customFormat="1" ht="28.5" customHeight="1" thickBot="1">
      <c r="A3" s="247" t="s">
        <v>2329</v>
      </c>
      <c r="B3" s="608"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1" t="s">
        <v>2643</v>
      </c>
      <c r="B4" s="402"/>
      <c r="C4" s="3188" t="s">
        <v>2644</v>
      </c>
      <c r="D4" s="3201"/>
      <c r="E4" s="3202" t="s">
        <v>2645</v>
      </c>
      <c r="F4" s="3203"/>
      <c r="G4" s="3188" t="s">
        <v>2646</v>
      </c>
      <c r="H4" s="3201"/>
      <c r="I4" s="3188" t="s">
        <v>2647</v>
      </c>
      <c r="J4" s="3201"/>
      <c r="K4" s="609" t="s">
        <v>2648</v>
      </c>
      <c r="L4" s="1132"/>
      <c r="M4" s="1133"/>
      <c r="N4" s="1133"/>
      <c r="O4" s="1133"/>
      <c r="P4" s="3204" t="s">
        <v>2649</v>
      </c>
      <c r="Q4" s="3205"/>
      <c r="R4" s="3210" t="s">
        <v>2645</v>
      </c>
      <c r="S4" s="3211"/>
      <c r="T4" s="3210" t="s">
        <v>2646</v>
      </c>
      <c r="U4" s="3211"/>
      <c r="V4" s="3197" t="s">
        <v>2647</v>
      </c>
      <c r="W4" s="3197"/>
      <c r="X4" s="1814"/>
      <c r="Y4" s="3210" t="s">
        <v>2649</v>
      </c>
      <c r="Z4" s="3211"/>
      <c r="AA4" s="3198" t="s">
        <v>2645</v>
      </c>
      <c r="AB4" s="3199" t="s">
        <v>2646</v>
      </c>
      <c r="AC4" s="3198" t="s">
        <v>2647</v>
      </c>
    </row>
    <row r="5" spans="1:29" ht="15">
      <c r="A5" s="404"/>
      <c r="B5" s="405"/>
      <c r="C5" s="3218" t="s">
        <v>2540</v>
      </c>
      <c r="D5" s="3219"/>
      <c r="E5" s="3225" t="s">
        <v>2541</v>
      </c>
      <c r="F5" s="3226"/>
      <c r="G5" s="3218" t="s">
        <v>2542</v>
      </c>
      <c r="H5" s="3219"/>
      <c r="I5" s="3218" t="s">
        <v>2543</v>
      </c>
      <c r="J5" s="3219"/>
      <c r="K5" s="609"/>
      <c r="L5" s="1132"/>
      <c r="M5" s="1133"/>
      <c r="N5" s="1133"/>
      <c r="O5" s="1133"/>
      <c r="P5" s="3206"/>
      <c r="Q5" s="3207"/>
      <c r="R5" s="3212"/>
      <c r="S5" s="3213"/>
      <c r="T5" s="3212"/>
      <c r="U5" s="3213"/>
      <c r="V5" s="3197"/>
      <c r="W5" s="3197"/>
      <c r="X5" s="1814"/>
      <c r="Y5" s="3212"/>
      <c r="Z5" s="3213"/>
      <c r="AA5" s="3199"/>
      <c r="AB5" s="3199"/>
      <c r="AC5" s="3199"/>
    </row>
    <row r="6" spans="1:29" ht="15.75" thickBot="1">
      <c r="A6" s="406"/>
      <c r="B6" s="407"/>
      <c r="C6" s="3216" t="s">
        <v>2544</v>
      </c>
      <c r="D6" s="3217"/>
      <c r="E6" s="3223" t="s">
        <v>2544</v>
      </c>
      <c r="F6" s="3224"/>
      <c r="G6" s="3216" t="s">
        <v>2544</v>
      </c>
      <c r="H6" s="3217"/>
      <c r="I6" s="3216" t="s">
        <v>2544</v>
      </c>
      <c r="J6" s="3217"/>
      <c r="K6" s="609" t="s">
        <v>2545</v>
      </c>
      <c r="L6" s="1132"/>
      <c r="M6" s="1133"/>
      <c r="N6" s="1133"/>
      <c r="O6" s="1133"/>
      <c r="P6" s="3208"/>
      <c r="Q6" s="3209"/>
      <c r="R6" s="3212"/>
      <c r="S6" s="3213"/>
      <c r="T6" s="3214"/>
      <c r="U6" s="3215"/>
      <c r="V6" s="3197"/>
      <c r="W6" s="3197"/>
      <c r="X6" s="1814"/>
      <c r="Y6" s="3214"/>
      <c r="Z6" s="3215"/>
      <c r="AA6" s="3200"/>
      <c r="AB6" s="3200"/>
      <c r="AC6" s="3200"/>
    </row>
    <row r="7" spans="1:29" s="117" customFormat="1" ht="15.75" thickBot="1">
      <c r="A7" s="408" t="s">
        <v>2546</v>
      </c>
      <c r="B7" s="409"/>
      <c r="C7" s="410">
        <f>'数据-取费表'!B2</f>
        <v>43692</v>
      </c>
      <c r="D7" s="411">
        <v>100</v>
      </c>
      <c r="E7" s="412"/>
      <c r="F7" s="413">
        <f>SUMIF(48:48,YEAR(E7)&amp;"-"&amp;MONTH(E7),49:49)</f>
        <v>0</v>
      </c>
      <c r="G7" s="412"/>
      <c r="H7" s="411">
        <f>SUMIF(48:48,YEAR(G7)&amp;"-"&amp;MONTH(G7),49:49)</f>
        <v>0</v>
      </c>
      <c r="I7" s="412"/>
      <c r="J7" s="411">
        <f>SUMIF(48:48,YEAR(I7)&amp;"-"&amp;MONTH(I7),49:49)</f>
        <v>0</v>
      </c>
      <c r="K7" s="610"/>
      <c r="L7" s="1134"/>
      <c r="M7" s="1135"/>
      <c r="N7" s="1135"/>
      <c r="O7" s="1135"/>
      <c r="P7" s="3220" t="s">
        <v>2547</v>
      </c>
      <c r="Q7" s="3222"/>
      <c r="R7" s="769" t="s">
        <v>17</v>
      </c>
      <c r="S7" s="770">
        <f t="shared" ref="S7:S14" si="0">F7</f>
        <v>0</v>
      </c>
      <c r="T7" s="769" t="s">
        <v>17</v>
      </c>
      <c r="U7" s="770">
        <f t="shared" ref="U7:U14" si="1">H7</f>
        <v>0</v>
      </c>
      <c r="V7" s="769" t="s">
        <v>17</v>
      </c>
      <c r="W7" s="770">
        <f t="shared" ref="W7:W14" si="2">J7</f>
        <v>0</v>
      </c>
      <c r="X7" s="771"/>
      <c r="Y7" s="3220" t="s">
        <v>2547</v>
      </c>
      <c r="Z7" s="3221"/>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0"/>
      <c r="L8" s="1134"/>
      <c r="M8" s="1135"/>
      <c r="N8" s="1135"/>
      <c r="O8" s="1135"/>
      <c r="P8" s="3220" t="s">
        <v>2550</v>
      </c>
      <c r="Q8" s="3221"/>
      <c r="R8" s="769" t="s">
        <v>17</v>
      </c>
      <c r="S8" s="770">
        <f t="shared" si="0"/>
        <v>0</v>
      </c>
      <c r="T8" s="769" t="s">
        <v>17</v>
      </c>
      <c r="U8" s="770">
        <f t="shared" si="1"/>
        <v>0</v>
      </c>
      <c r="V8" s="769" t="s">
        <v>17</v>
      </c>
      <c r="W8" s="770">
        <f t="shared" si="2"/>
        <v>0</v>
      </c>
      <c r="X8" s="771"/>
      <c r="Y8" s="3220" t="s">
        <v>2550</v>
      </c>
      <c r="Z8" s="3221"/>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0"/>
      <c r="L9" s="1134"/>
      <c r="M9" s="1135"/>
      <c r="N9" s="1135"/>
      <c r="O9" s="1135"/>
      <c r="P9" s="3191" t="s">
        <v>2553</v>
      </c>
      <c r="Q9" s="1796" t="str">
        <f t="shared" ref="Q9:Q14" si="6">B9</f>
        <v>用途</v>
      </c>
      <c r="R9" s="769" t="s">
        <v>17</v>
      </c>
      <c r="S9" s="770">
        <f t="shared" si="0"/>
        <v>100</v>
      </c>
      <c r="T9" s="769" t="s">
        <v>17</v>
      </c>
      <c r="U9" s="770">
        <f t="shared" si="1"/>
        <v>100</v>
      </c>
      <c r="V9" s="769" t="s">
        <v>17</v>
      </c>
      <c r="W9" s="770">
        <f t="shared" si="2"/>
        <v>100</v>
      </c>
      <c r="X9" s="771"/>
      <c r="Y9" s="3042" t="s">
        <v>2554</v>
      </c>
      <c r="Z9" s="55" t="str">
        <f t="shared" ref="Z9:Z14" si="7">Q9</f>
        <v>用途</v>
      </c>
      <c r="AA9" s="772">
        <f t="shared" si="3"/>
        <v>1</v>
      </c>
      <c r="AB9" s="772">
        <f t="shared" si="4"/>
        <v>1</v>
      </c>
      <c r="AC9" s="772">
        <f t="shared" si="5"/>
        <v>1</v>
      </c>
    </row>
    <row r="10" spans="1:29" s="426" customFormat="1" ht="27">
      <c r="A10" s="640"/>
      <c r="B10" s="641" t="s">
        <v>2555</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191"/>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191"/>
      <c r="Q11" s="1796">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191"/>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191"/>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01" t="s">
        <v>2557</v>
      </c>
      <c r="B14" s="628" t="s">
        <v>2707</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3" t="s">
        <v>2558</v>
      </c>
      <c r="Q14" s="1811" t="str">
        <f t="shared" si="6"/>
        <v>交通便捷度</v>
      </c>
      <c r="R14" s="773" t="s">
        <v>17</v>
      </c>
      <c r="S14" s="774">
        <f t="shared" si="0"/>
        <v>100</v>
      </c>
      <c r="T14" s="773" t="s">
        <v>17</v>
      </c>
      <c r="U14" s="774">
        <f t="shared" si="1"/>
        <v>100</v>
      </c>
      <c r="V14" s="773" t="s">
        <v>17</v>
      </c>
      <c r="W14" s="774">
        <f t="shared" si="2"/>
        <v>100</v>
      </c>
      <c r="X14" s="1814"/>
      <c r="Y14" s="3193" t="s">
        <v>2558</v>
      </c>
      <c r="Z14" s="1815" t="str">
        <f t="shared" si="7"/>
        <v>交通便捷度</v>
      </c>
      <c r="AA14" s="1812">
        <f t="shared" si="3"/>
        <v>1</v>
      </c>
      <c r="AB14" s="1812">
        <f t="shared" si="4"/>
        <v>1</v>
      </c>
      <c r="AC14" s="1812">
        <f t="shared" si="5"/>
        <v>1</v>
      </c>
    </row>
    <row r="15" spans="1:29" ht="15">
      <c r="A15" s="404"/>
      <c r="B15" s="646"/>
      <c r="C15" s="446"/>
      <c r="D15" s="447"/>
      <c r="E15" s="446"/>
      <c r="F15" s="448"/>
      <c r="G15" s="446"/>
      <c r="H15" s="449"/>
      <c r="I15" s="446"/>
      <c r="J15" s="447"/>
      <c r="K15" s="614"/>
      <c r="L15" s="1142"/>
      <c r="M15" s="1133"/>
      <c r="N15" s="1133"/>
      <c r="O15" s="1133"/>
      <c r="P15" s="3194"/>
      <c r="Q15" s="1811"/>
      <c r="R15" s="773"/>
      <c r="S15" s="774"/>
      <c r="T15" s="773"/>
      <c r="U15" s="774"/>
      <c r="V15" s="773"/>
      <c r="W15" s="774"/>
      <c r="X15" s="1814"/>
      <c r="Y15" s="3194"/>
      <c r="Z15" s="1815"/>
      <c r="AA15" s="1812">
        <v>1</v>
      </c>
      <c r="AB15" s="1812">
        <v>1</v>
      </c>
      <c r="AC15" s="1812">
        <v>1</v>
      </c>
    </row>
    <row r="16" spans="1:29" ht="42.75">
      <c r="A16" s="404"/>
      <c r="B16" s="630" t="s">
        <v>2686</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4"/>
      <c r="Q16" s="1811" t="str">
        <f>B16</f>
        <v>公共配套设施</v>
      </c>
      <c r="R16" s="773" t="s">
        <v>17</v>
      </c>
      <c r="S16" s="774">
        <f>F16</f>
        <v>100</v>
      </c>
      <c r="T16" s="773" t="s">
        <v>17</v>
      </c>
      <c r="U16" s="774">
        <f>H16</f>
        <v>100</v>
      </c>
      <c r="V16" s="773" t="s">
        <v>17</v>
      </c>
      <c r="W16" s="774">
        <f>J16</f>
        <v>100</v>
      </c>
      <c r="X16" s="1814"/>
      <c r="Y16" s="3194"/>
      <c r="Z16" s="1815" t="str">
        <f>Q16</f>
        <v>公共配套设施</v>
      </c>
      <c r="AA16" s="1812">
        <f t="shared" si="3"/>
        <v>1</v>
      </c>
      <c r="AB16" s="1812">
        <f t="shared" si="4"/>
        <v>1</v>
      </c>
      <c r="AC16" s="1812">
        <f t="shared" si="5"/>
        <v>1</v>
      </c>
    </row>
    <row r="17" spans="1:29" ht="15">
      <c r="A17" s="404"/>
      <c r="B17" s="631"/>
      <c r="C17" s="2607"/>
      <c r="D17" s="447"/>
      <c r="E17" s="446"/>
      <c r="F17" s="448"/>
      <c r="G17" s="446"/>
      <c r="H17" s="447"/>
      <c r="I17" s="446"/>
      <c r="J17" s="447"/>
      <c r="K17" s="614"/>
      <c r="L17" s="1142"/>
      <c r="M17" s="1133"/>
      <c r="N17" s="1133"/>
      <c r="O17" s="1133"/>
      <c r="P17" s="3194"/>
      <c r="Q17" s="1811"/>
      <c r="R17" s="773"/>
      <c r="S17" s="774"/>
      <c r="T17" s="773"/>
      <c r="U17" s="774"/>
      <c r="V17" s="773"/>
      <c r="W17" s="774"/>
      <c r="X17" s="1814"/>
      <c r="Y17" s="3194"/>
      <c r="Z17" s="1815"/>
      <c r="AA17" s="1812">
        <v>1</v>
      </c>
      <c r="AB17" s="1812">
        <v>1</v>
      </c>
      <c r="AC17" s="1812">
        <v>1</v>
      </c>
    </row>
    <row r="18" spans="1:29" ht="28.5">
      <c r="A18" s="404"/>
      <c r="B18" s="632" t="s">
        <v>2687</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4"/>
      <c r="Q18" s="1811" t="str">
        <f>B18</f>
        <v>基础设施水平</v>
      </c>
      <c r="R18" s="773" t="s">
        <v>17</v>
      </c>
      <c r="S18" s="774">
        <f>F18</f>
        <v>100</v>
      </c>
      <c r="T18" s="773" t="s">
        <v>17</v>
      </c>
      <c r="U18" s="774">
        <f>H18</f>
        <v>100</v>
      </c>
      <c r="V18" s="773" t="s">
        <v>17</v>
      </c>
      <c r="W18" s="774">
        <f>J18</f>
        <v>100</v>
      </c>
      <c r="X18" s="1814"/>
      <c r="Y18" s="3194"/>
      <c r="Z18" s="1815" t="str">
        <f>Q18</f>
        <v>基础设施水平</v>
      </c>
      <c r="AA18" s="1812">
        <f>D18/F18</f>
        <v>1</v>
      </c>
      <c r="AB18" s="1812">
        <f>D18/H18</f>
        <v>1</v>
      </c>
      <c r="AC18" s="1812">
        <f>D18/J18</f>
        <v>1</v>
      </c>
    </row>
    <row r="19" spans="1:29" ht="15">
      <c r="A19" s="404"/>
      <c r="B19" s="632"/>
      <c r="C19" s="2607"/>
      <c r="D19" s="449"/>
      <c r="E19" s="2607"/>
      <c r="F19" s="452"/>
      <c r="G19" s="2607"/>
      <c r="H19" s="447"/>
      <c r="I19" s="446"/>
      <c r="J19" s="447"/>
      <c r="K19" s="1384"/>
      <c r="L19" s="1142"/>
      <c r="M19" s="1133"/>
      <c r="N19" s="1133"/>
      <c r="O19" s="1133"/>
      <c r="P19" s="3194"/>
      <c r="Q19" s="1811"/>
      <c r="R19" s="773"/>
      <c r="S19" s="774"/>
      <c r="T19" s="773"/>
      <c r="U19" s="774"/>
      <c r="V19" s="773"/>
      <c r="W19" s="774"/>
      <c r="X19" s="1814"/>
      <c r="Y19" s="3194"/>
      <c r="Z19" s="1815"/>
      <c r="AA19" s="1812">
        <v>1</v>
      </c>
      <c r="AB19" s="1812">
        <v>1</v>
      </c>
      <c r="AC19" s="1812">
        <v>1</v>
      </c>
    </row>
    <row r="20" spans="1:29" ht="57">
      <c r="A20" s="404"/>
      <c r="B20" s="630" t="s">
        <v>2708</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4"/>
      <c r="Q20" s="1811" t="str">
        <f>B20</f>
        <v>自然及人文环境</v>
      </c>
      <c r="R20" s="773" t="s">
        <v>17</v>
      </c>
      <c r="S20" s="774">
        <f>F20</f>
        <v>100</v>
      </c>
      <c r="T20" s="773" t="s">
        <v>17</v>
      </c>
      <c r="U20" s="774">
        <f>H20</f>
        <v>100</v>
      </c>
      <c r="V20" s="773" t="s">
        <v>17</v>
      </c>
      <c r="W20" s="774">
        <f>J20</f>
        <v>100</v>
      </c>
      <c r="X20" s="1814"/>
      <c r="Y20" s="3194"/>
      <c r="Z20" s="1815" t="str">
        <f>Q20</f>
        <v>自然及人文环境</v>
      </c>
      <c r="AA20" s="1812">
        <f t="shared" si="3"/>
        <v>1</v>
      </c>
      <c r="AB20" s="1812">
        <f t="shared" si="4"/>
        <v>1</v>
      </c>
      <c r="AC20" s="1812">
        <f t="shared" si="5"/>
        <v>1</v>
      </c>
    </row>
    <row r="21" spans="1:29" ht="15">
      <c r="A21" s="404"/>
      <c r="B21" s="631"/>
      <c r="C21" s="446"/>
      <c r="D21" s="447"/>
      <c r="E21" s="446"/>
      <c r="F21" s="448"/>
      <c r="G21" s="446"/>
      <c r="H21" s="447"/>
      <c r="I21" s="446"/>
      <c r="J21" s="447"/>
      <c r="K21" s="614"/>
      <c r="L21" s="1142"/>
      <c r="M21" s="1133"/>
      <c r="N21" s="1133"/>
      <c r="O21" s="1133"/>
      <c r="P21" s="3194"/>
      <c r="Q21" s="1811"/>
      <c r="R21" s="773"/>
      <c r="S21" s="774"/>
      <c r="T21" s="773"/>
      <c r="U21" s="774"/>
      <c r="V21" s="773"/>
      <c r="W21" s="774"/>
      <c r="X21" s="1814"/>
      <c r="Y21" s="3194"/>
      <c r="Z21" s="1815"/>
      <c r="AA21" s="1812">
        <v>1</v>
      </c>
      <c r="AB21" s="1812">
        <v>1</v>
      </c>
      <c r="AC21" s="1812">
        <v>1</v>
      </c>
    </row>
    <row r="22" spans="1:29" ht="15">
      <c r="A22" s="404"/>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4"/>
      <c r="Q22" s="1811" t="str">
        <f>B22</f>
        <v>楼层</v>
      </c>
      <c r="R22" s="773" t="s">
        <v>17</v>
      </c>
      <c r="S22" s="774">
        <f>F22</f>
        <v>100</v>
      </c>
      <c r="T22" s="773" t="s">
        <v>17</v>
      </c>
      <c r="U22" s="774">
        <f>H22</f>
        <v>100</v>
      </c>
      <c r="V22" s="773" t="s">
        <v>17</v>
      </c>
      <c r="W22" s="774">
        <f>J22</f>
        <v>100</v>
      </c>
      <c r="X22" s="1814"/>
      <c r="Y22" s="3194"/>
      <c r="Z22" s="1815" t="str">
        <f>Q22</f>
        <v>楼层</v>
      </c>
      <c r="AA22" s="1812">
        <f t="shared" si="3"/>
        <v>1</v>
      </c>
      <c r="AB22" s="1812">
        <f t="shared" si="4"/>
        <v>1</v>
      </c>
      <c r="AC22" s="1812">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4"/>
      <c r="Q23" s="1811">
        <f>B23</f>
        <v>111</v>
      </c>
      <c r="R23" s="773" t="s">
        <v>17</v>
      </c>
      <c r="S23" s="774">
        <f>F23</f>
        <v>100</v>
      </c>
      <c r="T23" s="773" t="s">
        <v>17</v>
      </c>
      <c r="U23" s="774">
        <f>H23</f>
        <v>100</v>
      </c>
      <c r="V23" s="773" t="s">
        <v>17</v>
      </c>
      <c r="W23" s="774">
        <f>J23</f>
        <v>100</v>
      </c>
      <c r="X23" s="1814"/>
      <c r="Y23" s="3194"/>
      <c r="Z23" s="1815">
        <f>Q23</f>
        <v>111</v>
      </c>
      <c r="AA23" s="1812">
        <f t="shared" si="3"/>
        <v>1</v>
      </c>
      <c r="AB23" s="1812">
        <f t="shared" si="4"/>
        <v>1</v>
      </c>
      <c r="AC23" s="1812">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4"/>
      <c r="Q24" s="1811">
        <f t="shared" ref="Q24:Q36" si="8">B24</f>
        <v>111</v>
      </c>
      <c r="R24" s="773" t="s">
        <v>17</v>
      </c>
      <c r="S24" s="774">
        <f>F24</f>
        <v>100</v>
      </c>
      <c r="T24" s="773" t="s">
        <v>17</v>
      </c>
      <c r="U24" s="774">
        <f>H24</f>
        <v>100</v>
      </c>
      <c r="V24" s="773" t="s">
        <v>17</v>
      </c>
      <c r="W24" s="774">
        <f>J24</f>
        <v>100</v>
      </c>
      <c r="X24" s="1814"/>
      <c r="Y24" s="3194"/>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4"/>
      <c r="Q25" s="1796">
        <f t="shared" si="8"/>
        <v>111</v>
      </c>
      <c r="R25" s="769" t="s">
        <v>17</v>
      </c>
      <c r="S25" s="770">
        <f>F25</f>
        <v>100</v>
      </c>
      <c r="T25" s="769" t="s">
        <v>17</v>
      </c>
      <c r="U25" s="770">
        <f>H25</f>
        <v>100</v>
      </c>
      <c r="V25" s="769" t="s">
        <v>17</v>
      </c>
      <c r="W25" s="770">
        <f>J25</f>
        <v>100</v>
      </c>
      <c r="X25" s="771"/>
      <c r="Y25" s="3194"/>
      <c r="Z25" s="55">
        <f>Q25</f>
        <v>111</v>
      </c>
      <c r="AA25" s="1812">
        <f>D25/F25</f>
        <v>1</v>
      </c>
      <c r="AB25" s="1812">
        <f>D25/H25</f>
        <v>1</v>
      </c>
      <c r="AC25" s="1812">
        <f>D25/J25</f>
        <v>1</v>
      </c>
    </row>
    <row r="26" spans="1:29" ht="15">
      <c r="A26" s="651" t="s">
        <v>2561</v>
      </c>
      <c r="B26" s="70" t="s">
        <v>2710</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95" t="s">
        <v>2563</v>
      </c>
      <c r="Q26" s="1811" t="str">
        <f t="shared" si="8"/>
        <v>配套类型</v>
      </c>
      <c r="R26" s="773" t="s">
        <v>17</v>
      </c>
      <c r="S26" s="774">
        <f t="shared" ref="S26:S36" si="9">F26</f>
        <v>100</v>
      </c>
      <c r="T26" s="773" t="s">
        <v>17</v>
      </c>
      <c r="U26" s="774">
        <f t="shared" ref="U26:U36" si="10">H26</f>
        <v>100</v>
      </c>
      <c r="V26" s="773" t="s">
        <v>17</v>
      </c>
      <c r="W26" s="774">
        <f t="shared" ref="W26:W36" si="11">J26</f>
        <v>100</v>
      </c>
      <c r="X26" s="1814"/>
      <c r="Y26" s="3196" t="s">
        <v>2563</v>
      </c>
      <c r="Z26" s="1815" t="str">
        <f t="shared" ref="Z26:Z36" si="12">Q26</f>
        <v>配套类型</v>
      </c>
      <c r="AA26" s="1812">
        <f t="shared" si="3"/>
        <v>1</v>
      </c>
      <c r="AB26" s="1812">
        <f t="shared" si="4"/>
        <v>1</v>
      </c>
      <c r="AC26" s="1812">
        <f t="shared" si="5"/>
        <v>1</v>
      </c>
    </row>
    <row r="27" spans="1:29" s="470" customFormat="1" ht="15">
      <c r="A27" s="652"/>
      <c r="B27" s="653" t="s">
        <v>2711</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96"/>
      <c r="Q27" s="775" t="str">
        <f t="shared" si="8"/>
        <v>项目停车位配比</v>
      </c>
      <c r="R27" s="776" t="s">
        <v>17</v>
      </c>
      <c r="S27" s="777">
        <f t="shared" si="9"/>
        <v>100</v>
      </c>
      <c r="T27" s="776" t="s">
        <v>17</v>
      </c>
      <c r="U27" s="777">
        <f t="shared" si="10"/>
        <v>100</v>
      </c>
      <c r="V27" s="776" t="s">
        <v>17</v>
      </c>
      <c r="W27" s="777">
        <f t="shared" si="11"/>
        <v>100</v>
      </c>
      <c r="X27" s="778"/>
      <c r="Y27" s="3196"/>
      <c r="Z27" s="779" t="str">
        <f t="shared" si="12"/>
        <v>项目停车位配比</v>
      </c>
      <c r="AA27" s="1812">
        <f t="shared" si="3"/>
        <v>1</v>
      </c>
      <c r="AB27" s="1812">
        <f t="shared" si="4"/>
        <v>1</v>
      </c>
      <c r="AC27" s="1812">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96"/>
      <c r="Q28" s="1811" t="str">
        <f t="shared" si="8"/>
        <v>公共部分装修</v>
      </c>
      <c r="R28" s="773" t="s">
        <v>17</v>
      </c>
      <c r="S28" s="774">
        <f t="shared" si="9"/>
        <v>100</v>
      </c>
      <c r="T28" s="773" t="s">
        <v>17</v>
      </c>
      <c r="U28" s="774">
        <f t="shared" si="10"/>
        <v>100</v>
      </c>
      <c r="V28" s="773" t="s">
        <v>17</v>
      </c>
      <c r="W28" s="774">
        <f t="shared" si="11"/>
        <v>100</v>
      </c>
      <c r="X28" s="1814"/>
      <c r="Y28" s="3196"/>
      <c r="Z28" s="1815" t="str">
        <f t="shared" si="12"/>
        <v>公共部分装修</v>
      </c>
      <c r="AA28" s="1812">
        <f t="shared" si="3"/>
        <v>1</v>
      </c>
      <c r="AB28" s="1812">
        <f t="shared" si="4"/>
        <v>1</v>
      </c>
      <c r="AC28" s="1812">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96"/>
      <c r="Q29" s="1811" t="str">
        <f t="shared" si="8"/>
        <v>成新率</v>
      </c>
      <c r="R29" s="773" t="s">
        <v>17</v>
      </c>
      <c r="S29" s="774" t="e">
        <f t="shared" si="9"/>
        <v>#N/A</v>
      </c>
      <c r="T29" s="773" t="s">
        <v>17</v>
      </c>
      <c r="U29" s="774" t="e">
        <f t="shared" si="10"/>
        <v>#N/A</v>
      </c>
      <c r="V29" s="773" t="s">
        <v>17</v>
      </c>
      <c r="W29" s="774" t="e">
        <f t="shared" si="11"/>
        <v>#N/A</v>
      </c>
      <c r="X29" s="1814"/>
      <c r="Y29" s="3196"/>
      <c r="Z29" s="1815" t="str">
        <f t="shared" si="12"/>
        <v>成新率</v>
      </c>
      <c r="AA29" s="1812" t="e">
        <f t="shared" si="3"/>
        <v>#N/A</v>
      </c>
      <c r="AB29" s="1812" t="e">
        <f t="shared" si="4"/>
        <v>#N/A</v>
      </c>
      <c r="AC29" s="1812"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96"/>
      <c r="Q30" s="1811" t="str">
        <f t="shared" si="8"/>
        <v>物业等级</v>
      </c>
      <c r="R30" s="773" t="s">
        <v>17</v>
      </c>
      <c r="S30" s="774">
        <f t="shared" si="9"/>
        <v>100</v>
      </c>
      <c r="T30" s="773" t="s">
        <v>17</v>
      </c>
      <c r="U30" s="774">
        <f t="shared" si="10"/>
        <v>100</v>
      </c>
      <c r="V30" s="773" t="s">
        <v>17</v>
      </c>
      <c r="W30" s="774">
        <f t="shared" si="11"/>
        <v>100</v>
      </c>
      <c r="X30" s="1814"/>
      <c r="Y30" s="3196"/>
      <c r="Z30" s="1815" t="str">
        <f t="shared" si="12"/>
        <v>物业等级</v>
      </c>
      <c r="AA30" s="1812">
        <f t="shared" si="3"/>
        <v>1</v>
      </c>
      <c r="AB30" s="1812">
        <f t="shared" si="4"/>
        <v>1</v>
      </c>
      <c r="AC30" s="1812">
        <f t="shared" si="5"/>
        <v>1</v>
      </c>
    </row>
    <row r="31" spans="1:29" s="117" customFormat="1" ht="15">
      <c r="A31" s="657"/>
      <c r="B31" s="653" t="s">
        <v>2715</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96"/>
      <c r="Q31" s="1796" t="str">
        <f t="shared" si="8"/>
        <v>停车位面积</v>
      </c>
      <c r="R31" s="769" t="s">
        <v>17</v>
      </c>
      <c r="S31" s="770" t="e">
        <f t="shared" si="9"/>
        <v>#N/A</v>
      </c>
      <c r="T31" s="769" t="s">
        <v>17</v>
      </c>
      <c r="U31" s="770" t="e">
        <f t="shared" si="10"/>
        <v>#N/A</v>
      </c>
      <c r="V31" s="769" t="s">
        <v>17</v>
      </c>
      <c r="W31" s="770" t="e">
        <f t="shared" si="11"/>
        <v>#N/A</v>
      </c>
      <c r="X31" s="771"/>
      <c r="Y31" s="3196"/>
      <c r="Z31" s="55" t="str">
        <f t="shared" si="12"/>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96" t="s">
        <v>2563</v>
      </c>
      <c r="Q32" s="1811" t="str">
        <f t="shared" si="8"/>
        <v>车位类型</v>
      </c>
      <c r="R32" s="773" t="s">
        <v>17</v>
      </c>
      <c r="S32" s="774">
        <f t="shared" si="9"/>
        <v>100</v>
      </c>
      <c r="T32" s="773" t="s">
        <v>17</v>
      </c>
      <c r="U32" s="774">
        <f t="shared" si="10"/>
        <v>100</v>
      </c>
      <c r="V32" s="773" t="s">
        <v>17</v>
      </c>
      <c r="W32" s="774">
        <f t="shared" si="11"/>
        <v>100</v>
      </c>
      <c r="X32" s="1814"/>
      <c r="Y32" s="3196" t="s">
        <v>2563</v>
      </c>
      <c r="Z32" s="1815" t="str">
        <f t="shared" si="12"/>
        <v>车位类型</v>
      </c>
      <c r="AA32" s="1812">
        <f t="shared" si="3"/>
        <v>1</v>
      </c>
      <c r="AB32" s="1812">
        <f t="shared" si="4"/>
        <v>1</v>
      </c>
      <c r="AC32" s="1812">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96"/>
      <c r="Q33" s="1811" t="str">
        <f t="shared" si="8"/>
        <v>是否直接入户</v>
      </c>
      <c r="R33" s="773" t="s">
        <v>17</v>
      </c>
      <c r="S33" s="774">
        <f t="shared" si="9"/>
        <v>100</v>
      </c>
      <c r="T33" s="773" t="s">
        <v>17</v>
      </c>
      <c r="U33" s="774">
        <f t="shared" si="10"/>
        <v>100</v>
      </c>
      <c r="V33" s="773" t="s">
        <v>17</v>
      </c>
      <c r="W33" s="774">
        <f t="shared" si="11"/>
        <v>100</v>
      </c>
      <c r="X33" s="1814"/>
      <c r="Y33" s="3196"/>
      <c r="Z33" s="1815" t="str">
        <f t="shared" si="12"/>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96"/>
      <c r="Q34" s="1811">
        <f t="shared" si="8"/>
        <v>111</v>
      </c>
      <c r="R34" s="773" t="s">
        <v>17</v>
      </c>
      <c r="S34" s="774">
        <f t="shared" si="9"/>
        <v>100</v>
      </c>
      <c r="T34" s="773" t="s">
        <v>17</v>
      </c>
      <c r="U34" s="774">
        <f t="shared" si="10"/>
        <v>100</v>
      </c>
      <c r="V34" s="773" t="s">
        <v>17</v>
      </c>
      <c r="W34" s="774">
        <f t="shared" si="11"/>
        <v>100</v>
      </c>
      <c r="X34" s="1814"/>
      <c r="Y34" s="3196"/>
      <c r="Z34" s="1815">
        <f t="shared" si="12"/>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96"/>
      <c r="Q35" s="775">
        <f t="shared" si="8"/>
        <v>111</v>
      </c>
      <c r="R35" s="776" t="s">
        <v>17</v>
      </c>
      <c r="S35" s="777">
        <f t="shared" si="9"/>
        <v>100</v>
      </c>
      <c r="T35" s="776" t="s">
        <v>17</v>
      </c>
      <c r="U35" s="777">
        <f t="shared" si="10"/>
        <v>100</v>
      </c>
      <c r="V35" s="776" t="s">
        <v>17</v>
      </c>
      <c r="W35" s="777">
        <f t="shared" si="11"/>
        <v>100</v>
      </c>
      <c r="X35" s="778"/>
      <c r="Y35" s="3196"/>
      <c r="Z35" s="779">
        <f t="shared" si="12"/>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96"/>
      <c r="Q36" s="1811">
        <f t="shared" si="8"/>
        <v>111</v>
      </c>
      <c r="R36" s="773" t="s">
        <v>17</v>
      </c>
      <c r="S36" s="774">
        <f t="shared" si="9"/>
        <v>100</v>
      </c>
      <c r="T36" s="773" t="s">
        <v>17</v>
      </c>
      <c r="U36" s="774">
        <f t="shared" si="10"/>
        <v>100</v>
      </c>
      <c r="V36" s="773" t="s">
        <v>17</v>
      </c>
      <c r="W36" s="774">
        <f t="shared" si="11"/>
        <v>100</v>
      </c>
      <c r="X36" s="1814"/>
      <c r="Y36" s="3196"/>
      <c r="Z36" s="1815">
        <f t="shared" si="12"/>
        <v>111</v>
      </c>
      <c r="AA36" s="1812">
        <f t="shared" si="3"/>
        <v>1</v>
      </c>
      <c r="AB36" s="1812">
        <f t="shared" si="4"/>
        <v>1</v>
      </c>
      <c r="AC36" s="1812">
        <f t="shared" si="5"/>
        <v>1</v>
      </c>
    </row>
    <row r="37" spans="1:29" ht="15">
      <c r="A37" s="478" t="s">
        <v>2718</v>
      </c>
      <c r="B37" s="2694" t="s">
        <v>2719</v>
      </c>
      <c r="C37" s="1408" t="s">
        <v>1</v>
      </c>
      <c r="D37" s="1409"/>
      <c r="E37" s="1410"/>
      <c r="F37" s="1411"/>
      <c r="G37" s="1412"/>
      <c r="H37" s="1413"/>
      <c r="I37" s="1410"/>
      <c r="J37" s="1413"/>
      <c r="K37" s="618"/>
      <c r="L37" s="1145"/>
      <c r="M37" s="1146"/>
      <c r="N37" s="1133"/>
      <c r="O37" s="1146"/>
      <c r="P37" s="3191" t="str">
        <f>A37</f>
        <v>成交单价</v>
      </c>
      <c r="Q37" s="3191"/>
      <c r="R37" s="3230">
        <f>E37</f>
        <v>0</v>
      </c>
      <c r="S37" s="3230"/>
      <c r="T37" s="3230">
        <f>G37</f>
        <v>0</v>
      </c>
      <c r="U37" s="3230"/>
      <c r="V37" s="3230">
        <f>I37</f>
        <v>0</v>
      </c>
      <c r="W37" s="3230"/>
      <c r="X37" s="758"/>
      <c r="Y37" s="780"/>
      <c r="Z37" s="758"/>
      <c r="AA37" s="758"/>
      <c r="AB37" s="758"/>
      <c r="AC37" s="758"/>
    </row>
    <row r="38" spans="1:29" ht="15.75" thickBot="1">
      <c r="A38" s="485" t="s">
        <v>2720</v>
      </c>
      <c r="B38" s="486" t="str">
        <f>B37</f>
        <v>元/车位</v>
      </c>
      <c r="C38" s="1414" t="e">
        <f>R39</f>
        <v>#DIV/0!</v>
      </c>
      <c r="D38" s="1415"/>
      <c r="E38" s="1416" t="e">
        <f>R38</f>
        <v>#DIV/0!</v>
      </c>
      <c r="F38" s="1416"/>
      <c r="G38" s="1414" t="e">
        <f>T38</f>
        <v>#DIV/0!</v>
      </c>
      <c r="H38" s="1415"/>
      <c r="I38" s="1416" t="e">
        <f>V38</f>
        <v>#DIV/0!</v>
      </c>
      <c r="J38" s="1415"/>
      <c r="K38" s="619"/>
      <c r="L38" s="1145"/>
      <c r="M38" s="1146"/>
      <c r="N38" s="1146"/>
      <c r="O38" s="1146"/>
      <c r="P38" s="3191" t="str">
        <f>A38</f>
        <v>比较价值（元/平方米）</v>
      </c>
      <c r="Q38" s="3191"/>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8"/>
      <c r="Y38" s="758"/>
      <c r="Z38" s="758"/>
      <c r="AA38" s="758"/>
      <c r="AB38" s="758"/>
      <c r="AC38" s="758"/>
    </row>
    <row r="39" spans="1:29" ht="15.75" thickBot="1">
      <c r="A39" s="491" t="s">
        <v>2721</v>
      </c>
      <c r="B39" s="492"/>
      <c r="C39" s="1418" t="e">
        <f>R39</f>
        <v>#DIV/0!</v>
      </c>
      <c r="D39" s="1418"/>
      <c r="E39" s="1418"/>
      <c r="F39" s="1418"/>
      <c r="G39" s="1418"/>
      <c r="H39" s="1418"/>
      <c r="I39" s="1418"/>
      <c r="J39" s="1418"/>
      <c r="K39" s="620"/>
      <c r="L39" s="1145"/>
      <c r="M39" s="1146"/>
      <c r="N39" s="1146"/>
      <c r="O39" s="1146"/>
      <c r="P39" s="3185" t="str">
        <f>A39</f>
        <v>估价对象XX用房的比较价值（楼面单价，元/平方米）</v>
      </c>
      <c r="Q39" s="3186"/>
      <c r="R39" s="3281" t="e">
        <f>IF(F1="售价",ROUND(AVERAGE(R38:V38),0),ROUND(AVERAGE(R38:V38),1))</f>
        <v>#DIV/0!</v>
      </c>
      <c r="S39" s="3281"/>
      <c r="T39" s="3281"/>
      <c r="U39" s="3281"/>
      <c r="V39" s="3281"/>
      <c r="W39" s="328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2725</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2726</v>
      </c>
      <c r="B48" s="505"/>
      <c r="C48" s="1575" t="str">
        <f>YEAR(C7)&amp;"-"&amp;MONTH(C7)</f>
        <v>2019-8</v>
      </c>
      <c r="D48" s="1576">
        <f>EDATE(C48,-1)</f>
        <v>43647</v>
      </c>
      <c r="E48" s="1576">
        <f t="shared" ref="E48:O48" si="13">EDATE(D48,-1)</f>
        <v>43617</v>
      </c>
      <c r="F48" s="1576">
        <f t="shared" si="13"/>
        <v>43586</v>
      </c>
      <c r="G48" s="1576">
        <f t="shared" si="13"/>
        <v>43556</v>
      </c>
      <c r="H48" s="1576">
        <f t="shared" si="13"/>
        <v>43525</v>
      </c>
      <c r="I48" s="1576">
        <f t="shared" si="13"/>
        <v>43497</v>
      </c>
      <c r="J48" s="1576">
        <f t="shared" si="13"/>
        <v>43466</v>
      </c>
      <c r="K48" s="1576">
        <f t="shared" si="13"/>
        <v>43435</v>
      </c>
      <c r="L48" s="1576">
        <f t="shared" si="13"/>
        <v>43405</v>
      </c>
      <c r="M48" s="1576">
        <f t="shared" si="13"/>
        <v>43374</v>
      </c>
      <c r="N48" s="1576">
        <f t="shared" si="13"/>
        <v>43344</v>
      </c>
      <c r="O48" s="1576">
        <f t="shared" si="13"/>
        <v>43313</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2583</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2548</v>
      </c>
      <c r="B51" s="509"/>
      <c r="C51" s="521" t="s">
        <v>2650</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2586</v>
      </c>
      <c r="B53" s="527" t="s">
        <v>2552</v>
      </c>
      <c r="C53" s="528">
        <f>C9</f>
        <v>0</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2601</v>
      </c>
      <c r="C65" s="577" t="s">
        <v>2595</v>
      </c>
      <c r="D65" s="577" t="s">
        <v>2596</v>
      </c>
      <c r="E65" s="577" t="s">
        <v>2597</v>
      </c>
      <c r="F65" s="577" t="s">
        <v>2598</v>
      </c>
      <c r="G65" s="577" t="s">
        <v>2599</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2687</v>
      </c>
      <c r="C67" s="659" t="s">
        <v>2673</v>
      </c>
      <c r="D67" s="659" t="s">
        <v>2674</v>
      </c>
      <c r="E67" s="659" t="s">
        <v>2675</v>
      </c>
      <c r="F67" s="659" t="s">
        <v>2676</v>
      </c>
      <c r="G67" s="659" t="s">
        <v>2677</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2607</v>
      </c>
      <c r="C69" s="577" t="s">
        <v>2595</v>
      </c>
      <c r="D69" s="577" t="s">
        <v>2596</v>
      </c>
      <c r="E69" s="577" t="s">
        <v>2597</v>
      </c>
      <c r="F69" s="577" t="s">
        <v>2598</v>
      </c>
      <c r="G69" s="577" t="s">
        <v>2599</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2727</v>
      </c>
      <c r="C71" s="553"/>
      <c r="D71" s="553"/>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2561</v>
      </c>
      <c r="B79" s="527" t="s">
        <v>2728</v>
      </c>
      <c r="C79" s="528">
        <f>C26</f>
        <v>0</v>
      </c>
      <c r="D79" s="529"/>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4">C80-$K26</f>
        <v>100</v>
      </c>
      <c r="E80" s="543">
        <f t="shared" si="14"/>
        <v>100</v>
      </c>
      <c r="F80" s="543">
        <f t="shared" si="14"/>
        <v>100</v>
      </c>
      <c r="G80" s="543">
        <f t="shared" si="14"/>
        <v>100</v>
      </c>
      <c r="H80" s="543">
        <f t="shared" si="14"/>
        <v>100</v>
      </c>
      <c r="I80" s="543">
        <f t="shared" si="14"/>
        <v>100</v>
      </c>
      <c r="J80" s="543">
        <f t="shared" si="14"/>
        <v>100</v>
      </c>
      <c r="K80" s="543">
        <f t="shared" si="14"/>
        <v>100</v>
      </c>
      <c r="L80" s="543">
        <f t="shared" si="14"/>
        <v>100</v>
      </c>
      <c r="M80" s="544">
        <f t="shared" si="14"/>
        <v>100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2729</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2614</v>
      </c>
      <c r="C83" s="553"/>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5">C84-$K28</f>
        <v>100</v>
      </c>
      <c r="E84" s="543">
        <f t="shared" si="15"/>
        <v>100</v>
      </c>
      <c r="F84" s="543">
        <f t="shared" si="15"/>
        <v>100</v>
      </c>
      <c r="G84" s="543">
        <f t="shared" si="15"/>
        <v>100</v>
      </c>
      <c r="H84" s="543">
        <f t="shared" si="15"/>
        <v>100</v>
      </c>
      <c r="I84" s="543">
        <f t="shared" si="15"/>
        <v>100</v>
      </c>
      <c r="J84" s="543">
        <f t="shared" si="15"/>
        <v>100</v>
      </c>
      <c r="K84" s="543">
        <f t="shared" si="15"/>
        <v>100</v>
      </c>
      <c r="L84" s="543">
        <f t="shared" si="15"/>
        <v>100</v>
      </c>
      <c r="M84" s="544">
        <f t="shared" si="15"/>
        <v>100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6">D87+$K$29</f>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2731</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17">C89+$K30</f>
        <v>100</v>
      </c>
      <c r="E89" s="543">
        <f t="shared" si="17"/>
        <v>100</v>
      </c>
      <c r="F89" s="543">
        <f t="shared" si="17"/>
        <v>100</v>
      </c>
      <c r="G89" s="543">
        <f t="shared" si="17"/>
        <v>100</v>
      </c>
      <c r="H89" s="543">
        <f t="shared" si="17"/>
        <v>100</v>
      </c>
      <c r="I89" s="543">
        <f t="shared" si="17"/>
        <v>100</v>
      </c>
      <c r="J89" s="543">
        <f t="shared" si="17"/>
        <v>100</v>
      </c>
      <c r="K89" s="543">
        <f t="shared" si="17"/>
        <v>100</v>
      </c>
      <c r="L89" s="543">
        <f t="shared" si="17"/>
        <v>100</v>
      </c>
      <c r="M89" s="543">
        <f t="shared" si="17"/>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2732</v>
      </c>
      <c r="C90" s="577" t="str">
        <f>C91&amp;"(含)"&amp;"-"&amp;D91</f>
        <v>(含)-</v>
      </c>
      <c r="D90" s="577" t="str">
        <f t="shared" ref="D90:L90" si="18">D91&amp;"(含)"&amp;"-"&amp;E91</f>
        <v>(含)-</v>
      </c>
      <c r="E90" s="577" t="str">
        <f t="shared" si="18"/>
        <v>(含)-</v>
      </c>
      <c r="F90" s="577" t="str">
        <f t="shared" si="18"/>
        <v>(含)-</v>
      </c>
      <c r="G90" s="577" t="str">
        <f t="shared" si="18"/>
        <v>(含)-</v>
      </c>
      <c r="H90" s="577" t="str">
        <f t="shared" si="18"/>
        <v>(含)-</v>
      </c>
      <c r="I90" s="577" t="str">
        <f t="shared" si="18"/>
        <v>(含)-</v>
      </c>
      <c r="J90" s="577" t="str">
        <f t="shared" si="18"/>
        <v>(含)-</v>
      </c>
      <c r="K90" s="577" t="str">
        <f t="shared" si="18"/>
        <v>(含)-</v>
      </c>
      <c r="L90" s="577" t="str">
        <f t="shared" si="18"/>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2733</v>
      </c>
      <c r="C93" s="553"/>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19">C94-$K32</f>
        <v>100</v>
      </c>
      <c r="E94" s="543">
        <f t="shared" si="19"/>
        <v>100</v>
      </c>
      <c r="F94" s="543">
        <f t="shared" si="19"/>
        <v>100</v>
      </c>
      <c r="G94" s="543">
        <f t="shared" si="19"/>
        <v>100</v>
      </c>
      <c r="H94" s="543">
        <f t="shared" si="19"/>
        <v>100</v>
      </c>
      <c r="I94" s="543">
        <f t="shared" si="19"/>
        <v>100</v>
      </c>
      <c r="J94" s="543">
        <f t="shared" si="19"/>
        <v>100</v>
      </c>
      <c r="K94" s="543">
        <f t="shared" si="19"/>
        <v>100</v>
      </c>
      <c r="L94" s="543">
        <f t="shared" si="19"/>
        <v>100</v>
      </c>
      <c r="M94" s="544">
        <f t="shared" si="19"/>
        <v>100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2734</v>
      </c>
      <c r="C95" s="529"/>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2705</v>
      </c>
      <c r="B1" s="1620"/>
      <c r="C1" s="1621" t="s">
        <v>2528</v>
      </c>
      <c r="D1" s="1622"/>
      <c r="E1" s="1631"/>
      <c r="F1" s="2583"/>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2327</v>
      </c>
      <c r="B2" s="1419" t="e">
        <f ca="1">IF(C2="——",ROUND(C37*D3/10000,0),ROUND(C37*D3/10000,0)-D2)</f>
        <v>#DIV/0!</v>
      </c>
      <c r="C2" s="2585"/>
      <c r="D2" s="1126" t="e">
        <f ca="1">SUMIF(INDIRECT("'"&amp;F2&amp;"'"&amp;"!A:A"),"承租人权益价值",INDIRECT("'"&amp;F2&amp;"'"&amp;"!c:c"))</f>
        <v>#REF!</v>
      </c>
      <c r="E2" s="2586" t="s">
        <v>2328</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188" t="s">
        <v>2644</v>
      </c>
      <c r="D4" s="3201"/>
      <c r="E4" s="3202" t="s">
        <v>2645</v>
      </c>
      <c r="F4" s="3203"/>
      <c r="G4" s="3188" t="s">
        <v>2646</v>
      </c>
      <c r="H4" s="3201"/>
      <c r="I4" s="3188" t="s">
        <v>2647</v>
      </c>
      <c r="J4" s="3201"/>
      <c r="K4" s="609" t="s">
        <v>2648</v>
      </c>
      <c r="L4" s="1132"/>
      <c r="M4" s="1133"/>
      <c r="N4" s="1133"/>
      <c r="O4" s="1133"/>
      <c r="P4" s="3204" t="s">
        <v>2649</v>
      </c>
      <c r="Q4" s="3205"/>
      <c r="R4" s="3210" t="s">
        <v>2645</v>
      </c>
      <c r="S4" s="3211"/>
      <c r="T4" s="3210" t="s">
        <v>2646</v>
      </c>
      <c r="U4" s="3211"/>
      <c r="V4" s="3197" t="s">
        <v>2647</v>
      </c>
      <c r="W4" s="3197"/>
      <c r="X4" s="1814"/>
      <c r="Y4" s="3210" t="s">
        <v>2649</v>
      </c>
      <c r="Z4" s="3211"/>
      <c r="AA4" s="3198" t="s">
        <v>2645</v>
      </c>
      <c r="AB4" s="3199" t="s">
        <v>2646</v>
      </c>
      <c r="AC4" s="3198" t="s">
        <v>2647</v>
      </c>
    </row>
    <row r="5" spans="1:29" ht="15">
      <c r="A5" s="404"/>
      <c r="B5" s="405"/>
      <c r="C5" s="3218" t="s">
        <v>2540</v>
      </c>
      <c r="D5" s="3219"/>
      <c r="E5" s="3225" t="s">
        <v>2541</v>
      </c>
      <c r="F5" s="3226"/>
      <c r="G5" s="3218" t="s">
        <v>2542</v>
      </c>
      <c r="H5" s="3219"/>
      <c r="I5" s="3218" t="s">
        <v>2543</v>
      </c>
      <c r="J5" s="3219"/>
      <c r="K5" s="609"/>
      <c r="L5" s="1132"/>
      <c r="M5" s="1133"/>
      <c r="N5" s="1133"/>
      <c r="O5" s="1133"/>
      <c r="P5" s="3206"/>
      <c r="Q5" s="3207"/>
      <c r="R5" s="3212"/>
      <c r="S5" s="3213"/>
      <c r="T5" s="3212"/>
      <c r="U5" s="3213"/>
      <c r="V5" s="3197"/>
      <c r="W5" s="3197"/>
      <c r="X5" s="1814"/>
      <c r="Y5" s="3212"/>
      <c r="Z5" s="3213"/>
      <c r="AA5" s="3199"/>
      <c r="AB5" s="3199"/>
      <c r="AC5" s="3199"/>
    </row>
    <row r="6" spans="1:29" ht="15.75" thickBot="1">
      <c r="A6" s="406"/>
      <c r="B6" s="407"/>
      <c r="C6" s="3216" t="s">
        <v>2544</v>
      </c>
      <c r="D6" s="3217"/>
      <c r="E6" s="3223" t="s">
        <v>2544</v>
      </c>
      <c r="F6" s="3224"/>
      <c r="G6" s="3216" t="s">
        <v>2544</v>
      </c>
      <c r="H6" s="3217"/>
      <c r="I6" s="3216" t="s">
        <v>2544</v>
      </c>
      <c r="J6" s="3217"/>
      <c r="K6" s="609" t="s">
        <v>2545</v>
      </c>
      <c r="L6" s="1132"/>
      <c r="M6" s="1133"/>
      <c r="N6" s="1133"/>
      <c r="O6" s="1133"/>
      <c r="P6" s="3208"/>
      <c r="Q6" s="3209"/>
      <c r="R6" s="3212"/>
      <c r="S6" s="3213"/>
      <c r="T6" s="3214"/>
      <c r="U6" s="3215"/>
      <c r="V6" s="3197"/>
      <c r="W6" s="3197"/>
      <c r="X6" s="1814"/>
      <c r="Y6" s="3214"/>
      <c r="Z6" s="3215"/>
      <c r="AA6" s="3200"/>
      <c r="AB6" s="3200"/>
      <c r="AC6" s="3200"/>
    </row>
    <row r="7" spans="1:29" s="117" customFormat="1" ht="15.75" thickBot="1">
      <c r="A7" s="408" t="s">
        <v>2546</v>
      </c>
      <c r="B7" s="409"/>
      <c r="C7" s="410">
        <f>'数据-取费表'!B2</f>
        <v>43692</v>
      </c>
      <c r="D7" s="411">
        <v>100</v>
      </c>
      <c r="E7" s="412"/>
      <c r="F7" s="413">
        <f>SUMIF(46:46,YEAR(E7)&amp;"-"&amp;MONTH(E7),47:47)</f>
        <v>0</v>
      </c>
      <c r="G7" s="2695"/>
      <c r="H7" s="411">
        <f>SUMIF(46:46,YEAR(G7)&amp;"-"&amp;MONTH(G7),47:47)</f>
        <v>0</v>
      </c>
      <c r="I7" s="412"/>
      <c r="J7" s="411">
        <f>SUMIF(46:46,YEAR(I7)&amp;"-"&amp;MONTH(I7),47:47)</f>
        <v>0</v>
      </c>
      <c r="K7" s="610"/>
      <c r="L7" s="1134"/>
      <c r="M7" s="1135"/>
      <c r="N7" s="1135"/>
      <c r="O7" s="1135"/>
      <c r="P7" s="3220" t="s">
        <v>2547</v>
      </c>
      <c r="Q7" s="3222"/>
      <c r="R7" s="769" t="s">
        <v>17</v>
      </c>
      <c r="S7" s="770">
        <f t="shared" ref="S7:S14" si="0">F7</f>
        <v>0</v>
      </c>
      <c r="T7" s="769" t="s">
        <v>17</v>
      </c>
      <c r="U7" s="770">
        <f t="shared" ref="U7:U14" si="1">H7</f>
        <v>0</v>
      </c>
      <c r="V7" s="769" t="s">
        <v>17</v>
      </c>
      <c r="W7" s="770">
        <f t="shared" ref="W7:W14" si="2">J7</f>
        <v>0</v>
      </c>
      <c r="X7" s="771"/>
      <c r="Y7" s="3220" t="s">
        <v>2547</v>
      </c>
      <c r="Z7" s="3221"/>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0"/>
      <c r="L8" s="1134"/>
      <c r="M8" s="1135"/>
      <c r="N8" s="1135"/>
      <c r="O8" s="1135"/>
      <c r="P8" s="3220" t="s">
        <v>2550</v>
      </c>
      <c r="Q8" s="3221"/>
      <c r="R8" s="769" t="s">
        <v>17</v>
      </c>
      <c r="S8" s="770">
        <f t="shared" si="0"/>
        <v>0</v>
      </c>
      <c r="T8" s="769" t="s">
        <v>17</v>
      </c>
      <c r="U8" s="770">
        <f t="shared" si="1"/>
        <v>0</v>
      </c>
      <c r="V8" s="769" t="s">
        <v>17</v>
      </c>
      <c r="W8" s="770">
        <f t="shared" si="2"/>
        <v>0</v>
      </c>
      <c r="X8" s="771"/>
      <c r="Y8" s="3220" t="s">
        <v>2550</v>
      </c>
      <c r="Z8" s="3221"/>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0"/>
      <c r="L9" s="1134"/>
      <c r="M9" s="1135"/>
      <c r="N9" s="1135"/>
      <c r="O9" s="1136"/>
      <c r="P9" s="3191" t="s">
        <v>2553</v>
      </c>
      <c r="Q9" s="1796" t="str">
        <f t="shared" ref="Q9:Q14" si="6">B9</f>
        <v>用途</v>
      </c>
      <c r="R9" s="769" t="s">
        <v>17</v>
      </c>
      <c r="S9" s="770">
        <f t="shared" si="0"/>
        <v>100</v>
      </c>
      <c r="T9" s="769" t="s">
        <v>17</v>
      </c>
      <c r="U9" s="770">
        <f t="shared" si="1"/>
        <v>100</v>
      </c>
      <c r="V9" s="769" t="s">
        <v>17</v>
      </c>
      <c r="W9" s="770">
        <f t="shared" si="2"/>
        <v>100</v>
      </c>
      <c r="X9" s="771"/>
      <c r="Y9" s="3042" t="s">
        <v>2554</v>
      </c>
      <c r="Z9" s="55" t="str">
        <f t="shared" ref="Z9:Z14" si="7">Q9</f>
        <v>用途</v>
      </c>
      <c r="AA9" s="772">
        <f t="shared" si="3"/>
        <v>1</v>
      </c>
      <c r="AB9" s="772">
        <f t="shared" si="4"/>
        <v>1</v>
      </c>
      <c r="AC9" s="772">
        <f t="shared" si="5"/>
        <v>1</v>
      </c>
    </row>
    <row r="10" spans="1:29" s="426" customFormat="1" ht="27">
      <c r="A10" s="420"/>
      <c r="B10" s="421" t="s">
        <v>2555</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191"/>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2599">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191"/>
      <c r="Q11" s="1796">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191"/>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2"/>
      <c r="M13" s="1133"/>
      <c r="N13" s="1133"/>
      <c r="O13" s="1141"/>
      <c r="P13" s="3191"/>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39" t="s">
        <v>2557</v>
      </c>
      <c r="B14" s="69" t="s">
        <v>2707</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3" t="s">
        <v>2558</v>
      </c>
      <c r="Q14" s="1811" t="str">
        <f t="shared" si="6"/>
        <v>交通便捷度</v>
      </c>
      <c r="R14" s="773" t="s">
        <v>17</v>
      </c>
      <c r="S14" s="774">
        <f t="shared" si="0"/>
        <v>100</v>
      </c>
      <c r="T14" s="773" t="s">
        <v>17</v>
      </c>
      <c r="U14" s="774">
        <f t="shared" si="1"/>
        <v>100</v>
      </c>
      <c r="V14" s="773" t="s">
        <v>17</v>
      </c>
      <c r="W14" s="774">
        <f t="shared" si="2"/>
        <v>100</v>
      </c>
      <c r="X14" s="1814"/>
      <c r="Y14" s="3193" t="s">
        <v>2558</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94"/>
      <c r="Q15" s="1811"/>
      <c r="R15" s="773"/>
      <c r="S15" s="774"/>
      <c r="T15" s="773"/>
      <c r="U15" s="774"/>
      <c r="V15" s="773"/>
      <c r="W15" s="774"/>
      <c r="X15" s="1814"/>
      <c r="Y15" s="3194"/>
      <c r="Z15" s="1815"/>
      <c r="AA15" s="1812">
        <v>1</v>
      </c>
      <c r="AB15" s="1812">
        <v>1</v>
      </c>
      <c r="AC15" s="1812">
        <v>1</v>
      </c>
    </row>
    <row r="16" spans="1:29" ht="42.75">
      <c r="A16" s="427"/>
      <c r="B16" s="450" t="s">
        <v>2686</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4"/>
      <c r="Q16" s="1811" t="str">
        <f>B16</f>
        <v>公共配套设施</v>
      </c>
      <c r="R16" s="773" t="s">
        <v>17</v>
      </c>
      <c r="S16" s="774">
        <f>F16</f>
        <v>100</v>
      </c>
      <c r="T16" s="773" t="s">
        <v>17</v>
      </c>
      <c r="U16" s="774">
        <f>H16</f>
        <v>100</v>
      </c>
      <c r="V16" s="773" t="s">
        <v>17</v>
      </c>
      <c r="W16" s="774">
        <f>J16</f>
        <v>100</v>
      </c>
      <c r="X16" s="1814"/>
      <c r="Y16" s="3194"/>
      <c r="Z16" s="1815" t="str">
        <f>Q16</f>
        <v>公共配套设施</v>
      </c>
      <c r="AA16" s="1812">
        <f t="shared" si="3"/>
        <v>1</v>
      </c>
      <c r="AB16" s="1812">
        <f t="shared" si="4"/>
        <v>1</v>
      </c>
      <c r="AC16" s="1812">
        <f t="shared" si="5"/>
        <v>1</v>
      </c>
    </row>
    <row r="17" spans="1:29" ht="15">
      <c r="A17" s="427"/>
      <c r="B17" s="455"/>
      <c r="C17" s="2607"/>
      <c r="D17" s="447"/>
      <c r="E17" s="446"/>
      <c r="F17" s="448"/>
      <c r="G17" s="446"/>
      <c r="H17" s="447"/>
      <c r="I17" s="446"/>
      <c r="J17" s="447"/>
      <c r="K17" s="614"/>
      <c r="L17" s="1142"/>
      <c r="M17" s="1133"/>
      <c r="N17" s="1133"/>
      <c r="O17" s="1141"/>
      <c r="P17" s="3194"/>
      <c r="Q17" s="1811"/>
      <c r="R17" s="773"/>
      <c r="S17" s="774"/>
      <c r="T17" s="773"/>
      <c r="U17" s="774"/>
      <c r="V17" s="773"/>
      <c r="W17" s="774"/>
      <c r="X17" s="1814"/>
      <c r="Y17" s="3194"/>
      <c r="Z17" s="1815"/>
      <c r="AA17" s="1812">
        <v>1</v>
      </c>
      <c r="AB17" s="1812">
        <v>1</v>
      </c>
      <c r="AC17" s="1812">
        <v>1</v>
      </c>
    </row>
    <row r="18" spans="1:29" ht="28.5">
      <c r="A18" s="427"/>
      <c r="B18" s="1385" t="s">
        <v>2687</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4"/>
      <c r="Q18" s="1811" t="str">
        <f>B18</f>
        <v>基础设施水平</v>
      </c>
      <c r="R18" s="773" t="s">
        <v>17</v>
      </c>
      <c r="S18" s="774">
        <f>F18</f>
        <v>100</v>
      </c>
      <c r="T18" s="773" t="s">
        <v>17</v>
      </c>
      <c r="U18" s="774">
        <f>H18</f>
        <v>100</v>
      </c>
      <c r="V18" s="773" t="s">
        <v>17</v>
      </c>
      <c r="W18" s="774">
        <f>J18</f>
        <v>100</v>
      </c>
      <c r="X18" s="1814"/>
      <c r="Y18" s="3194"/>
      <c r="Z18" s="1815" t="str">
        <f>Q18</f>
        <v>基础设施水平</v>
      </c>
      <c r="AA18" s="1812">
        <f>D18/F18</f>
        <v>1</v>
      </c>
      <c r="AB18" s="1812">
        <f>D18/H18</f>
        <v>1</v>
      </c>
      <c r="AC18" s="1812">
        <f>D18/J18</f>
        <v>1</v>
      </c>
    </row>
    <row r="19" spans="1:29" ht="15">
      <c r="A19" s="427"/>
      <c r="B19" s="1385"/>
      <c r="C19" s="2607"/>
      <c r="D19" s="449"/>
      <c r="E19" s="2607"/>
      <c r="F19" s="452"/>
      <c r="G19" s="2607"/>
      <c r="H19" s="447"/>
      <c r="I19" s="446"/>
      <c r="J19" s="447"/>
      <c r="K19" s="1384"/>
      <c r="L19" s="1142"/>
      <c r="M19" s="1133"/>
      <c r="N19" s="1133"/>
      <c r="O19" s="1141"/>
      <c r="P19" s="3194"/>
      <c r="Q19" s="1811"/>
      <c r="R19" s="773"/>
      <c r="S19" s="774"/>
      <c r="T19" s="773"/>
      <c r="U19" s="774"/>
      <c r="V19" s="773"/>
      <c r="W19" s="774"/>
      <c r="X19" s="1814"/>
      <c r="Y19" s="3194"/>
      <c r="Z19" s="1815"/>
      <c r="AA19" s="1812">
        <v>1</v>
      </c>
      <c r="AB19" s="1812">
        <v>1</v>
      </c>
      <c r="AC19" s="1812">
        <v>1</v>
      </c>
    </row>
    <row r="20" spans="1:29" ht="57">
      <c r="A20" s="427"/>
      <c r="B20" s="450" t="s">
        <v>2708</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4"/>
      <c r="Q20" s="1811" t="str">
        <f>B20</f>
        <v>自然及人文环境</v>
      </c>
      <c r="R20" s="773" t="s">
        <v>17</v>
      </c>
      <c r="S20" s="774">
        <f>F20</f>
        <v>100</v>
      </c>
      <c r="T20" s="773" t="s">
        <v>17</v>
      </c>
      <c r="U20" s="774">
        <f>H20</f>
        <v>100</v>
      </c>
      <c r="V20" s="773" t="s">
        <v>17</v>
      </c>
      <c r="W20" s="774">
        <f>J20</f>
        <v>100</v>
      </c>
      <c r="X20" s="1814"/>
      <c r="Y20" s="3194"/>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94"/>
      <c r="Q21" s="1811"/>
      <c r="R21" s="773"/>
      <c r="S21" s="774"/>
      <c r="T21" s="773"/>
      <c r="U21" s="774"/>
      <c r="V21" s="773"/>
      <c r="W21" s="774"/>
      <c r="X21" s="1814"/>
      <c r="Y21" s="3194"/>
      <c r="Z21" s="1815"/>
      <c r="AA21" s="1812">
        <v>1</v>
      </c>
      <c r="AB21" s="1812">
        <v>1</v>
      </c>
      <c r="AC21" s="1812">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4"/>
      <c r="Q22" s="1811" t="str">
        <f>B22</f>
        <v>楼层</v>
      </c>
      <c r="R22" s="773" t="s">
        <v>17</v>
      </c>
      <c r="S22" s="774">
        <f>F22</f>
        <v>100</v>
      </c>
      <c r="T22" s="773" t="s">
        <v>17</v>
      </c>
      <c r="U22" s="774">
        <f>H22</f>
        <v>100</v>
      </c>
      <c r="V22" s="773" t="s">
        <v>17</v>
      </c>
      <c r="W22" s="774">
        <f>J22</f>
        <v>100</v>
      </c>
      <c r="X22" s="1814"/>
      <c r="Y22" s="3194"/>
      <c r="Z22" s="1815" t="str">
        <f>Q22</f>
        <v>楼层</v>
      </c>
      <c r="AA22" s="1812">
        <f t="shared" si="3"/>
        <v>1</v>
      </c>
      <c r="AB22" s="1812">
        <f t="shared" si="4"/>
        <v>1</v>
      </c>
      <c r="AC22" s="1812">
        <f t="shared" si="5"/>
        <v>1</v>
      </c>
    </row>
    <row r="23" spans="1:29" ht="15">
      <c r="A23" s="404"/>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4"/>
      <c r="Q23" s="1811">
        <f>B23</f>
        <v>111</v>
      </c>
      <c r="R23" s="773" t="s">
        <v>17</v>
      </c>
      <c r="S23" s="774">
        <f>F23</f>
        <v>100</v>
      </c>
      <c r="T23" s="773" t="s">
        <v>17</v>
      </c>
      <c r="U23" s="774">
        <f>H23</f>
        <v>100</v>
      </c>
      <c r="V23" s="773" t="s">
        <v>17</v>
      </c>
      <c r="W23" s="774">
        <f>J23</f>
        <v>100</v>
      </c>
      <c r="X23" s="1814"/>
      <c r="Y23" s="3194"/>
      <c r="Z23" s="1815">
        <f>Q23</f>
        <v>111</v>
      </c>
      <c r="AA23" s="1812">
        <f t="shared" si="3"/>
        <v>1</v>
      </c>
      <c r="AB23" s="1812">
        <f t="shared" si="4"/>
        <v>1</v>
      </c>
      <c r="AC23" s="1812">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4"/>
      <c r="Q24" s="1811">
        <f t="shared" ref="Q24:Q34" si="8">B24</f>
        <v>111</v>
      </c>
      <c r="R24" s="773" t="s">
        <v>17</v>
      </c>
      <c r="S24" s="774">
        <f>F24</f>
        <v>100</v>
      </c>
      <c r="T24" s="773" t="s">
        <v>17</v>
      </c>
      <c r="U24" s="774">
        <f>H24</f>
        <v>100</v>
      </c>
      <c r="V24" s="773" t="s">
        <v>17</v>
      </c>
      <c r="W24" s="774">
        <f>J24</f>
        <v>100</v>
      </c>
      <c r="X24" s="1814"/>
      <c r="Y24" s="3194"/>
      <c r="Z24" s="1815">
        <f>Q24</f>
        <v>111</v>
      </c>
      <c r="AA24" s="1812">
        <f t="shared" si="3"/>
        <v>1</v>
      </c>
      <c r="AB24" s="1812">
        <f t="shared" si="4"/>
        <v>1</v>
      </c>
      <c r="AC24" s="1812">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4"/>
      <c r="M25" s="1135"/>
      <c r="N25" s="1135"/>
      <c r="O25" s="1136"/>
      <c r="P25" s="3194"/>
      <c r="Q25" s="1796">
        <f t="shared" si="8"/>
        <v>111</v>
      </c>
      <c r="R25" s="769" t="s">
        <v>17</v>
      </c>
      <c r="S25" s="770">
        <f>F25</f>
        <v>100</v>
      </c>
      <c r="T25" s="769" t="s">
        <v>17</v>
      </c>
      <c r="U25" s="770">
        <f>H25</f>
        <v>100</v>
      </c>
      <c r="V25" s="769" t="s">
        <v>17</v>
      </c>
      <c r="W25" s="770">
        <f>J25</f>
        <v>100</v>
      </c>
      <c r="X25" s="771"/>
      <c r="Y25" s="3194"/>
      <c r="Z25" s="55">
        <f>Q25</f>
        <v>111</v>
      </c>
      <c r="AA25" s="1812">
        <f>D25/F25</f>
        <v>1</v>
      </c>
      <c r="AB25" s="1812">
        <f>D25/H25</f>
        <v>1</v>
      </c>
      <c r="AC25" s="1812">
        <f>D25/J25</f>
        <v>1</v>
      </c>
    </row>
    <row r="26" spans="1:29" ht="15">
      <c r="A26" s="465" t="s">
        <v>2561</v>
      </c>
      <c r="B26" s="71" t="s">
        <v>2712</v>
      </c>
      <c r="C26" s="2678"/>
      <c r="D26" s="466">
        <v>100</v>
      </c>
      <c r="E26" s="2678"/>
      <c r="F26" s="666">
        <f>SUMIF(77:77,E26,78:78)-SUMIF(77:77,C26,78:78)+100</f>
        <v>100</v>
      </c>
      <c r="G26" s="2678"/>
      <c r="H26" s="466">
        <f>SUMIF(77:77,G26,78:78)-SUMIF(77:77,C26,78:78)+100</f>
        <v>100</v>
      </c>
      <c r="I26" s="2678"/>
      <c r="J26" s="466">
        <f>SUMIF(77:77,I26,78:78)-SUMIF(77:77,C26,78:78)+100</f>
        <v>100</v>
      </c>
      <c r="K26" s="611"/>
      <c r="L26" s="1142"/>
      <c r="M26" s="1133"/>
      <c r="N26" s="1133"/>
      <c r="O26" s="1141"/>
      <c r="P26" s="3195" t="s">
        <v>2563</v>
      </c>
      <c r="Q26" s="1811" t="str">
        <f t="shared" si="8"/>
        <v>公共部分装修</v>
      </c>
      <c r="R26" s="773" t="s">
        <v>17</v>
      </c>
      <c r="S26" s="774">
        <f t="shared" ref="S26:S34" si="9">F26</f>
        <v>100</v>
      </c>
      <c r="T26" s="773" t="s">
        <v>17</v>
      </c>
      <c r="U26" s="774">
        <f t="shared" ref="U26:U34" si="10">H26</f>
        <v>100</v>
      </c>
      <c r="V26" s="773" t="s">
        <v>17</v>
      </c>
      <c r="W26" s="774">
        <f t="shared" ref="W26:W34" si="11">J26</f>
        <v>100</v>
      </c>
      <c r="X26" s="1814"/>
      <c r="Y26" s="3196" t="s">
        <v>2563</v>
      </c>
      <c r="Z26" s="1815" t="str">
        <f t="shared" ref="Z26:Z34" si="12">Q26</f>
        <v>公共部分装修</v>
      </c>
      <c r="AA26" s="1812">
        <f t="shared" si="3"/>
        <v>1</v>
      </c>
      <c r="AB26" s="1812">
        <f t="shared" si="4"/>
        <v>1</v>
      </c>
      <c r="AC26" s="1812">
        <f t="shared" si="5"/>
        <v>1</v>
      </c>
    </row>
    <row r="27" spans="1:29" s="470" customFormat="1" ht="15">
      <c r="A27" s="467"/>
      <c r="B27" s="421" t="s">
        <v>2713</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96"/>
      <c r="Q27" s="775" t="str">
        <f t="shared" si="8"/>
        <v>成新率</v>
      </c>
      <c r="R27" s="776" t="s">
        <v>17</v>
      </c>
      <c r="S27" s="777" t="e">
        <f t="shared" si="9"/>
        <v>#N/A</v>
      </c>
      <c r="T27" s="776" t="s">
        <v>17</v>
      </c>
      <c r="U27" s="777" t="e">
        <f t="shared" si="10"/>
        <v>#N/A</v>
      </c>
      <c r="V27" s="776" t="s">
        <v>17</v>
      </c>
      <c r="W27" s="777" t="e">
        <f t="shared" si="11"/>
        <v>#N/A</v>
      </c>
      <c r="X27" s="778"/>
      <c r="Y27" s="3196"/>
      <c r="Z27" s="779" t="str">
        <f t="shared" si="12"/>
        <v>成新率</v>
      </c>
      <c r="AA27" s="1812" t="e">
        <f t="shared" si="3"/>
        <v>#N/A</v>
      </c>
      <c r="AB27" s="1812" t="e">
        <f t="shared" si="4"/>
        <v>#N/A</v>
      </c>
      <c r="AC27" s="1812"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96"/>
      <c r="Q28" s="1811" t="str">
        <f t="shared" si="8"/>
        <v>物业等级</v>
      </c>
      <c r="R28" s="773" t="s">
        <v>17</v>
      </c>
      <c r="S28" s="774">
        <f t="shared" si="9"/>
        <v>100</v>
      </c>
      <c r="T28" s="773" t="s">
        <v>17</v>
      </c>
      <c r="U28" s="774">
        <f t="shared" si="10"/>
        <v>100</v>
      </c>
      <c r="V28" s="773" t="s">
        <v>17</v>
      </c>
      <c r="W28" s="774">
        <f t="shared" si="11"/>
        <v>100</v>
      </c>
      <c r="X28" s="1814"/>
      <c r="Y28" s="3196"/>
      <c r="Z28" s="1815" t="str">
        <f t="shared" si="12"/>
        <v>物业等级</v>
      </c>
      <c r="AA28" s="1812">
        <f t="shared" si="3"/>
        <v>1</v>
      </c>
      <c r="AB28" s="1812">
        <f t="shared" si="4"/>
        <v>1</v>
      </c>
      <c r="AC28" s="1812">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96"/>
      <c r="Q29" s="1811" t="str">
        <f t="shared" si="8"/>
        <v>有无电梯</v>
      </c>
      <c r="R29" s="773" t="s">
        <v>17</v>
      </c>
      <c r="S29" s="774">
        <f t="shared" si="9"/>
        <v>100</v>
      </c>
      <c r="T29" s="773" t="s">
        <v>17</v>
      </c>
      <c r="U29" s="774">
        <f t="shared" si="10"/>
        <v>100</v>
      </c>
      <c r="V29" s="773" t="s">
        <v>17</v>
      </c>
      <c r="W29" s="774">
        <f t="shared" si="11"/>
        <v>100</v>
      </c>
      <c r="X29" s="1814"/>
      <c r="Y29" s="3196"/>
      <c r="Z29" s="1815" t="str">
        <f t="shared" si="12"/>
        <v>有无电梯</v>
      </c>
      <c r="AA29" s="1812">
        <f t="shared" si="3"/>
        <v>1</v>
      </c>
      <c r="AB29" s="1812">
        <f t="shared" si="4"/>
        <v>1</v>
      </c>
      <c r="AC29" s="1812">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96"/>
      <c r="Q30" s="1811" t="str">
        <f t="shared" si="8"/>
        <v>建筑面积</v>
      </c>
      <c r="R30" s="773" t="s">
        <v>17</v>
      </c>
      <c r="S30" s="774" t="e">
        <f t="shared" si="9"/>
        <v>#N/A</v>
      </c>
      <c r="T30" s="773" t="s">
        <v>17</v>
      </c>
      <c r="U30" s="774" t="e">
        <f t="shared" si="10"/>
        <v>#N/A</v>
      </c>
      <c r="V30" s="773" t="s">
        <v>17</v>
      </c>
      <c r="W30" s="774" t="e">
        <f t="shared" si="11"/>
        <v>#N/A</v>
      </c>
      <c r="X30" s="1814"/>
      <c r="Y30" s="3196"/>
      <c r="Z30" s="1815" t="str">
        <f t="shared" si="12"/>
        <v>建筑面积</v>
      </c>
      <c r="AA30" s="1812" t="e">
        <f t="shared" si="3"/>
        <v>#N/A</v>
      </c>
      <c r="AB30" s="1812" t="e">
        <f t="shared" si="4"/>
        <v>#N/A</v>
      </c>
      <c r="AC30" s="1812" t="e">
        <f t="shared" si="5"/>
        <v>#N/A</v>
      </c>
    </row>
    <row r="31" spans="1:29" s="117" customFormat="1" ht="15">
      <c r="A31" s="472"/>
      <c r="B31" s="421" t="s">
        <v>2737</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96"/>
      <c r="Q31" s="1796" t="str">
        <f t="shared" si="8"/>
        <v>是否封闭</v>
      </c>
      <c r="R31" s="769" t="s">
        <v>17</v>
      </c>
      <c r="S31" s="770">
        <f t="shared" si="9"/>
        <v>100</v>
      </c>
      <c r="T31" s="769" t="s">
        <v>17</v>
      </c>
      <c r="U31" s="770">
        <f t="shared" si="10"/>
        <v>100</v>
      </c>
      <c r="V31" s="769" t="s">
        <v>17</v>
      </c>
      <c r="W31" s="770">
        <f t="shared" si="11"/>
        <v>100</v>
      </c>
      <c r="X31" s="771"/>
      <c r="Y31" s="3196"/>
      <c r="Z31" s="55" t="str">
        <f t="shared" si="12"/>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96" t="s">
        <v>2563</v>
      </c>
      <c r="Q32" s="1811">
        <f t="shared" si="8"/>
        <v>111</v>
      </c>
      <c r="R32" s="773" t="s">
        <v>17</v>
      </c>
      <c r="S32" s="774">
        <f t="shared" si="9"/>
        <v>100</v>
      </c>
      <c r="T32" s="773" t="s">
        <v>17</v>
      </c>
      <c r="U32" s="774">
        <f t="shared" si="10"/>
        <v>100</v>
      </c>
      <c r="V32" s="773" t="s">
        <v>17</v>
      </c>
      <c r="W32" s="774">
        <f t="shared" si="11"/>
        <v>100</v>
      </c>
      <c r="X32" s="1814"/>
      <c r="Y32" s="3196" t="s">
        <v>2563</v>
      </c>
      <c r="Z32" s="1815">
        <f t="shared" si="12"/>
        <v>111</v>
      </c>
      <c r="AA32" s="1812">
        <f t="shared" si="3"/>
        <v>1</v>
      </c>
      <c r="AB32" s="1812">
        <f t="shared" si="4"/>
        <v>1</v>
      </c>
      <c r="AC32" s="1812">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96"/>
      <c r="Q33" s="1811">
        <f t="shared" si="8"/>
        <v>111</v>
      </c>
      <c r="R33" s="773" t="s">
        <v>17</v>
      </c>
      <c r="S33" s="774">
        <f t="shared" si="9"/>
        <v>100</v>
      </c>
      <c r="T33" s="773" t="s">
        <v>17</v>
      </c>
      <c r="U33" s="774">
        <f t="shared" si="10"/>
        <v>100</v>
      </c>
      <c r="V33" s="773" t="s">
        <v>17</v>
      </c>
      <c r="W33" s="774">
        <f t="shared" si="11"/>
        <v>100</v>
      </c>
      <c r="X33" s="1814"/>
      <c r="Y33" s="3196"/>
      <c r="Z33" s="1815">
        <f t="shared" si="12"/>
        <v>111</v>
      </c>
      <c r="AA33" s="1812">
        <f t="shared" si="3"/>
        <v>1</v>
      </c>
      <c r="AB33" s="1812">
        <f t="shared" si="4"/>
        <v>1</v>
      </c>
      <c r="AC33" s="1812">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2"/>
      <c r="M34" s="1133"/>
      <c r="N34" s="1133"/>
      <c r="O34" s="1141"/>
      <c r="P34" s="3196"/>
      <c r="Q34" s="1811">
        <f t="shared" si="8"/>
        <v>111</v>
      </c>
      <c r="R34" s="773" t="s">
        <v>17</v>
      </c>
      <c r="S34" s="774">
        <f t="shared" si="9"/>
        <v>100</v>
      </c>
      <c r="T34" s="773" t="s">
        <v>17</v>
      </c>
      <c r="U34" s="774">
        <f t="shared" si="10"/>
        <v>100</v>
      </c>
      <c r="V34" s="773" t="s">
        <v>17</v>
      </c>
      <c r="W34" s="774">
        <f t="shared" si="11"/>
        <v>100</v>
      </c>
      <c r="X34" s="1814"/>
      <c r="Y34" s="3196"/>
      <c r="Z34" s="1815">
        <f t="shared" si="12"/>
        <v>111</v>
      </c>
      <c r="AA34" s="1812">
        <f t="shared" si="3"/>
        <v>1</v>
      </c>
      <c r="AB34" s="1812">
        <f t="shared" si="4"/>
        <v>1</v>
      </c>
      <c r="AC34" s="1812">
        <f t="shared" si="5"/>
        <v>1</v>
      </c>
    </row>
    <row r="35" spans="1:29" ht="15">
      <c r="A35" s="478" t="s">
        <v>2575</v>
      </c>
      <c r="B35" s="479"/>
      <c r="C35" s="1408" t="s">
        <v>1</v>
      </c>
      <c r="D35" s="1409"/>
      <c r="E35" s="1410"/>
      <c r="F35" s="1411"/>
      <c r="G35" s="1412"/>
      <c r="H35" s="1413"/>
      <c r="I35" s="1410"/>
      <c r="J35" s="1413"/>
      <c r="K35" s="782"/>
      <c r="L35" s="1145"/>
      <c r="M35" s="1146"/>
      <c r="N35" s="1133"/>
      <c r="O35" s="1146"/>
      <c r="P35" s="3191" t="str">
        <f>A35</f>
        <v>成交单价（元/平方米）</v>
      </c>
      <c r="Q35" s="3191"/>
      <c r="R35" s="3230">
        <f>E35</f>
        <v>0</v>
      </c>
      <c r="S35" s="3230"/>
      <c r="T35" s="3230">
        <f>G35</f>
        <v>0</v>
      </c>
      <c r="U35" s="3230"/>
      <c r="V35" s="3230">
        <f>I35</f>
        <v>0</v>
      </c>
      <c r="W35" s="3230"/>
      <c r="X35" s="758"/>
      <c r="Y35" s="780"/>
      <c r="Z35" s="758"/>
      <c r="AA35" s="758"/>
      <c r="AB35" s="758"/>
      <c r="AC35" s="758"/>
    </row>
    <row r="36" spans="1:29" ht="15.75" thickBot="1">
      <c r="A36" s="485" t="s">
        <v>2667</v>
      </c>
      <c r="B36" s="486"/>
      <c r="C36" s="1414" t="e">
        <f>R37</f>
        <v>#DIV/0!</v>
      </c>
      <c r="D36" s="1415"/>
      <c r="E36" s="1416" t="e">
        <f>R36</f>
        <v>#DIV/0!</v>
      </c>
      <c r="F36" s="1416"/>
      <c r="G36" s="1414" t="e">
        <f>T36</f>
        <v>#DIV/0!</v>
      </c>
      <c r="H36" s="1415"/>
      <c r="I36" s="1416" t="e">
        <f>V36</f>
        <v>#DIV/0!</v>
      </c>
      <c r="J36" s="1415"/>
      <c r="K36" s="783"/>
      <c r="L36" s="1145"/>
      <c r="M36" s="1146"/>
      <c r="N36" s="1133"/>
      <c r="O36" s="1146"/>
      <c r="P36" s="3191" t="str">
        <f>A36</f>
        <v>比较价值（元/平方米）</v>
      </c>
      <c r="Q36" s="3191"/>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8"/>
      <c r="Y36" s="758"/>
      <c r="Z36" s="758"/>
      <c r="AA36" s="758"/>
      <c r="AB36" s="758"/>
      <c r="AC36" s="758"/>
    </row>
    <row r="37" spans="1:29" ht="15.75" thickBot="1">
      <c r="A37" s="491" t="s">
        <v>2668</v>
      </c>
      <c r="B37" s="492"/>
      <c r="C37" s="1418" t="e">
        <f>R37</f>
        <v>#DIV/0!</v>
      </c>
      <c r="D37" s="1418"/>
      <c r="E37" s="1418"/>
      <c r="F37" s="1418"/>
      <c r="G37" s="1418"/>
      <c r="H37" s="1418"/>
      <c r="I37" s="1418"/>
      <c r="J37" s="1418"/>
      <c r="K37" s="784"/>
      <c r="L37" s="1145"/>
      <c r="M37" s="1146"/>
      <c r="N37" s="1146"/>
      <c r="O37" s="1146"/>
      <c r="P37" s="3185" t="str">
        <f>A37</f>
        <v>估价对象XX用房的比较价值（楼面单价，元/平方米）</v>
      </c>
      <c r="Q37" s="3186"/>
      <c r="R37" s="3281" t="e">
        <f>IF(F1="售价",ROUND(AVERAGE(R36:V36),0),ROUND(AVERAGE(R36:V36),1))</f>
        <v>#DIV/0!</v>
      </c>
      <c r="S37" s="3281"/>
      <c r="T37" s="3281"/>
      <c r="U37" s="3281"/>
      <c r="V37" s="3281"/>
      <c r="W37" s="328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2"/>
      <c r="Q45" s="503"/>
    </row>
    <row r="46" spans="1:29" s="507" customFormat="1" ht="15">
      <c r="A46" s="504" t="s">
        <v>2546</v>
      </c>
      <c r="B46" s="505"/>
      <c r="C46" s="1575" t="str">
        <f>YEAR(C7)&amp;"-"&amp;MONTH(C7)</f>
        <v>2019-8</v>
      </c>
      <c r="D46" s="1576">
        <f>EDATE(C46,-1)</f>
        <v>43647</v>
      </c>
      <c r="E46" s="1576">
        <f t="shared" ref="E46:O46" si="13">EDATE(D46,-1)</f>
        <v>43617</v>
      </c>
      <c r="F46" s="1576">
        <f t="shared" si="13"/>
        <v>43586</v>
      </c>
      <c r="G46" s="1576">
        <f t="shared" si="13"/>
        <v>43556</v>
      </c>
      <c r="H46" s="1576">
        <f t="shared" si="13"/>
        <v>43525</v>
      </c>
      <c r="I46" s="1576">
        <f t="shared" si="13"/>
        <v>43497</v>
      </c>
      <c r="J46" s="1576">
        <f t="shared" si="13"/>
        <v>43466</v>
      </c>
      <c r="K46" s="1576">
        <f t="shared" si="13"/>
        <v>43435</v>
      </c>
      <c r="L46" s="1576">
        <f t="shared" si="13"/>
        <v>43405</v>
      </c>
      <c r="M46" s="1576">
        <f t="shared" si="13"/>
        <v>43374</v>
      </c>
      <c r="N46" s="1576">
        <f t="shared" si="13"/>
        <v>43344</v>
      </c>
      <c r="O46" s="1576">
        <f t="shared" si="13"/>
        <v>43313</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2583</v>
      </c>
      <c r="B48" s="515"/>
      <c r="C48" s="516"/>
      <c r="D48" s="517"/>
      <c r="E48" s="517"/>
      <c r="F48" s="517"/>
      <c r="G48" s="517"/>
      <c r="H48" s="517"/>
      <c r="I48" s="517"/>
      <c r="J48" s="517"/>
      <c r="K48" s="517"/>
      <c r="L48" s="517"/>
      <c r="M48" s="518"/>
      <c r="N48" s="517"/>
      <c r="O48" s="519"/>
      <c r="P48" s="503"/>
      <c r="Q48" s="503"/>
    </row>
    <row r="49" spans="1:17" s="117" customFormat="1" ht="15">
      <c r="A49" s="520" t="s">
        <v>2548</v>
      </c>
      <c r="B49" s="509"/>
      <c r="C49" s="521" t="s">
        <v>2650</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2586</v>
      </c>
      <c r="B51" s="527" t="s">
        <v>2552</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2687</v>
      </c>
      <c r="C65" s="659" t="s">
        <v>2673</v>
      </c>
      <c r="D65" s="659" t="s">
        <v>2674</v>
      </c>
      <c r="E65" s="659" t="s">
        <v>2675</v>
      </c>
      <c r="F65" s="659" t="s">
        <v>2676</v>
      </c>
      <c r="G65" s="659" t="s">
        <v>2677</v>
      </c>
      <c r="H65" s="538"/>
      <c r="I65" s="538"/>
      <c r="J65" s="538"/>
      <c r="K65" s="538"/>
      <c r="L65" s="538"/>
      <c r="M65" s="1383"/>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2727</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2561</v>
      </c>
      <c r="B77" s="527" t="s">
        <v>2614</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4">C78-$K26</f>
        <v>100</v>
      </c>
      <c r="E78" s="543">
        <f t="shared" si="14"/>
        <v>100</v>
      </c>
      <c r="F78" s="543">
        <f t="shared" si="14"/>
        <v>100</v>
      </c>
      <c r="G78" s="543">
        <f t="shared" si="14"/>
        <v>100</v>
      </c>
      <c r="H78" s="543">
        <f t="shared" si="14"/>
        <v>100</v>
      </c>
      <c r="I78" s="543">
        <f t="shared" si="14"/>
        <v>100</v>
      </c>
      <c r="J78" s="543">
        <f t="shared" si="14"/>
        <v>100</v>
      </c>
      <c r="K78" s="543">
        <f t="shared" si="14"/>
        <v>100</v>
      </c>
      <c r="L78" s="543">
        <f t="shared" si="14"/>
        <v>100</v>
      </c>
      <c r="M78" s="544">
        <f t="shared" si="14"/>
        <v>100</v>
      </c>
      <c r="N78" s="1155"/>
      <c r="O78" s="1155"/>
      <c r="P78" s="45"/>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5">C81+$K27</f>
        <v>100</v>
      </c>
      <c r="E81" s="543">
        <f t="shared" si="15"/>
        <v>100</v>
      </c>
      <c r="F81" s="543">
        <f t="shared" si="15"/>
        <v>100</v>
      </c>
      <c r="G81" s="543">
        <f t="shared" si="15"/>
        <v>100</v>
      </c>
      <c r="H81" s="543">
        <f t="shared" si="15"/>
        <v>100</v>
      </c>
      <c r="I81" s="543">
        <f t="shared" si="15"/>
        <v>100</v>
      </c>
      <c r="J81" s="543">
        <f t="shared" si="15"/>
        <v>100</v>
      </c>
      <c r="K81" s="543">
        <f t="shared" si="15"/>
        <v>100</v>
      </c>
      <c r="L81" s="543">
        <f t="shared" si="15"/>
        <v>100</v>
      </c>
      <c r="M81" s="543">
        <f t="shared" si="15"/>
        <v>100</v>
      </c>
      <c r="N81" s="1155"/>
      <c r="O81" s="1155"/>
      <c r="P81" s="557"/>
      <c r="Q81" s="558"/>
    </row>
    <row r="82" spans="1:17" ht="15" thickTop="1">
      <c r="A82" s="598"/>
      <c r="B82" s="545" t="s">
        <v>2731</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6">C83-$K28</f>
        <v>100</v>
      </c>
      <c r="E83" s="543">
        <f t="shared" si="16"/>
        <v>100</v>
      </c>
      <c r="F83" s="543">
        <f t="shared" si="16"/>
        <v>100</v>
      </c>
      <c r="G83" s="543">
        <f t="shared" si="16"/>
        <v>100</v>
      </c>
      <c r="H83" s="543">
        <f t="shared" si="16"/>
        <v>100</v>
      </c>
      <c r="I83" s="543">
        <f t="shared" si="16"/>
        <v>100</v>
      </c>
      <c r="J83" s="543">
        <f t="shared" si="16"/>
        <v>100</v>
      </c>
      <c r="K83" s="543">
        <f t="shared" si="16"/>
        <v>100</v>
      </c>
      <c r="L83" s="543">
        <f t="shared" si="16"/>
        <v>100</v>
      </c>
      <c r="M83" s="544">
        <f t="shared" si="16"/>
        <v>100</v>
      </c>
      <c r="N83" s="1155"/>
      <c r="O83" s="1155"/>
      <c r="P83" s="45"/>
      <c r="Q83" s="503"/>
    </row>
    <row r="84" spans="1:17" ht="15" thickTop="1">
      <c r="A84" s="598"/>
      <c r="B84" s="537" t="s">
        <v>2739</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17">C85+$K29</f>
        <v>100</v>
      </c>
      <c r="E85" s="543">
        <f t="shared" si="17"/>
        <v>100</v>
      </c>
      <c r="F85" s="543">
        <f t="shared" si="17"/>
        <v>100</v>
      </c>
      <c r="G85" s="543">
        <f t="shared" si="17"/>
        <v>100</v>
      </c>
      <c r="H85" s="543">
        <f t="shared" si="17"/>
        <v>100</v>
      </c>
      <c r="I85" s="543">
        <f t="shared" si="17"/>
        <v>100</v>
      </c>
      <c r="J85" s="543">
        <f t="shared" si="17"/>
        <v>100</v>
      </c>
      <c r="K85" s="543">
        <f t="shared" si="17"/>
        <v>100</v>
      </c>
      <c r="L85" s="543">
        <f t="shared" si="17"/>
        <v>100</v>
      </c>
      <c r="M85" s="543">
        <f t="shared" si="17"/>
        <v>100</v>
      </c>
      <c r="N85" s="1155"/>
      <c r="O85" s="1155"/>
      <c r="P85" s="45"/>
      <c r="Q85" s="503"/>
    </row>
    <row r="86" spans="1:17" ht="15" thickTop="1">
      <c r="A86" s="598"/>
      <c r="B86" s="545" t="s">
        <v>2740</v>
      </c>
      <c r="C86" s="577" t="str">
        <f t="shared" ref="C86:L86" si="18">C87&amp;"(含)"&amp;"-"&amp;D87</f>
        <v>(含)-</v>
      </c>
      <c r="D86" s="577" t="str">
        <f t="shared" si="18"/>
        <v>(含)-</v>
      </c>
      <c r="E86" s="577" t="str">
        <f t="shared" si="18"/>
        <v>(含)-</v>
      </c>
      <c r="F86" s="577" t="str">
        <f t="shared" si="18"/>
        <v>(含)-</v>
      </c>
      <c r="G86" s="577" t="str">
        <f t="shared" si="18"/>
        <v>(含)-</v>
      </c>
      <c r="H86" s="577" t="str">
        <f t="shared" si="18"/>
        <v>(含)-</v>
      </c>
      <c r="I86" s="577" t="str">
        <f t="shared" si="18"/>
        <v>(含)-</v>
      </c>
      <c r="J86" s="577" t="str">
        <f t="shared" si="18"/>
        <v>(含)-</v>
      </c>
      <c r="K86" s="577" t="str">
        <f t="shared" si="18"/>
        <v>(含)-</v>
      </c>
      <c r="L86" s="577" t="str">
        <f t="shared" si="18"/>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2329</v>
      </c>
      <c r="B3" s="608" t="e">
        <f>ROUND(IF(D3="",B2*10000/'数据-汇总表'!E3,B2*10000/D3),0)</f>
        <v>#DIV/0!</v>
      </c>
      <c r="C3" s="247" t="s">
        <v>2744</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188" t="s">
        <v>2644</v>
      </c>
      <c r="D4" s="3201"/>
      <c r="E4" s="3202" t="s">
        <v>2645</v>
      </c>
      <c r="F4" s="3203"/>
      <c r="G4" s="3188" t="s">
        <v>2646</v>
      </c>
      <c r="H4" s="3201"/>
      <c r="I4" s="3188" t="s">
        <v>2647</v>
      </c>
      <c r="J4" s="3201"/>
      <c r="K4" s="609" t="s">
        <v>2648</v>
      </c>
      <c r="L4" s="1132"/>
      <c r="M4" s="1133"/>
      <c r="N4" s="1133"/>
      <c r="O4" s="1133"/>
      <c r="P4" s="3204" t="s">
        <v>2649</v>
      </c>
      <c r="Q4" s="3205"/>
      <c r="R4" s="3210" t="s">
        <v>2645</v>
      </c>
      <c r="S4" s="3211"/>
      <c r="T4" s="3210" t="s">
        <v>2646</v>
      </c>
      <c r="U4" s="3211"/>
      <c r="V4" s="3197" t="s">
        <v>2647</v>
      </c>
      <c r="W4" s="3197"/>
      <c r="X4" s="1814"/>
      <c r="Y4" s="3210" t="s">
        <v>2649</v>
      </c>
      <c r="Z4" s="3211"/>
      <c r="AA4" s="3198" t="s">
        <v>2645</v>
      </c>
      <c r="AB4" s="3199" t="s">
        <v>2646</v>
      </c>
      <c r="AC4" s="3198" t="s">
        <v>2647</v>
      </c>
    </row>
    <row r="5" spans="1:29" ht="15">
      <c r="A5" s="404"/>
      <c r="B5" s="405"/>
      <c r="C5" s="3218" t="s">
        <v>2540</v>
      </c>
      <c r="D5" s="3219"/>
      <c r="E5" s="3225" t="s">
        <v>2541</v>
      </c>
      <c r="F5" s="3226"/>
      <c r="G5" s="3218" t="s">
        <v>2542</v>
      </c>
      <c r="H5" s="3219"/>
      <c r="I5" s="3218" t="s">
        <v>2543</v>
      </c>
      <c r="J5" s="3219"/>
      <c r="K5" s="609"/>
      <c r="L5" s="1132"/>
      <c r="M5" s="1133"/>
      <c r="N5" s="1133"/>
      <c r="O5" s="1133"/>
      <c r="P5" s="3206"/>
      <c r="Q5" s="3207"/>
      <c r="R5" s="3212"/>
      <c r="S5" s="3213"/>
      <c r="T5" s="3212"/>
      <c r="U5" s="3213"/>
      <c r="V5" s="3197"/>
      <c r="W5" s="3197"/>
      <c r="X5" s="1814"/>
      <c r="Y5" s="3212"/>
      <c r="Z5" s="3213"/>
      <c r="AA5" s="3199"/>
      <c r="AB5" s="3199"/>
      <c r="AC5" s="3199"/>
    </row>
    <row r="6" spans="1:29" ht="15.75" thickBot="1">
      <c r="A6" s="406"/>
      <c r="B6" s="407"/>
      <c r="C6" s="3282" t="s">
        <v>2794</v>
      </c>
      <c r="D6" s="3283"/>
      <c r="E6" s="3284" t="s">
        <v>2794</v>
      </c>
      <c r="F6" s="3285"/>
      <c r="G6" s="3282" t="s">
        <v>2794</v>
      </c>
      <c r="H6" s="3283"/>
      <c r="I6" s="3282" t="s">
        <v>2794</v>
      </c>
      <c r="J6" s="3283"/>
      <c r="K6" s="609" t="s">
        <v>2545</v>
      </c>
      <c r="L6" s="1132"/>
      <c r="M6" s="1133"/>
      <c r="N6" s="1133"/>
      <c r="O6" s="1133"/>
      <c r="P6" s="3208"/>
      <c r="Q6" s="3209"/>
      <c r="R6" s="3212"/>
      <c r="S6" s="3213"/>
      <c r="T6" s="3214"/>
      <c r="U6" s="3215"/>
      <c r="V6" s="3197"/>
      <c r="W6" s="3197"/>
      <c r="X6" s="1814"/>
      <c r="Y6" s="3214"/>
      <c r="Z6" s="3215"/>
      <c r="AA6" s="3200"/>
      <c r="AB6" s="3200"/>
      <c r="AC6" s="3200"/>
    </row>
    <row r="7" spans="1:29" s="117" customFormat="1" ht="15.75" thickBot="1">
      <c r="A7" s="408" t="s">
        <v>2546</v>
      </c>
      <c r="B7" s="409"/>
      <c r="C7" s="410">
        <f>'数据-取费表'!B2</f>
        <v>43692</v>
      </c>
      <c r="D7" s="411">
        <v>100</v>
      </c>
      <c r="E7" s="412"/>
      <c r="F7" s="413">
        <f>SUMIF(65:65,YEAR(E7)&amp;"-"&amp;INT((MONTH(E7)+2)/3),66:66)</f>
        <v>0</v>
      </c>
      <c r="G7" s="2695"/>
      <c r="H7" s="411">
        <f>SUMIF(65:65,YEAR(G7)&amp;"-"&amp;INT((MONTH(G7)+2)/3),66:66)</f>
        <v>0</v>
      </c>
      <c r="I7" s="2695"/>
      <c r="J7" s="411">
        <f>SUMIF(65:65,YEAR(I7)&amp;"-"&amp;INT((MONTH(I7)+2)/3),66:66)</f>
        <v>0</v>
      </c>
      <c r="K7" s="610"/>
      <c r="L7" s="1134"/>
      <c r="M7" s="1135"/>
      <c r="N7" s="1135"/>
      <c r="O7" s="1135"/>
      <c r="P7" s="3220" t="s">
        <v>2547</v>
      </c>
      <c r="Q7" s="3222"/>
      <c r="R7" s="769" t="s">
        <v>17</v>
      </c>
      <c r="S7" s="770">
        <f t="shared" ref="S7:S15" si="0">F7</f>
        <v>0</v>
      </c>
      <c r="T7" s="769" t="s">
        <v>17</v>
      </c>
      <c r="U7" s="770">
        <f t="shared" ref="U7:U15" si="1">H7</f>
        <v>0</v>
      </c>
      <c r="V7" s="769" t="s">
        <v>17</v>
      </c>
      <c r="W7" s="770">
        <f t="shared" ref="W7:W15" si="2">J7</f>
        <v>0</v>
      </c>
      <c r="X7" s="771"/>
      <c r="Y7" s="3220" t="s">
        <v>2547</v>
      </c>
      <c r="Z7" s="3221"/>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0"/>
      <c r="L8" s="1134"/>
      <c r="M8" s="1135"/>
      <c r="N8" s="1135"/>
      <c r="O8" s="1135"/>
      <c r="P8" s="3220" t="s">
        <v>2550</v>
      </c>
      <c r="Q8" s="3221"/>
      <c r="R8" s="769" t="s">
        <v>17</v>
      </c>
      <c r="S8" s="770">
        <f t="shared" si="0"/>
        <v>0</v>
      </c>
      <c r="T8" s="769" t="s">
        <v>17</v>
      </c>
      <c r="U8" s="770">
        <f t="shared" si="1"/>
        <v>0</v>
      </c>
      <c r="V8" s="769" t="s">
        <v>17</v>
      </c>
      <c r="W8" s="770">
        <f t="shared" si="2"/>
        <v>0</v>
      </c>
      <c r="X8" s="771"/>
      <c r="Y8" s="3220" t="s">
        <v>2550</v>
      </c>
      <c r="Z8" s="3221"/>
      <c r="AA8" s="772" t="e">
        <f t="shared" ref="AA8:AA40" si="3">D8/F8</f>
        <v>#DIV/0!</v>
      </c>
      <c r="AB8" s="772" t="e">
        <f t="shared" ref="AB8:AB40" si="4">D8/H8</f>
        <v>#DIV/0!</v>
      </c>
      <c r="AC8" s="772" t="e">
        <f t="shared" ref="AC8:AC40" si="5">D8/J8</f>
        <v>#DIV/0!</v>
      </c>
    </row>
    <row r="9" spans="1:29" s="117" customFormat="1">
      <c r="A9" s="415" t="s">
        <v>2551</v>
      </c>
      <c r="B9" s="71" t="s">
        <v>2552</v>
      </c>
      <c r="C9" s="2698"/>
      <c r="D9" s="135">
        <v>100</v>
      </c>
      <c r="E9" s="2698"/>
      <c r="F9" s="135">
        <f>SUMIF(70:70,E9,71:71)-SUMIF(70:70,C9,71:71)+100</f>
        <v>100</v>
      </c>
      <c r="G9" s="2698"/>
      <c r="H9" s="135">
        <f>SUMIF(70:70,G9,71:71)-SUMIF(70:70,C9,71:71)+100</f>
        <v>100</v>
      </c>
      <c r="I9" s="2698"/>
      <c r="J9" s="135">
        <f>SUMIF(70:70,I9,71:71)-SUMIF(70:70,C9,71:71)+100</f>
        <v>100</v>
      </c>
      <c r="K9" s="610"/>
      <c r="L9" s="1134"/>
      <c r="M9" s="1135"/>
      <c r="N9" s="1135"/>
      <c r="O9" s="1136"/>
      <c r="P9" s="3191" t="s">
        <v>2553</v>
      </c>
      <c r="Q9" s="1796" t="str">
        <f t="shared" ref="Q9:Q15" si="6">B9</f>
        <v>用途</v>
      </c>
      <c r="R9" s="769" t="s">
        <v>17</v>
      </c>
      <c r="S9" s="770">
        <f t="shared" si="0"/>
        <v>100</v>
      </c>
      <c r="T9" s="769" t="s">
        <v>17</v>
      </c>
      <c r="U9" s="770">
        <f t="shared" si="1"/>
        <v>100</v>
      </c>
      <c r="V9" s="769" t="s">
        <v>17</v>
      </c>
      <c r="W9" s="770">
        <f t="shared" si="2"/>
        <v>100</v>
      </c>
      <c r="X9" s="771"/>
      <c r="Y9" s="3042" t="s">
        <v>2554</v>
      </c>
      <c r="Z9" s="55" t="str">
        <f t="shared" ref="Z9:Z15" si="7">Q9</f>
        <v>用途</v>
      </c>
      <c r="AA9" s="772">
        <f t="shared" si="3"/>
        <v>1</v>
      </c>
      <c r="AB9" s="772">
        <f t="shared" si="4"/>
        <v>1</v>
      </c>
      <c r="AC9" s="772">
        <f t="shared" si="5"/>
        <v>1</v>
      </c>
    </row>
    <row r="10" spans="1:29" s="426" customFormat="1" ht="27">
      <c r="A10" s="420"/>
      <c r="B10" s="421" t="s">
        <v>2555</v>
      </c>
      <c r="C10" s="431"/>
      <c r="D10" s="136">
        <v>100</v>
      </c>
      <c r="E10" s="431"/>
      <c r="F10" s="136">
        <f>ROUND(100/'数据-取费表'!G16,0)</f>
        <v>102</v>
      </c>
      <c r="G10" s="431"/>
      <c r="H10" s="136">
        <f>ROUND(100/'数据-取费表'!G16,0)</f>
        <v>102</v>
      </c>
      <c r="I10" s="431"/>
      <c r="J10" s="136">
        <f>ROUND(100/'数据-取费表'!G16,0)</f>
        <v>102</v>
      </c>
      <c r="K10" s="671"/>
      <c r="L10" s="1137"/>
      <c r="M10" s="1138"/>
      <c r="N10" s="1138"/>
      <c r="O10" s="1139"/>
      <c r="P10" s="3191"/>
      <c r="Q10" s="1796" t="str">
        <f t="shared" si="6"/>
        <v>土地使用年限（年）</v>
      </c>
      <c r="R10" s="769" t="s">
        <v>17</v>
      </c>
      <c r="S10" s="770">
        <f t="shared" si="0"/>
        <v>102</v>
      </c>
      <c r="T10" s="769" t="s">
        <v>17</v>
      </c>
      <c r="U10" s="770">
        <f t="shared" si="1"/>
        <v>102</v>
      </c>
      <c r="V10" s="769" t="s">
        <v>17</v>
      </c>
      <c r="W10" s="770">
        <f t="shared" si="2"/>
        <v>102</v>
      </c>
      <c r="X10" s="771"/>
      <c r="Y10" s="3042"/>
      <c r="Z10" s="55" t="str">
        <f t="shared" si="7"/>
        <v>土地使用年限（年）</v>
      </c>
      <c r="AA10" s="772">
        <f t="shared" si="3"/>
        <v>0.98039215686274506</v>
      </c>
      <c r="AB10" s="772">
        <f t="shared" si="4"/>
        <v>0.98039215686274506</v>
      </c>
      <c r="AC10" s="772">
        <f t="shared" si="5"/>
        <v>0.98039215686274506</v>
      </c>
    </row>
    <row r="11" spans="1:29" ht="15">
      <c r="A11" s="427"/>
      <c r="B11" s="421" t="s">
        <v>2556</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191"/>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191"/>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599">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191"/>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91"/>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39" t="s">
        <v>2557</v>
      </c>
      <c r="B15" s="628" t="s">
        <v>2795</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3" t="s">
        <v>2558</v>
      </c>
      <c r="Q15" s="1811" t="str">
        <f t="shared" si="6"/>
        <v>产业集聚程度</v>
      </c>
      <c r="R15" s="773" t="s">
        <v>17</v>
      </c>
      <c r="S15" s="774">
        <f t="shared" si="0"/>
        <v>100</v>
      </c>
      <c r="T15" s="773" t="s">
        <v>17</v>
      </c>
      <c r="U15" s="774">
        <f t="shared" si="1"/>
        <v>100</v>
      </c>
      <c r="V15" s="773" t="s">
        <v>17</v>
      </c>
      <c r="W15" s="774">
        <f t="shared" si="2"/>
        <v>100</v>
      </c>
      <c r="X15" s="1814"/>
      <c r="Y15" s="3193" t="s">
        <v>2558</v>
      </c>
      <c r="Z15" s="1815" t="str">
        <f t="shared" si="7"/>
        <v>产业集聚程度</v>
      </c>
      <c r="AA15" s="1812">
        <f t="shared" si="3"/>
        <v>1</v>
      </c>
      <c r="AB15" s="1812">
        <f t="shared" si="4"/>
        <v>1</v>
      </c>
      <c r="AC15" s="1812">
        <f t="shared" si="5"/>
        <v>1</v>
      </c>
    </row>
    <row r="16" spans="1:29" ht="15">
      <c r="A16" s="427"/>
      <c r="B16" s="629"/>
      <c r="C16" s="446"/>
      <c r="D16" s="447"/>
      <c r="E16" s="2610"/>
      <c r="F16" s="447"/>
      <c r="G16" s="2610"/>
      <c r="H16" s="449"/>
      <c r="I16" s="2610"/>
      <c r="J16" s="447"/>
      <c r="K16" s="671"/>
      <c r="L16" s="1142"/>
      <c r="M16" s="1133"/>
      <c r="N16" s="1133"/>
      <c r="O16" s="1141"/>
      <c r="P16" s="3194"/>
      <c r="Q16" s="1811"/>
      <c r="R16" s="773"/>
      <c r="S16" s="774"/>
      <c r="T16" s="773"/>
      <c r="U16" s="774"/>
      <c r="V16" s="773"/>
      <c r="W16" s="774"/>
      <c r="X16" s="1814"/>
      <c r="Y16" s="3194"/>
      <c r="Z16" s="1815"/>
      <c r="AA16" s="1812">
        <v>1</v>
      </c>
      <c r="AB16" s="1812">
        <v>1</v>
      </c>
      <c r="AC16" s="1812">
        <v>1</v>
      </c>
    </row>
    <row r="17" spans="1:29" ht="85.5">
      <c r="A17" s="427"/>
      <c r="B17" s="630" t="s">
        <v>2707</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4"/>
      <c r="Q17" s="1811" t="str">
        <f>B17</f>
        <v>交通便捷度</v>
      </c>
      <c r="R17" s="773" t="s">
        <v>17</v>
      </c>
      <c r="S17" s="774">
        <f>F17</f>
        <v>100</v>
      </c>
      <c r="T17" s="773" t="s">
        <v>17</v>
      </c>
      <c r="U17" s="774">
        <f>H17</f>
        <v>100</v>
      </c>
      <c r="V17" s="773" t="s">
        <v>17</v>
      </c>
      <c r="W17" s="774">
        <f>J17</f>
        <v>100</v>
      </c>
      <c r="X17" s="1814"/>
      <c r="Y17" s="3194"/>
      <c r="Z17" s="1815" t="str">
        <f>Q17</f>
        <v>交通便捷度</v>
      </c>
      <c r="AA17" s="1812">
        <f t="shared" si="3"/>
        <v>1</v>
      </c>
      <c r="AB17" s="1812">
        <f t="shared" si="4"/>
        <v>1</v>
      </c>
      <c r="AC17" s="1812">
        <f t="shared" si="5"/>
        <v>1</v>
      </c>
    </row>
    <row r="18" spans="1:29" ht="15">
      <c r="A18" s="427"/>
      <c r="B18" s="631"/>
      <c r="C18" s="446"/>
      <c r="D18" s="447"/>
      <c r="E18" s="2604"/>
      <c r="F18" s="447"/>
      <c r="G18" s="2604"/>
      <c r="H18" s="447"/>
      <c r="I18" s="2603"/>
      <c r="J18" s="447"/>
      <c r="K18" s="671"/>
      <c r="L18" s="1142"/>
      <c r="M18" s="1133"/>
      <c r="N18" s="1133"/>
      <c r="O18" s="1141"/>
      <c r="P18" s="3194"/>
      <c r="Q18" s="1811"/>
      <c r="R18" s="773"/>
      <c r="S18" s="774"/>
      <c r="T18" s="773"/>
      <c r="U18" s="774"/>
      <c r="V18" s="773"/>
      <c r="W18" s="774"/>
      <c r="X18" s="1814"/>
      <c r="Y18" s="3194"/>
      <c r="Z18" s="1815"/>
      <c r="AA18" s="1812">
        <v>1</v>
      </c>
      <c r="AB18" s="1812">
        <v>1</v>
      </c>
      <c r="AC18" s="1812">
        <v>1</v>
      </c>
    </row>
    <row r="19" spans="1:29" ht="15">
      <c r="A19" s="427"/>
      <c r="B19" s="630" t="s">
        <v>2746</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4"/>
      <c r="Q19" s="1811" t="str">
        <f t="shared" ref="Q19:Q33" si="8">B19</f>
        <v>区域土地利用方向</v>
      </c>
      <c r="R19" s="773" t="s">
        <v>17</v>
      </c>
      <c r="S19" s="774">
        <f>F19</f>
        <v>100</v>
      </c>
      <c r="T19" s="773" t="s">
        <v>17</v>
      </c>
      <c r="U19" s="774">
        <f>H19</f>
        <v>100</v>
      </c>
      <c r="V19" s="773" t="s">
        <v>17</v>
      </c>
      <c r="W19" s="774">
        <f>J19</f>
        <v>100</v>
      </c>
      <c r="X19" s="1814"/>
      <c r="Y19" s="3194"/>
      <c r="Z19" s="1815" t="str">
        <f>Q19</f>
        <v>区域土地利用方向</v>
      </c>
      <c r="AA19" s="1812">
        <f t="shared" si="3"/>
        <v>1</v>
      </c>
      <c r="AB19" s="1812">
        <f t="shared" si="4"/>
        <v>1</v>
      </c>
      <c r="AC19" s="1812">
        <f t="shared" si="5"/>
        <v>1</v>
      </c>
    </row>
    <row r="20" spans="1:29" ht="15">
      <c r="A20" s="404"/>
      <c r="B20" s="631"/>
      <c r="C20" s="446"/>
      <c r="D20" s="447"/>
      <c r="E20" s="2604"/>
      <c r="F20" s="447"/>
      <c r="G20" s="2604"/>
      <c r="H20" s="447"/>
      <c r="I20" s="2604"/>
      <c r="J20" s="447"/>
      <c r="K20" s="811"/>
      <c r="L20" s="1142"/>
      <c r="M20" s="1133"/>
      <c r="N20" s="1133"/>
      <c r="O20" s="1141"/>
      <c r="P20" s="3194"/>
      <c r="Q20" s="1811"/>
      <c r="R20" s="773"/>
      <c r="S20" s="774"/>
      <c r="T20" s="773"/>
      <c r="U20" s="774"/>
      <c r="V20" s="773"/>
      <c r="W20" s="774"/>
      <c r="X20" s="1814"/>
      <c r="Y20" s="3194"/>
      <c r="Z20" s="1815"/>
      <c r="AA20" s="1812"/>
      <c r="AB20" s="1812"/>
      <c r="AC20" s="1812"/>
    </row>
    <row r="21" spans="1:29" ht="71.25">
      <c r="A21" s="404"/>
      <c r="B21" s="630" t="s">
        <v>2796</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4"/>
      <c r="Q21" s="1811" t="str">
        <f t="shared" si="8"/>
        <v>环境状况</v>
      </c>
      <c r="R21" s="773" t="s">
        <v>17</v>
      </c>
      <c r="S21" s="774">
        <f>F21</f>
        <v>100</v>
      </c>
      <c r="T21" s="773" t="s">
        <v>17</v>
      </c>
      <c r="U21" s="774">
        <f>H21</f>
        <v>100</v>
      </c>
      <c r="V21" s="773" t="s">
        <v>17</v>
      </c>
      <c r="W21" s="774">
        <f>J21</f>
        <v>100</v>
      </c>
      <c r="X21" s="1814"/>
      <c r="Y21" s="3194"/>
      <c r="Z21" s="1815" t="str">
        <f>Q21</f>
        <v>环境状况</v>
      </c>
      <c r="AA21" s="1812">
        <f t="shared" si="3"/>
        <v>1</v>
      </c>
      <c r="AB21" s="1812">
        <f t="shared" si="4"/>
        <v>1</v>
      </c>
      <c r="AC21" s="1812">
        <f t="shared" si="5"/>
        <v>1</v>
      </c>
    </row>
    <row r="22" spans="1:29" ht="15">
      <c r="A22" s="404"/>
      <c r="B22" s="631"/>
      <c r="C22" s="446"/>
      <c r="D22" s="447"/>
      <c r="E22" s="2610"/>
      <c r="F22" s="447"/>
      <c r="G22" s="2610"/>
      <c r="H22" s="447"/>
      <c r="I22" s="446"/>
      <c r="J22" s="447"/>
      <c r="K22" s="671"/>
      <c r="L22" s="1142"/>
      <c r="M22" s="1133"/>
      <c r="N22" s="1133"/>
      <c r="O22" s="1141"/>
      <c r="P22" s="3194"/>
      <c r="Q22" s="1811"/>
      <c r="R22" s="773"/>
      <c r="S22" s="774"/>
      <c r="T22" s="773"/>
      <c r="U22" s="774"/>
      <c r="V22" s="773"/>
      <c r="W22" s="774"/>
      <c r="X22" s="1814"/>
      <c r="Y22" s="3194"/>
      <c r="Z22" s="1815"/>
      <c r="AA22" s="1812">
        <v>1</v>
      </c>
      <c r="AB22" s="1812">
        <v>1</v>
      </c>
      <c r="AC22" s="1812">
        <v>1</v>
      </c>
    </row>
    <row r="23" spans="1:29" s="117" customFormat="1" ht="42.75">
      <c r="A23" s="648"/>
      <c r="B23" s="632" t="s">
        <v>2652</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4"/>
      <c r="Q23" s="1796" t="str">
        <f t="shared" si="8"/>
        <v>公共配套设施</v>
      </c>
      <c r="R23" s="769" t="s">
        <v>17</v>
      </c>
      <c r="S23" s="770">
        <f>F23</f>
        <v>100</v>
      </c>
      <c r="T23" s="769" t="s">
        <v>17</v>
      </c>
      <c r="U23" s="770">
        <f>H23</f>
        <v>100</v>
      </c>
      <c r="V23" s="769" t="s">
        <v>17</v>
      </c>
      <c r="W23" s="770">
        <f>J23</f>
        <v>100</v>
      </c>
      <c r="X23" s="771"/>
      <c r="Y23" s="3194"/>
      <c r="Z23" s="55" t="str">
        <f>Q23</f>
        <v>公共配套设施</v>
      </c>
      <c r="AA23" s="1812">
        <f>D23/F23</f>
        <v>1</v>
      </c>
      <c r="AB23" s="1812">
        <f>D23/H23</f>
        <v>1</v>
      </c>
      <c r="AC23" s="1812">
        <f>D23/J23</f>
        <v>1</v>
      </c>
    </row>
    <row r="24" spans="1:29" s="117" customFormat="1" ht="15">
      <c r="A24" s="648"/>
      <c r="B24" s="631"/>
      <c r="C24" s="2699"/>
      <c r="D24" s="447"/>
      <c r="E24" s="2610"/>
      <c r="F24" s="447"/>
      <c r="G24" s="2610"/>
      <c r="H24" s="447"/>
      <c r="I24" s="446"/>
      <c r="J24" s="447"/>
      <c r="K24" s="671"/>
      <c r="L24" s="1134"/>
      <c r="M24" s="1135"/>
      <c r="N24" s="1135"/>
      <c r="O24" s="1136"/>
      <c r="P24" s="3194"/>
      <c r="Q24" s="1796"/>
      <c r="R24" s="769"/>
      <c r="S24" s="770"/>
      <c r="T24" s="769"/>
      <c r="U24" s="770"/>
      <c r="V24" s="769"/>
      <c r="W24" s="770"/>
      <c r="X24" s="771"/>
      <c r="Y24" s="3194"/>
      <c r="Z24" s="55"/>
      <c r="AA24" s="772">
        <v>1</v>
      </c>
      <c r="AB24" s="772">
        <v>1</v>
      </c>
      <c r="AC24" s="772">
        <v>1</v>
      </c>
    </row>
    <row r="25" spans="1:29" s="117" customFormat="1" ht="28.5">
      <c r="A25" s="648"/>
      <c r="B25" s="632" t="s">
        <v>2653</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4"/>
      <c r="Q25" s="1796" t="str">
        <f>B25</f>
        <v>基础设施水平</v>
      </c>
      <c r="R25" s="769" t="s">
        <v>17</v>
      </c>
      <c r="S25" s="770">
        <f>F25</f>
        <v>100</v>
      </c>
      <c r="T25" s="769" t="s">
        <v>17</v>
      </c>
      <c r="U25" s="770">
        <f>H25</f>
        <v>100</v>
      </c>
      <c r="V25" s="769" t="s">
        <v>17</v>
      </c>
      <c r="W25" s="770">
        <f>J25</f>
        <v>100</v>
      </c>
      <c r="X25" s="771"/>
      <c r="Y25" s="3194"/>
      <c r="Z25" s="55" t="str">
        <f>Q25</f>
        <v>基础设施水平</v>
      </c>
      <c r="AA25" s="1812">
        <f>D25/F25</f>
        <v>1</v>
      </c>
      <c r="AB25" s="1812">
        <f>D25/H25</f>
        <v>1</v>
      </c>
      <c r="AC25" s="1812">
        <f>D25/J25</f>
        <v>1</v>
      </c>
    </row>
    <row r="26" spans="1:29" s="117" customFormat="1" ht="15">
      <c r="A26" s="648"/>
      <c r="B26" s="631"/>
      <c r="C26" s="2699"/>
      <c r="D26" s="447"/>
      <c r="E26" s="2700"/>
      <c r="F26" s="447"/>
      <c r="G26" s="2700"/>
      <c r="H26" s="447"/>
      <c r="I26" s="2700"/>
      <c r="J26" s="447"/>
      <c r="K26" s="671"/>
      <c r="L26" s="1134"/>
      <c r="M26" s="1135"/>
      <c r="N26" s="1135"/>
      <c r="O26" s="1136"/>
      <c r="P26" s="3194"/>
      <c r="Q26" s="1796"/>
      <c r="R26" s="769"/>
      <c r="S26" s="770"/>
      <c r="T26" s="769"/>
      <c r="U26" s="770"/>
      <c r="V26" s="769"/>
      <c r="W26" s="770"/>
      <c r="X26" s="771"/>
      <c r="Y26" s="3194"/>
      <c r="Z26" s="55"/>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4"/>
      <c r="Q27" s="1811" t="str">
        <f t="shared" si="8"/>
        <v>临街状况</v>
      </c>
      <c r="R27" s="773" t="s">
        <v>17</v>
      </c>
      <c r="S27" s="774">
        <f t="shared" ref="S27:S40" si="9">F27</f>
        <v>100</v>
      </c>
      <c r="T27" s="773" t="s">
        <v>17</v>
      </c>
      <c r="U27" s="774">
        <f t="shared" ref="U27:U40" si="10">H27</f>
        <v>100</v>
      </c>
      <c r="V27" s="773" t="s">
        <v>17</v>
      </c>
      <c r="W27" s="774">
        <f t="shared" ref="W27:W40" si="11">J27</f>
        <v>100</v>
      </c>
      <c r="X27" s="1814"/>
      <c r="Y27" s="3194"/>
      <c r="Z27" s="1815" t="str">
        <f t="shared" ref="Z27:Z40" si="12">Q27</f>
        <v>临街状况</v>
      </c>
      <c r="AA27" s="1812">
        <f t="shared" si="3"/>
        <v>1</v>
      </c>
      <c r="AB27" s="1812">
        <f t="shared" si="4"/>
        <v>1</v>
      </c>
      <c r="AC27" s="1812">
        <f t="shared" si="5"/>
        <v>1</v>
      </c>
    </row>
    <row r="28" spans="1:29" ht="27">
      <c r="A28" s="427"/>
      <c r="B28" s="632" t="s">
        <v>2689</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4"/>
      <c r="Q28" s="1811" t="str">
        <f t="shared" si="8"/>
        <v>毗邻道路的类型与等级</v>
      </c>
      <c r="R28" s="773" t="s">
        <v>17</v>
      </c>
      <c r="S28" s="774">
        <f t="shared" si="9"/>
        <v>100</v>
      </c>
      <c r="T28" s="773" t="s">
        <v>17</v>
      </c>
      <c r="U28" s="774">
        <f t="shared" si="10"/>
        <v>100</v>
      </c>
      <c r="V28" s="773" t="s">
        <v>17</v>
      </c>
      <c r="W28" s="774">
        <f t="shared" si="11"/>
        <v>100</v>
      </c>
      <c r="X28" s="1814"/>
      <c r="Y28" s="3194"/>
      <c r="Z28" s="1815" t="str">
        <f t="shared" si="12"/>
        <v>毗邻道路的类型与等级</v>
      </c>
      <c r="AA28" s="1812">
        <f t="shared" si="3"/>
        <v>1</v>
      </c>
      <c r="AB28" s="1812">
        <f t="shared" si="4"/>
        <v>1</v>
      </c>
      <c r="AC28" s="1812">
        <f t="shared" si="5"/>
        <v>1</v>
      </c>
    </row>
    <row r="29" spans="1:29" ht="15">
      <c r="A29" s="427"/>
      <c r="B29" s="631"/>
      <c r="C29" s="446"/>
      <c r="D29" s="447"/>
      <c r="E29" s="2610"/>
      <c r="F29" s="447"/>
      <c r="G29" s="2610"/>
      <c r="H29" s="447"/>
      <c r="I29" s="2610"/>
      <c r="J29" s="447"/>
      <c r="K29" s="612"/>
      <c r="L29" s="1142"/>
      <c r="M29" s="1133"/>
      <c r="N29" s="1133"/>
      <c r="O29" s="1141"/>
      <c r="P29" s="3194"/>
      <c r="Q29" s="1811"/>
      <c r="R29" s="773"/>
      <c r="S29" s="774"/>
      <c r="T29" s="773"/>
      <c r="U29" s="774"/>
      <c r="V29" s="773"/>
      <c r="W29" s="774"/>
      <c r="X29" s="1814"/>
      <c r="Y29" s="3194"/>
      <c r="Z29" s="1815"/>
      <c r="AA29" s="1812">
        <v>1</v>
      </c>
      <c r="AB29" s="1812">
        <v>1</v>
      </c>
      <c r="AC29" s="1812">
        <v>1</v>
      </c>
    </row>
    <row r="30" spans="1:29" ht="15">
      <c r="A30" s="427"/>
      <c r="B30" s="653" t="s">
        <v>2748</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4"/>
      <c r="Q30" s="1811" t="str">
        <f t="shared" si="8"/>
        <v>土地级别</v>
      </c>
      <c r="R30" s="773" t="s">
        <v>17</v>
      </c>
      <c r="S30" s="774">
        <f t="shared" si="9"/>
        <v>100</v>
      </c>
      <c r="T30" s="773" t="s">
        <v>17</v>
      </c>
      <c r="U30" s="774">
        <f t="shared" si="10"/>
        <v>100</v>
      </c>
      <c r="V30" s="773" t="s">
        <v>17</v>
      </c>
      <c r="W30" s="774">
        <f t="shared" si="11"/>
        <v>100</v>
      </c>
      <c r="X30" s="1814"/>
      <c r="Y30" s="3194"/>
      <c r="Z30" s="1815" t="str">
        <f t="shared" si="12"/>
        <v>土地级别</v>
      </c>
      <c r="AA30" s="1812">
        <f t="shared" si="3"/>
        <v>1</v>
      </c>
      <c r="AB30" s="1812">
        <f t="shared" si="4"/>
        <v>1</v>
      </c>
      <c r="AC30" s="1812">
        <f t="shared" si="5"/>
        <v>1</v>
      </c>
    </row>
    <row r="31" spans="1:29" ht="15">
      <c r="A31" s="404"/>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4"/>
      <c r="Q31" s="1811">
        <f t="shared" si="8"/>
        <v>111</v>
      </c>
      <c r="R31" s="773" t="s">
        <v>17</v>
      </c>
      <c r="S31" s="774">
        <f t="shared" si="9"/>
        <v>100</v>
      </c>
      <c r="T31" s="773" t="s">
        <v>17</v>
      </c>
      <c r="U31" s="774">
        <f t="shared" si="10"/>
        <v>100</v>
      </c>
      <c r="V31" s="773" t="s">
        <v>17</v>
      </c>
      <c r="W31" s="774">
        <f t="shared" si="11"/>
        <v>100</v>
      </c>
      <c r="X31" s="1814"/>
      <c r="Y31" s="3194"/>
      <c r="Z31" s="1815">
        <f t="shared" si="12"/>
        <v>111</v>
      </c>
      <c r="AA31" s="1812">
        <f t="shared" si="3"/>
        <v>1</v>
      </c>
      <c r="AB31" s="1812">
        <f t="shared" si="4"/>
        <v>1</v>
      </c>
      <c r="AC31" s="1812">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5" t="s">
        <v>2563</v>
      </c>
      <c r="Q32" s="1811">
        <f t="shared" si="8"/>
        <v>111</v>
      </c>
      <c r="R32" s="773" t="s">
        <v>17</v>
      </c>
      <c r="S32" s="774">
        <f t="shared" si="9"/>
        <v>100</v>
      </c>
      <c r="T32" s="773" t="s">
        <v>17</v>
      </c>
      <c r="U32" s="774">
        <f t="shared" si="10"/>
        <v>100</v>
      </c>
      <c r="V32" s="773" t="s">
        <v>17</v>
      </c>
      <c r="W32" s="774">
        <f t="shared" si="11"/>
        <v>100</v>
      </c>
      <c r="X32" s="1814"/>
      <c r="Y32" s="3196" t="s">
        <v>2563</v>
      </c>
      <c r="Z32" s="1815">
        <f t="shared" si="12"/>
        <v>111</v>
      </c>
      <c r="AA32" s="1812">
        <f t="shared" si="3"/>
        <v>1</v>
      </c>
      <c r="AB32" s="1812">
        <f t="shared" si="4"/>
        <v>1</v>
      </c>
      <c r="AC32" s="1812">
        <f t="shared" si="5"/>
        <v>1</v>
      </c>
    </row>
    <row r="33" spans="1:29" s="470" customFormat="1" ht="15.75" thickBot="1">
      <c r="A33" s="675"/>
      <c r="B33" s="2714">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96"/>
      <c r="Q33" s="1811">
        <f t="shared" si="8"/>
        <v>111</v>
      </c>
      <c r="R33" s="776" t="s">
        <v>17</v>
      </c>
      <c r="S33" s="777">
        <f t="shared" si="9"/>
        <v>100</v>
      </c>
      <c r="T33" s="776" t="s">
        <v>17</v>
      </c>
      <c r="U33" s="777">
        <f t="shared" si="10"/>
        <v>100</v>
      </c>
      <c r="V33" s="776" t="s">
        <v>17</v>
      </c>
      <c r="W33" s="777">
        <f t="shared" si="11"/>
        <v>100</v>
      </c>
      <c r="X33" s="778"/>
      <c r="Y33" s="3196"/>
      <c r="Z33" s="779">
        <f t="shared" si="12"/>
        <v>111</v>
      </c>
      <c r="AA33" s="1812">
        <f t="shared" si="3"/>
        <v>1</v>
      </c>
      <c r="AB33" s="1812">
        <f t="shared" si="4"/>
        <v>1</v>
      </c>
      <c r="AC33" s="1812">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96"/>
      <c r="Q34" s="1811" t="str">
        <f>B34</f>
        <v>宗地面积</v>
      </c>
      <c r="R34" s="773" t="s">
        <v>17</v>
      </c>
      <c r="S34" s="774" t="e">
        <f t="shared" si="9"/>
        <v>#N/A</v>
      </c>
      <c r="T34" s="773" t="s">
        <v>17</v>
      </c>
      <c r="U34" s="774" t="e">
        <f t="shared" si="10"/>
        <v>#N/A</v>
      </c>
      <c r="V34" s="773" t="s">
        <v>17</v>
      </c>
      <c r="W34" s="774" t="e">
        <f t="shared" si="11"/>
        <v>#N/A</v>
      </c>
      <c r="X34" s="1814"/>
      <c r="Y34" s="3196"/>
      <c r="Z34" s="1815" t="str">
        <f t="shared" si="12"/>
        <v>宗地面积</v>
      </c>
      <c r="AA34" s="1812" t="e">
        <f t="shared" si="3"/>
        <v>#N/A</v>
      </c>
      <c r="AB34" s="1812" t="e">
        <f t="shared" si="4"/>
        <v>#N/A</v>
      </c>
      <c r="AC34" s="1812" t="e">
        <f t="shared" si="5"/>
        <v>#N/A</v>
      </c>
    </row>
    <row r="35" spans="1:29" ht="15">
      <c r="A35" s="471"/>
      <c r="B35" s="421" t="s">
        <v>2750</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2"/>
      <c r="M35" s="1133"/>
      <c r="N35" s="1133"/>
      <c r="O35" s="1141"/>
      <c r="P35" s="3196"/>
      <c r="Q35" s="1811" t="str">
        <f t="shared" ref="Q35:Q40" si="13">B35</f>
        <v>宗地形状</v>
      </c>
      <c r="R35" s="773" t="s">
        <v>17</v>
      </c>
      <c r="S35" s="774">
        <f t="shared" si="9"/>
        <v>100</v>
      </c>
      <c r="T35" s="773" t="s">
        <v>17</v>
      </c>
      <c r="U35" s="774">
        <f t="shared" si="10"/>
        <v>100</v>
      </c>
      <c r="V35" s="773" t="s">
        <v>17</v>
      </c>
      <c r="W35" s="774">
        <f t="shared" si="11"/>
        <v>100</v>
      </c>
      <c r="X35" s="1814"/>
      <c r="Y35" s="3196"/>
      <c r="Z35" s="1815" t="str">
        <f t="shared" si="12"/>
        <v>宗地形状</v>
      </c>
      <c r="AA35" s="1812">
        <f t="shared" si="3"/>
        <v>1</v>
      </c>
      <c r="AB35" s="1812">
        <f t="shared" si="4"/>
        <v>1</v>
      </c>
      <c r="AC35" s="1812">
        <f t="shared" si="5"/>
        <v>1</v>
      </c>
    </row>
    <row r="36" spans="1:29" s="117" customFormat="1" ht="15">
      <c r="A36" s="472"/>
      <c r="B36" s="421" t="s">
        <v>2752</v>
      </c>
      <c r="C36" s="2701"/>
      <c r="D36" s="136">
        <v>100</v>
      </c>
      <c r="E36" s="2701"/>
      <c r="F36" s="434">
        <f>SUMIF(112:112,E36,113:113)-SUMIF(112:112,C36,113:113)+100</f>
        <v>100</v>
      </c>
      <c r="G36" s="2701"/>
      <c r="H36" s="434">
        <f>SUMIF(112:112,G36,113:113)-SUMIF(112:112,C36,113:113)+100</f>
        <v>100</v>
      </c>
      <c r="I36" s="2701"/>
      <c r="J36" s="434">
        <f>SUMIF(112:112,I36,113:113)-SUMIF(112:112,C36,113:113)+100</f>
        <v>100</v>
      </c>
      <c r="K36" s="611"/>
      <c r="L36" s="1134"/>
      <c r="M36" s="1135"/>
      <c r="N36" s="1135"/>
      <c r="O36" s="1136"/>
      <c r="P36" s="3196"/>
      <c r="Q36" s="1811" t="str">
        <f t="shared" si="13"/>
        <v>宗地开发程度</v>
      </c>
      <c r="R36" s="769" t="s">
        <v>17</v>
      </c>
      <c r="S36" s="770">
        <f t="shared" si="9"/>
        <v>100</v>
      </c>
      <c r="T36" s="769" t="s">
        <v>17</v>
      </c>
      <c r="U36" s="770">
        <f t="shared" si="10"/>
        <v>100</v>
      </c>
      <c r="V36" s="769" t="s">
        <v>17</v>
      </c>
      <c r="W36" s="770">
        <f t="shared" si="11"/>
        <v>100</v>
      </c>
      <c r="X36" s="771"/>
      <c r="Y36" s="3196"/>
      <c r="Z36" s="55" t="str">
        <f t="shared" si="12"/>
        <v>宗地开发程度</v>
      </c>
      <c r="AA36" s="772">
        <f t="shared" si="3"/>
        <v>1</v>
      </c>
      <c r="AB36" s="772">
        <f t="shared" si="4"/>
        <v>1</v>
      </c>
      <c r="AC36" s="772">
        <f t="shared" si="5"/>
        <v>1</v>
      </c>
    </row>
    <row r="37" spans="1:29" ht="15">
      <c r="A37" s="471"/>
      <c r="B37" s="421" t="s">
        <v>2753</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2"/>
      <c r="M37" s="1133"/>
      <c r="N37" s="1133"/>
      <c r="O37" s="1141"/>
      <c r="P37" s="3196" t="s">
        <v>2563</v>
      </c>
      <c r="Q37" s="1811" t="str">
        <f t="shared" si="13"/>
        <v>工程地质条件</v>
      </c>
      <c r="R37" s="773" t="s">
        <v>17</v>
      </c>
      <c r="S37" s="774">
        <f t="shared" si="9"/>
        <v>100</v>
      </c>
      <c r="T37" s="773" t="s">
        <v>17</v>
      </c>
      <c r="U37" s="774">
        <f t="shared" si="10"/>
        <v>100</v>
      </c>
      <c r="V37" s="773" t="s">
        <v>17</v>
      </c>
      <c r="W37" s="774">
        <f t="shared" si="11"/>
        <v>100</v>
      </c>
      <c r="X37" s="1814"/>
      <c r="Y37" s="3196" t="s">
        <v>2563</v>
      </c>
      <c r="Z37" s="1815" t="str">
        <f t="shared" si="12"/>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96"/>
      <c r="Q38" s="1811">
        <f t="shared" si="13"/>
        <v>111</v>
      </c>
      <c r="R38" s="773" t="s">
        <v>17</v>
      </c>
      <c r="S38" s="774">
        <f t="shared" si="9"/>
        <v>100</v>
      </c>
      <c r="T38" s="773" t="s">
        <v>17</v>
      </c>
      <c r="U38" s="774">
        <f t="shared" si="10"/>
        <v>100</v>
      </c>
      <c r="V38" s="773" t="s">
        <v>17</v>
      </c>
      <c r="W38" s="774">
        <f t="shared" si="11"/>
        <v>100</v>
      </c>
      <c r="X38" s="1814"/>
      <c r="Y38" s="3196"/>
      <c r="Z38" s="1815">
        <f t="shared" si="12"/>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96"/>
      <c r="Q39" s="1811">
        <f t="shared" si="13"/>
        <v>111</v>
      </c>
      <c r="R39" s="773" t="s">
        <v>17</v>
      </c>
      <c r="S39" s="774">
        <f t="shared" si="9"/>
        <v>100</v>
      </c>
      <c r="T39" s="773" t="s">
        <v>17</v>
      </c>
      <c r="U39" s="774">
        <f t="shared" si="10"/>
        <v>100</v>
      </c>
      <c r="V39" s="773" t="s">
        <v>17</v>
      </c>
      <c r="W39" s="774">
        <f t="shared" si="11"/>
        <v>100</v>
      </c>
      <c r="X39" s="1814"/>
      <c r="Y39" s="3196"/>
      <c r="Z39" s="1815">
        <f t="shared" si="12"/>
        <v>111</v>
      </c>
      <c r="AA39" s="1812">
        <f t="shared" si="3"/>
        <v>1</v>
      </c>
      <c r="AB39" s="1812">
        <f t="shared" si="4"/>
        <v>1</v>
      </c>
      <c r="AC39" s="1812">
        <f t="shared" si="5"/>
        <v>1</v>
      </c>
    </row>
    <row r="40" spans="1:29" s="470" customFormat="1" ht="15.75" thickBot="1">
      <c r="A40" s="467"/>
      <c r="B40" s="1388">
        <v>111</v>
      </c>
      <c r="C40" s="2702"/>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96"/>
      <c r="Q40" s="1811">
        <f t="shared" si="13"/>
        <v>111</v>
      </c>
      <c r="R40" s="776" t="s">
        <v>17</v>
      </c>
      <c r="S40" s="777">
        <f t="shared" si="9"/>
        <v>100</v>
      </c>
      <c r="T40" s="776" t="s">
        <v>17</v>
      </c>
      <c r="U40" s="777">
        <f t="shared" si="10"/>
        <v>100</v>
      </c>
      <c r="V40" s="776" t="s">
        <v>17</v>
      </c>
      <c r="W40" s="777">
        <f t="shared" si="11"/>
        <v>100</v>
      </c>
      <c r="X40" s="778"/>
      <c r="Y40" s="3196"/>
      <c r="Z40" s="779">
        <f t="shared" si="12"/>
        <v>111</v>
      </c>
      <c r="AA40" s="1812">
        <f t="shared" si="3"/>
        <v>1</v>
      </c>
      <c r="AB40" s="1812">
        <f t="shared" si="4"/>
        <v>1</v>
      </c>
      <c r="AC40" s="1812">
        <f t="shared" si="5"/>
        <v>1</v>
      </c>
    </row>
    <row r="41" spans="1:29" ht="15">
      <c r="A41" s="478" t="s">
        <v>2718</v>
      </c>
      <c r="B41" s="2703" t="s">
        <v>2797</v>
      </c>
      <c r="C41" s="681" t="s">
        <v>1</v>
      </c>
      <c r="D41" s="480"/>
      <c r="E41" s="481"/>
      <c r="F41" s="482"/>
      <c r="G41" s="483"/>
      <c r="H41" s="484"/>
      <c r="I41" s="481"/>
      <c r="J41" s="484"/>
      <c r="K41" s="782"/>
      <c r="L41" s="1145"/>
      <c r="M41" s="1133"/>
      <c r="N41" s="1133"/>
      <c r="O41" s="1146"/>
      <c r="P41" s="3191" t="str">
        <f>A41</f>
        <v>成交单价</v>
      </c>
      <c r="Q41" s="3191"/>
      <c r="R41" s="3197">
        <f>E41</f>
        <v>0</v>
      </c>
      <c r="S41" s="3197"/>
      <c r="T41" s="3197">
        <f>G41</f>
        <v>0</v>
      </c>
      <c r="U41" s="3197"/>
      <c r="V41" s="3197">
        <f>I41</f>
        <v>0</v>
      </c>
      <c r="W41" s="3197"/>
      <c r="X41" s="758"/>
      <c r="Y41" s="780"/>
      <c r="Z41" s="758"/>
      <c r="AA41" s="758"/>
      <c r="AB41" s="758"/>
      <c r="AC41" s="758"/>
    </row>
    <row r="42" spans="1:29" ht="15.75" thickBot="1">
      <c r="A42" s="485" t="s">
        <v>2667</v>
      </c>
      <c r="B42" s="682"/>
      <c r="C42" s="489" t="e">
        <f>R43</f>
        <v>#DIV/0!</v>
      </c>
      <c r="D42" s="488"/>
      <c r="E42" s="489" t="e">
        <f>R42</f>
        <v>#DIV/0!</v>
      </c>
      <c r="F42" s="490"/>
      <c r="G42" s="487" t="e">
        <f>T42</f>
        <v>#DIV/0!</v>
      </c>
      <c r="H42" s="488"/>
      <c r="I42" s="489" t="e">
        <f>V42</f>
        <v>#DIV/0!</v>
      </c>
      <c r="J42" s="488"/>
      <c r="K42" s="783"/>
      <c r="L42" s="1145"/>
      <c r="M42" s="1133"/>
      <c r="N42" s="1133"/>
      <c r="O42" s="1146"/>
      <c r="P42" s="3191" t="str">
        <f>A42</f>
        <v>比较价值（元/平方米）</v>
      </c>
      <c r="Q42" s="3191"/>
      <c r="R42" s="3184" t="e">
        <f>ROUND(PRODUCT(R41,AA7:AA40),0)</f>
        <v>#DIV/0!</v>
      </c>
      <c r="S42" s="3184"/>
      <c r="T42" s="3184" t="e">
        <f>ROUND(PRODUCT(T41,AB7:AB40),0)</f>
        <v>#DIV/0!</v>
      </c>
      <c r="U42" s="3184"/>
      <c r="V42" s="3184" t="e">
        <f>ROUND(PRODUCT(V41,AC7:AC40),0)</f>
        <v>#DIV/0!</v>
      </c>
      <c r="W42" s="3184"/>
      <c r="X42" s="758"/>
      <c r="Y42" s="758"/>
      <c r="Z42" s="758"/>
      <c r="AA42" s="758"/>
      <c r="AB42" s="758"/>
      <c r="AC42" s="758"/>
    </row>
    <row r="43" spans="1:29" ht="15.75" thickBot="1">
      <c r="A43" s="491" t="s">
        <v>2668</v>
      </c>
      <c r="B43" s="492"/>
      <c r="C43" s="493" t="e">
        <f>R43</f>
        <v>#DIV/0!</v>
      </c>
      <c r="D43" s="493"/>
      <c r="E43" s="493"/>
      <c r="F43" s="493"/>
      <c r="G43" s="493"/>
      <c r="H43" s="493"/>
      <c r="I43" s="493"/>
      <c r="J43" s="493"/>
      <c r="K43" s="784"/>
      <c r="L43" s="1145"/>
      <c r="M43" s="1133"/>
      <c r="N43" s="1133"/>
      <c r="O43" s="1146"/>
      <c r="P43" s="3185" t="str">
        <f>A43</f>
        <v>估价对象XX用房的比较价值（楼面单价，元/平方米）</v>
      </c>
      <c r="Q43" s="3186"/>
      <c r="R43" s="3187" t="e">
        <f>ROUND(AVERAGE(R42:V42),0)</f>
        <v>#DIV/0!</v>
      </c>
      <c r="S43" s="3187"/>
      <c r="T43" s="3187"/>
      <c r="U43" s="3187"/>
      <c r="V43" s="3187"/>
      <c r="W43" s="318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2755</v>
      </c>
      <c r="B50" s="684" t="s">
        <v>2756</v>
      </c>
      <c r="C50" s="2704" t="s">
        <v>2757</v>
      </c>
      <c r="D50" s="2705" t="s">
        <v>2758</v>
      </c>
      <c r="E50" s="685" t="s">
        <v>2759</v>
      </c>
      <c r="F50" s="686" t="s">
        <v>2760</v>
      </c>
      <c r="G50" s="3188" t="s">
        <v>2761</v>
      </c>
      <c r="H50" s="3189"/>
      <c r="I50" s="1815" t="s">
        <v>2798</v>
      </c>
      <c r="J50" s="1815" t="str">
        <f>项目基本情况!F35</f>
        <v>山东省</v>
      </c>
      <c r="K50" s="2707" t="s">
        <v>2763</v>
      </c>
      <c r="L50" s="1108"/>
      <c r="M50" s="1146"/>
      <c r="N50" s="1146"/>
      <c r="O50" s="1146"/>
    </row>
    <row r="51" spans="1:17" s="691" customFormat="1">
      <c r="A51" s="687" t="s">
        <v>2764</v>
      </c>
      <c r="B51" s="688" t="e">
        <f>C43</f>
        <v>#DIV/0!</v>
      </c>
      <c r="C51" s="689">
        <v>1</v>
      </c>
      <c r="D51" s="1165">
        <v>1</v>
      </c>
      <c r="E51" s="689">
        <f>'数据-汇总表'!E8+'数据-汇总表'!E9</f>
        <v>25792.44</v>
      </c>
      <c r="F51" s="690" t="e">
        <f t="shared" ref="F51:F60" si="14">ROUND(B51*E51/10000,0)</f>
        <v>#DIV/0!</v>
      </c>
      <c r="G51" s="3190"/>
      <c r="H51" s="3191"/>
      <c r="I51" s="944">
        <v>1</v>
      </c>
      <c r="J51" s="944">
        <v>1</v>
      </c>
      <c r="K51" s="1147"/>
      <c r="L51" s="943"/>
      <c r="M51" s="943"/>
      <c r="N51" s="943"/>
      <c r="O51" s="943"/>
    </row>
    <row r="52" spans="1:17" s="691" customFormat="1">
      <c r="A52" s="692" t="s">
        <v>2765</v>
      </c>
      <c r="B52" s="262" t="e">
        <f>ROUND($C$43*C52*D52,0)</f>
        <v>#DIV/0!</v>
      </c>
      <c r="C52" s="200">
        <f t="shared" ref="C52:C60" si="15">IF($C$50="北京市系数",I52,J52)</f>
        <v>0</v>
      </c>
      <c r="D52" s="1166">
        <v>0.25</v>
      </c>
      <c r="E52" s="693"/>
      <c r="F52" s="690" t="e">
        <f t="shared" si="14"/>
        <v>#DIV/0!</v>
      </c>
      <c r="G52" s="3192" t="s">
        <v>2766</v>
      </c>
      <c r="H52" s="1106">
        <f>项目基本情况!B37</f>
        <v>0</v>
      </c>
      <c r="I52" s="944">
        <f>SUMIF(修正!A45:A56,H52,修正!B45:B56)</f>
        <v>0</v>
      </c>
      <c r="J52" s="945"/>
      <c r="K52" s="1146"/>
      <c r="L52" s="943"/>
      <c r="M52" s="943"/>
      <c r="N52" s="943"/>
      <c r="O52" s="943"/>
    </row>
    <row r="53" spans="1:17" s="691" customFormat="1">
      <c r="A53" s="692" t="s">
        <v>2767</v>
      </c>
      <c r="B53" s="262" t="e">
        <f t="shared" ref="B53:B60" si="16">ROUND($C$43*C53*D53,0)</f>
        <v>#DIV/0!</v>
      </c>
      <c r="C53" s="200">
        <f t="shared" si="15"/>
        <v>0</v>
      </c>
      <c r="D53" s="1166">
        <v>0.25</v>
      </c>
      <c r="E53" s="693"/>
      <c r="F53" s="690" t="e">
        <f t="shared" si="14"/>
        <v>#DIV/0!</v>
      </c>
      <c r="G53" s="3192"/>
      <c r="H53" s="1106">
        <f>项目基本情况!B37</f>
        <v>0</v>
      </c>
      <c r="I53" s="944">
        <f>SUMIF(修正!A45:A56,H53,修正!C45:C56)</f>
        <v>0</v>
      </c>
      <c r="J53" s="945"/>
      <c r="K53" s="1147"/>
      <c r="L53" s="943"/>
      <c r="M53" s="943"/>
      <c r="N53" s="943"/>
      <c r="O53" s="943"/>
    </row>
    <row r="54" spans="1:17" s="691" customFormat="1">
      <c r="A54" s="692" t="s">
        <v>2768</v>
      </c>
      <c r="B54" s="262" t="e">
        <f t="shared" si="16"/>
        <v>#DIV/0!</v>
      </c>
      <c r="C54" s="200">
        <f t="shared" si="15"/>
        <v>0</v>
      </c>
      <c r="D54" s="1166">
        <v>0.25</v>
      </c>
      <c r="E54" s="693"/>
      <c r="F54" s="690" t="e">
        <f t="shared" si="14"/>
        <v>#DIV/0!</v>
      </c>
      <c r="G54" s="3192"/>
      <c r="H54" s="1106">
        <f>项目基本情况!B37</f>
        <v>0</v>
      </c>
      <c r="I54" s="944">
        <f>SUMIF(修正!A45:A56,H54,修正!D45:D56)</f>
        <v>0</v>
      </c>
      <c r="J54" s="945"/>
      <c r="K54" s="1146"/>
      <c r="L54" s="943"/>
      <c r="M54" s="943"/>
      <c r="N54" s="943"/>
      <c r="O54" s="943"/>
    </row>
    <row r="55" spans="1:17" s="691" customFormat="1">
      <c r="A55" s="692" t="s">
        <v>2769</v>
      </c>
      <c r="B55" s="262" t="e">
        <f t="shared" si="16"/>
        <v>#DIV/0!</v>
      </c>
      <c r="C55" s="200">
        <f t="shared" si="15"/>
        <v>0</v>
      </c>
      <c r="D55" s="1166">
        <v>0.25</v>
      </c>
      <c r="E55" s="693"/>
      <c r="F55" s="690" t="e">
        <f t="shared" si="14"/>
        <v>#DIV/0!</v>
      </c>
      <c r="G55" s="3192"/>
      <c r="H55" s="1106">
        <f>项目基本情况!B37</f>
        <v>0</v>
      </c>
      <c r="I55" s="944">
        <f>SUMIF(修正!A45:A56,H55,修正!E45:E56)</f>
        <v>0</v>
      </c>
      <c r="J55" s="945"/>
      <c r="K55" s="1147"/>
      <c r="L55" s="943"/>
      <c r="M55" s="943"/>
      <c r="N55" s="943"/>
      <c r="O55" s="943"/>
    </row>
    <row r="56" spans="1:17" s="691" customFormat="1">
      <c r="A56" s="692" t="s">
        <v>2770</v>
      </c>
      <c r="B56" s="262" t="e">
        <f t="shared" si="16"/>
        <v>#DIV/0!</v>
      </c>
      <c r="C56" s="200">
        <f t="shared" si="15"/>
        <v>0</v>
      </c>
      <c r="D56" s="1166">
        <v>0.25</v>
      </c>
      <c r="E56" s="261">
        <f>'数据-汇总表'!E11</f>
        <v>0</v>
      </c>
      <c r="F56" s="690" t="e">
        <f t="shared" si="14"/>
        <v>#DIV/0!</v>
      </c>
      <c r="G56" s="2708" t="s">
        <v>2771</v>
      </c>
      <c r="H56" s="1106">
        <f>项目基本情况!C37</f>
        <v>0</v>
      </c>
      <c r="I56" s="944">
        <f>SUMIF(修正!A45:A56,H56,修正!F45:F56)</f>
        <v>0</v>
      </c>
      <c r="J56" s="945"/>
      <c r="K56" s="1146"/>
      <c r="L56" s="943"/>
      <c r="M56" s="943"/>
      <c r="N56" s="943"/>
      <c r="O56" s="943"/>
    </row>
    <row r="57" spans="1:17" s="691" customFormat="1">
      <c r="A57" s="692" t="s">
        <v>2772</v>
      </c>
      <c r="B57" s="262" t="e">
        <f t="shared" si="16"/>
        <v>#DIV/0!</v>
      </c>
      <c r="C57" s="200">
        <f t="shared" si="15"/>
        <v>0</v>
      </c>
      <c r="D57" s="1166">
        <v>0.25</v>
      </c>
      <c r="E57" s="261">
        <f>'数据-汇总表'!E12</f>
        <v>0</v>
      </c>
      <c r="F57" s="690" t="e">
        <f t="shared" si="14"/>
        <v>#DIV/0!</v>
      </c>
      <c r="G57" s="1111" t="s">
        <v>2773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2774</v>
      </c>
      <c r="B58" s="262" t="e">
        <f t="shared" si="16"/>
        <v>#DIV/0!</v>
      </c>
      <c r="C58" s="200">
        <f t="shared" si="15"/>
        <v>0</v>
      </c>
      <c r="D58" s="1166">
        <v>0.25</v>
      </c>
      <c r="E58" s="261">
        <f>'数据-汇总表'!E13</f>
        <v>0</v>
      </c>
      <c r="F58" s="690" t="e">
        <f t="shared" si="14"/>
        <v>#DIV/0!</v>
      </c>
      <c r="G58" s="1111" t="s">
        <v>2775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2776</v>
      </c>
      <c r="B59" s="262" t="e">
        <f t="shared" si="16"/>
        <v>#DIV/0!</v>
      </c>
      <c r="C59" s="200">
        <f t="shared" si="15"/>
        <v>0</v>
      </c>
      <c r="D59" s="1166">
        <v>0.25</v>
      </c>
      <c r="E59" s="261">
        <f>'数据-汇总表'!E14</f>
        <v>0</v>
      </c>
      <c r="F59" s="690" t="e">
        <f t="shared" si="14"/>
        <v>#DIV/0!</v>
      </c>
      <c r="G59" s="2708" t="s">
        <v>2766</v>
      </c>
      <c r="H59" s="1106">
        <f>项目基本情况!B37</f>
        <v>0</v>
      </c>
      <c r="I59" s="944">
        <f>SUMIF(修正!A45:A56,H59,修正!H45:H56)</f>
        <v>0</v>
      </c>
      <c r="J59" s="945"/>
      <c r="K59" s="1147"/>
      <c r="L59" s="943"/>
      <c r="M59" s="943"/>
      <c r="N59" s="943"/>
      <c r="O59" s="943"/>
    </row>
    <row r="60" spans="1:17" s="691" customFormat="1" ht="15" thickBot="1">
      <c r="A60" s="692" t="s">
        <v>2777</v>
      </c>
      <c r="B60" s="262" t="e">
        <f t="shared" si="16"/>
        <v>#DIV/0!</v>
      </c>
      <c r="C60" s="200">
        <f t="shared" si="15"/>
        <v>0</v>
      </c>
      <c r="D60" s="1166">
        <v>0.25</v>
      </c>
      <c r="E60" s="261">
        <f>'数据-汇总表'!E15</f>
        <v>0</v>
      </c>
      <c r="F60" s="690" t="e">
        <f t="shared" si="14"/>
        <v>#DIV/0!</v>
      </c>
      <c r="G60" s="2709" t="s">
        <v>2771</v>
      </c>
      <c r="H60" s="1116">
        <f>项目基本情况!C37</f>
        <v>0</v>
      </c>
      <c r="I60" s="944">
        <f>SUMIF(修正!A45:A56,H60,修正!H45:H56)</f>
        <v>0</v>
      </c>
      <c r="J60" s="945"/>
      <c r="K60" s="1146"/>
      <c r="L60" s="943"/>
      <c r="M60" s="943"/>
      <c r="N60" s="943"/>
      <c r="O60" s="943"/>
    </row>
    <row r="61" spans="1:17" s="691" customFormat="1" ht="15" thickBot="1">
      <c r="A61" s="694" t="s">
        <v>2778</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2019-8-1</v>
      </c>
      <c r="D63" s="760">
        <f>EDATE(C63,-3)</f>
        <v>43586</v>
      </c>
      <c r="E63" s="760">
        <f>EDATE(D63,-3)</f>
        <v>43497</v>
      </c>
      <c r="F63" s="760">
        <f t="shared" ref="F63:O63" si="17">EDATE(E63,-3)</f>
        <v>43405</v>
      </c>
      <c r="G63" s="760">
        <f t="shared" si="17"/>
        <v>43313</v>
      </c>
      <c r="H63" s="760">
        <f t="shared" si="17"/>
        <v>43221</v>
      </c>
      <c r="I63" s="760">
        <f t="shared" si="17"/>
        <v>43132</v>
      </c>
      <c r="J63" s="760">
        <f t="shared" si="17"/>
        <v>43040</v>
      </c>
      <c r="K63" s="760">
        <f t="shared" si="17"/>
        <v>42948</v>
      </c>
      <c r="L63" s="760">
        <f t="shared" si="17"/>
        <v>42856</v>
      </c>
      <c r="M63" s="760">
        <f t="shared" si="17"/>
        <v>42767</v>
      </c>
      <c r="N63" s="760">
        <f t="shared" si="17"/>
        <v>42675</v>
      </c>
      <c r="O63" s="760">
        <f t="shared" si="17"/>
        <v>42583</v>
      </c>
    </row>
    <row r="64" spans="1:17" ht="21.75" thickBot="1">
      <c r="A64" s="762" t="s">
        <v>2672</v>
      </c>
      <c r="B64" s="758"/>
      <c r="C64" s="763"/>
      <c r="D64" s="763"/>
      <c r="E64" s="763"/>
      <c r="F64" s="764"/>
      <c r="G64" s="764"/>
      <c r="H64" s="763"/>
      <c r="I64" s="763"/>
      <c r="J64" s="763"/>
      <c r="K64" s="765"/>
      <c r="L64" s="766"/>
      <c r="M64" s="763"/>
      <c r="N64" s="763"/>
      <c r="O64" s="1161"/>
      <c r="P64" s="502"/>
      <c r="Q64" s="503"/>
    </row>
    <row r="65" spans="1:17" s="507" customFormat="1" ht="15">
      <c r="A65" s="2710" t="s">
        <v>2779</v>
      </c>
      <c r="B65" s="1360"/>
      <c r="C65" s="1573" t="str">
        <f>YEAR(C63)&amp;"-"&amp;ROUNDUP(MONTH(C63)/3,0)</f>
        <v>2019-3</v>
      </c>
      <c r="D65" s="1573" t="str">
        <f t="shared" ref="D65:O65" si="18">YEAR(D63)&amp;"-"&amp;ROUNDUP(MONTH(D63)/3,0)</f>
        <v>2019-2</v>
      </c>
      <c r="E65" s="1573" t="str">
        <f t="shared" si="18"/>
        <v>2019-1</v>
      </c>
      <c r="F65" s="1573" t="str">
        <f t="shared" si="18"/>
        <v>2018-4</v>
      </c>
      <c r="G65" s="1573" t="str">
        <f t="shared" si="18"/>
        <v>2018-3</v>
      </c>
      <c r="H65" s="1573" t="str">
        <f t="shared" si="18"/>
        <v>2018-2</v>
      </c>
      <c r="I65" s="1573" t="str">
        <f t="shared" si="18"/>
        <v>2018-1</v>
      </c>
      <c r="J65" s="1573" t="str">
        <f t="shared" si="18"/>
        <v>2017-4</v>
      </c>
      <c r="K65" s="1573" t="str">
        <f t="shared" si="18"/>
        <v>2017-3</v>
      </c>
      <c r="L65" s="1573" t="str">
        <f t="shared" si="18"/>
        <v>2017-2</v>
      </c>
      <c r="M65" s="1573" t="str">
        <f t="shared" si="18"/>
        <v>2017-1</v>
      </c>
      <c r="N65" s="1573" t="str">
        <f t="shared" si="18"/>
        <v>2016-4</v>
      </c>
      <c r="O65" s="1573" t="str">
        <f t="shared" si="18"/>
        <v>2016-3</v>
      </c>
      <c r="P65" s="506"/>
    </row>
    <row r="66" spans="1:17" s="117" customFormat="1" ht="30.75" customHeight="1">
      <c r="A66" s="2715" t="s">
        <v>2799</v>
      </c>
      <c r="B66" s="332" t="str">
        <f>"北京市平均增长率"&amp;TEXT(基准地价修正!P24,"0.00%")</f>
        <v>北京市平均增长率0.00%</v>
      </c>
      <c r="C66" s="602">
        <v>100</v>
      </c>
      <c r="D66" s="594"/>
      <c r="E66" s="594"/>
      <c r="F66" s="594"/>
      <c r="G66" s="594"/>
      <c r="H66" s="594"/>
      <c r="I66" s="594"/>
      <c r="J66" s="594"/>
      <c r="K66" s="594"/>
      <c r="L66" s="594"/>
      <c r="M66" s="1568"/>
      <c r="N66" s="1568"/>
      <c r="O66" s="1570"/>
      <c r="P66" s="503"/>
    </row>
    <row r="67" spans="1:17" s="117" customFormat="1" ht="15.75" thickBot="1">
      <c r="A67" s="514" t="s">
        <v>2583</v>
      </c>
      <c r="B67" s="515"/>
      <c r="C67" s="516"/>
      <c r="D67" s="517"/>
      <c r="E67" s="517"/>
      <c r="F67" s="517"/>
      <c r="G67" s="517"/>
      <c r="H67" s="517"/>
      <c r="I67" s="517"/>
      <c r="J67" s="517"/>
      <c r="K67" s="517"/>
      <c r="L67" s="517"/>
      <c r="M67" s="518"/>
      <c r="N67" s="518"/>
      <c r="O67" s="519"/>
      <c r="P67" s="503"/>
      <c r="Q67" s="503"/>
    </row>
    <row r="68" spans="1:17" s="117" customFormat="1" ht="15">
      <c r="A68" s="520" t="s">
        <v>2548</v>
      </c>
      <c r="B68" s="509"/>
      <c r="C68" s="521" t="s">
        <v>2650</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2586</v>
      </c>
      <c r="B70" s="527" t="s">
        <v>2552</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2555</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2556</v>
      </c>
      <c r="C74" s="546" t="str">
        <f>C75&amp;"（含）"&amp;"-"&amp;D75</f>
        <v>（含）-</v>
      </c>
      <c r="D74" s="546" t="str">
        <f t="shared" ref="D74:L74" si="19">D75&amp;"（含）"&amp;"-"&amp;E75</f>
        <v>（含）-</v>
      </c>
      <c r="E74" s="546" t="str">
        <f t="shared" si="19"/>
        <v>（含）-</v>
      </c>
      <c r="F74" s="546" t="str">
        <f t="shared" si="19"/>
        <v>（含）-</v>
      </c>
      <c r="G74" s="546" t="str">
        <f t="shared" si="19"/>
        <v>（含）-</v>
      </c>
      <c r="H74" s="546" t="str">
        <f t="shared" si="19"/>
        <v>（含）-</v>
      </c>
      <c r="I74" s="546" t="str">
        <f t="shared" si="19"/>
        <v>（含）-</v>
      </c>
      <c r="J74" s="546" t="str">
        <f t="shared" si="19"/>
        <v>（含）-</v>
      </c>
      <c r="K74" s="546" t="str">
        <f t="shared" si="19"/>
        <v>（含）-</v>
      </c>
      <c r="L74" s="546" t="str">
        <f t="shared" si="19"/>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0">IF($B$41="单位面积地价",D76+$K11,D76-$K11)</f>
        <v>100</v>
      </c>
      <c r="F76" s="543">
        <f t="shared" si="20"/>
        <v>100</v>
      </c>
      <c r="G76" s="543">
        <f t="shared" si="20"/>
        <v>100</v>
      </c>
      <c r="H76" s="543">
        <f t="shared" si="20"/>
        <v>100</v>
      </c>
      <c r="I76" s="543">
        <f t="shared" si="20"/>
        <v>100</v>
      </c>
      <c r="J76" s="543">
        <f t="shared" si="20"/>
        <v>100</v>
      </c>
      <c r="K76" s="543">
        <f t="shared" si="20"/>
        <v>100</v>
      </c>
      <c r="L76" s="543">
        <f t="shared" si="20"/>
        <v>100</v>
      </c>
      <c r="M76" s="543">
        <f t="shared" si="20"/>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2782</v>
      </c>
      <c r="C87" s="572" t="s">
        <v>2595</v>
      </c>
      <c r="D87" s="572" t="s">
        <v>2596</v>
      </c>
      <c r="E87" s="572" t="s">
        <v>2597</v>
      </c>
      <c r="F87" s="572" t="s">
        <v>2598</v>
      </c>
      <c r="G87" s="572" t="s">
        <v>2599</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2783</v>
      </c>
      <c r="C89" s="572" t="s">
        <v>2595</v>
      </c>
      <c r="D89" s="572" t="s">
        <v>2596</v>
      </c>
      <c r="E89" s="572" t="s">
        <v>2597</v>
      </c>
      <c r="F89" s="572" t="s">
        <v>2598</v>
      </c>
      <c r="G89" s="572" t="s">
        <v>2599</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2800</v>
      </c>
      <c r="C93" s="659" t="s">
        <v>2673</v>
      </c>
      <c r="D93" s="659" t="s">
        <v>2674</v>
      </c>
      <c r="E93" s="659" t="s">
        <v>2675</v>
      </c>
      <c r="F93" s="659" t="s">
        <v>2676</v>
      </c>
      <c r="G93" s="659" t="s">
        <v>2677</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2784</v>
      </c>
      <c r="D95" s="538" t="s">
        <v>2785</v>
      </c>
      <c r="E95" s="538" t="s">
        <v>2786</v>
      </c>
      <c r="F95" s="538" t="s">
        <v>2787</v>
      </c>
      <c r="G95" s="538"/>
      <c r="H95" s="538"/>
      <c r="I95" s="538"/>
      <c r="J95" s="538"/>
      <c r="K95" s="539"/>
      <c r="L95" s="540"/>
      <c r="M95" s="541"/>
      <c r="N95" s="1154"/>
      <c r="O95" s="1154"/>
      <c r="P95" s="45"/>
      <c r="Q95" s="503"/>
    </row>
    <row r="96" spans="1:17" ht="15.75" thickBot="1">
      <c r="A96" s="533"/>
      <c r="B96" s="542"/>
      <c r="C96" s="543">
        <v>100</v>
      </c>
      <c r="D96" s="543">
        <f t="shared" ref="D96:M96" si="21">C96-$K27</f>
        <v>100</v>
      </c>
      <c r="E96" s="543">
        <f t="shared" si="21"/>
        <v>100</v>
      </c>
      <c r="F96" s="543">
        <f t="shared" si="21"/>
        <v>100</v>
      </c>
      <c r="G96" s="543">
        <f t="shared" si="21"/>
        <v>100</v>
      </c>
      <c r="H96" s="543">
        <f t="shared" si="21"/>
        <v>100</v>
      </c>
      <c r="I96" s="543">
        <f t="shared" si="21"/>
        <v>100</v>
      </c>
      <c r="J96" s="543">
        <f t="shared" si="21"/>
        <v>100</v>
      </c>
      <c r="K96" s="543">
        <f t="shared" si="21"/>
        <v>100</v>
      </c>
      <c r="L96" s="543">
        <f t="shared" si="21"/>
        <v>100</v>
      </c>
      <c r="M96" s="543">
        <f t="shared" si="21"/>
        <v>100</v>
      </c>
      <c r="N96" s="1155"/>
      <c r="O96" s="1155"/>
      <c r="P96" s="45"/>
      <c r="Q96" s="503"/>
    </row>
    <row r="97" spans="1:17" ht="27.75" thickTop="1">
      <c r="A97" s="533"/>
      <c r="B97" s="537" t="s">
        <v>2689</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2">C98-$K28</f>
        <v>100</v>
      </c>
      <c r="E98" s="543">
        <f t="shared" si="22"/>
        <v>100</v>
      </c>
      <c r="F98" s="543">
        <f t="shared" si="22"/>
        <v>100</v>
      </c>
      <c r="G98" s="543">
        <f t="shared" si="22"/>
        <v>100</v>
      </c>
      <c r="H98" s="543">
        <f t="shared" si="22"/>
        <v>100</v>
      </c>
      <c r="I98" s="543">
        <f t="shared" si="22"/>
        <v>100</v>
      </c>
      <c r="J98" s="543">
        <f t="shared" si="22"/>
        <v>100</v>
      </c>
      <c r="K98" s="543">
        <f t="shared" si="22"/>
        <v>100</v>
      </c>
      <c r="L98" s="543">
        <f t="shared" si="22"/>
        <v>100</v>
      </c>
      <c r="M98" s="543">
        <f t="shared" si="22"/>
        <v>100</v>
      </c>
      <c r="N98" s="1155"/>
      <c r="O98" s="1155"/>
      <c r="P98" s="45"/>
      <c r="Q98" s="503"/>
    </row>
    <row r="99" spans="1:17" ht="15.75" thickTop="1">
      <c r="A99" s="533"/>
      <c r="B99" s="537" t="s">
        <v>2748</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3">C100-$K30</f>
        <v>100</v>
      </c>
      <c r="E100" s="543">
        <f t="shared" si="23"/>
        <v>100</v>
      </c>
      <c r="F100" s="543">
        <f t="shared" si="23"/>
        <v>100</v>
      </c>
      <c r="G100" s="543">
        <f t="shared" si="23"/>
        <v>100</v>
      </c>
      <c r="H100" s="543">
        <f t="shared" si="23"/>
        <v>100</v>
      </c>
      <c r="I100" s="543">
        <f t="shared" si="23"/>
        <v>100</v>
      </c>
      <c r="J100" s="543">
        <f t="shared" si="23"/>
        <v>100</v>
      </c>
      <c r="K100" s="543">
        <f t="shared" si="23"/>
        <v>100</v>
      </c>
      <c r="L100" s="543">
        <f t="shared" si="23"/>
        <v>100</v>
      </c>
      <c r="M100" s="543">
        <f t="shared" si="23"/>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2561</v>
      </c>
      <c r="B107" s="527" t="s">
        <v>2788</v>
      </c>
      <c r="C107" s="528" t="str">
        <f t="shared" ref="C107:L107" si="24">C108&amp;"(含)"&amp;"-"&amp;D108</f>
        <v>(含)-</v>
      </c>
      <c r="D107" s="528" t="str">
        <f t="shared" si="24"/>
        <v>(含)-</v>
      </c>
      <c r="E107" s="528" t="str">
        <f t="shared" si="24"/>
        <v>(含)-</v>
      </c>
      <c r="F107" s="528" t="str">
        <f t="shared" si="24"/>
        <v>(含)-</v>
      </c>
      <c r="G107" s="528" t="str">
        <f t="shared" si="24"/>
        <v>(含)-</v>
      </c>
      <c r="H107" s="528" t="str">
        <f t="shared" si="24"/>
        <v>(含)-</v>
      </c>
      <c r="I107" s="528" t="str">
        <f t="shared" si="24"/>
        <v>(含)-</v>
      </c>
      <c r="J107" s="528" t="str">
        <f t="shared" si="24"/>
        <v>(含)-</v>
      </c>
      <c r="K107" s="1767" t="str">
        <f t="shared" si="24"/>
        <v>(含)-</v>
      </c>
      <c r="L107" s="1767" t="str">
        <f t="shared" si="24"/>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2789</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5">C111-$K35</f>
        <v>100</v>
      </c>
      <c r="E111" s="543">
        <f t="shared" si="25"/>
        <v>100</v>
      </c>
      <c r="F111" s="543">
        <f t="shared" si="25"/>
        <v>100</v>
      </c>
      <c r="G111" s="543">
        <f t="shared" si="25"/>
        <v>100</v>
      </c>
      <c r="H111" s="543">
        <f t="shared" si="25"/>
        <v>100</v>
      </c>
      <c r="I111" s="543">
        <f t="shared" si="25"/>
        <v>100</v>
      </c>
      <c r="J111" s="543">
        <f t="shared" si="25"/>
        <v>100</v>
      </c>
      <c r="K111" s="543">
        <f t="shared" si="25"/>
        <v>100</v>
      </c>
      <c r="L111" s="543">
        <f t="shared" si="25"/>
        <v>100</v>
      </c>
      <c r="M111" s="544">
        <f t="shared" si="25"/>
        <v>100</v>
      </c>
      <c r="N111" s="1155"/>
      <c r="O111" s="1155"/>
      <c r="P111" s="45"/>
      <c r="Q111" s="503"/>
    </row>
    <row r="112" spans="1:17" s="470" customFormat="1" ht="15" thickTop="1">
      <c r="A112" s="592"/>
      <c r="B112" s="537" t="s">
        <v>2791</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6">C113-$K36</f>
        <v>100</v>
      </c>
      <c r="E113" s="543">
        <f t="shared" si="26"/>
        <v>100</v>
      </c>
      <c r="F113" s="543">
        <f t="shared" si="26"/>
        <v>100</v>
      </c>
      <c r="G113" s="543">
        <f t="shared" si="26"/>
        <v>100</v>
      </c>
      <c r="H113" s="543">
        <f t="shared" si="26"/>
        <v>100</v>
      </c>
      <c r="I113" s="543">
        <f t="shared" si="26"/>
        <v>100</v>
      </c>
      <c r="J113" s="543">
        <f t="shared" si="26"/>
        <v>100</v>
      </c>
      <c r="K113" s="543">
        <f t="shared" si="26"/>
        <v>100</v>
      </c>
      <c r="L113" s="543">
        <f t="shared" si="26"/>
        <v>100</v>
      </c>
      <c r="M113" s="544">
        <f t="shared" si="26"/>
        <v>100</v>
      </c>
      <c r="N113" s="1156"/>
      <c r="O113" s="1156"/>
      <c r="P113" s="557"/>
      <c r="Q113" s="558"/>
    </row>
    <row r="114" spans="1:17" ht="15" thickTop="1">
      <c r="A114" s="598"/>
      <c r="B114" s="537" t="s">
        <v>2792</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7">C115-$K37</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4">
        <f t="shared" si="27"/>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40" t="s">
        <v>2801</v>
      </c>
      <c r="B1" s="241"/>
      <c r="C1" s="245" t="s">
        <v>2802</v>
      </c>
      <c r="D1" s="388">
        <f>SUM(D29:D30,D33:D39)</f>
        <v>0</v>
      </c>
      <c r="E1" s="2716"/>
      <c r="F1" s="2716"/>
      <c r="G1" s="2716"/>
      <c r="H1" s="2716"/>
      <c r="I1" s="2716"/>
      <c r="J1" s="2716"/>
      <c r="K1" s="1371"/>
      <c r="L1" s="2717" t="s">
        <v>2803</v>
      </c>
      <c r="M1" s="1082">
        <f>SUMPRODUCT((区片价!B5:B9=I2)*(区片价!C3:F3=E2)*(区片价!C5:F9))</f>
        <v>0</v>
      </c>
      <c r="N1" s="1085">
        <f>SUMPRODUCT((因素修正幅度!B5:B9=I2)*(因素修正幅度!C3:F3=E2)*(因素修正幅度!C5:F9))</f>
        <v>0</v>
      </c>
      <c r="O1" s="2718"/>
      <c r="P1" s="2718"/>
      <c r="Q1" s="1371"/>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75">
      <c r="A2" s="245" t="s">
        <v>2809</v>
      </c>
      <c r="B2" s="248" t="e">
        <f>C26</f>
        <v>#DIV/0!</v>
      </c>
      <c r="C2" s="2720" t="s">
        <v>2810</v>
      </c>
      <c r="D2" s="2721" t="s">
        <v>2811</v>
      </c>
      <c r="E2" s="2722"/>
      <c r="F2" s="2721" t="s">
        <v>2812</v>
      </c>
      <c r="G2" s="2723">
        <f>IF(E2="商业",项目基本情况!B37,IF(E2="办公",项目基本情况!C37,IF(E2="住宅",项目基本情况!D37,项目基本情况!E37)))</f>
        <v>0</v>
      </c>
      <c r="H2" s="2721" t="s">
        <v>2813</v>
      </c>
      <c r="I2" s="2723">
        <f>IF(E2="商业",项目基本情况!B38,IF(E2="办公",项目基本情况!C38,IF(E2="住宅",项目基本情况!D38,项目基本情况!E38)))</f>
        <v>0</v>
      </c>
      <c r="J2" s="2724"/>
      <c r="K2" s="1371"/>
      <c r="L2" s="2725" t="s">
        <v>2814</v>
      </c>
      <c r="M2" s="1083">
        <f>SUMPRODUCT((区片价!B10:B28=I2)*(区片价!C3:F3=E2)*(区片价!C10:F28))</f>
        <v>0</v>
      </c>
      <c r="N2" s="1085">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2815</v>
      </c>
      <c r="B3" s="248" t="e">
        <f>ROUND(B2*10000/D1,0)</f>
        <v>#DIV/0!</v>
      </c>
      <c r="C3" s="2720" t="s">
        <v>2816</v>
      </c>
      <c r="D3" s="2721" t="s">
        <v>2817</v>
      </c>
      <c r="E3" s="2726"/>
      <c r="F3" s="2727" t="s">
        <v>2818</v>
      </c>
      <c r="G3" s="915" t="e">
        <f>IF(F3="宗地容积率",'数据-汇总表'!I4,IF(F3="估价对象容积率",'数据-汇总表'!I6,'数据-汇总表'!I7))</f>
        <v>#DIV/0!</v>
      </c>
      <c r="H3" s="198" t="s">
        <v>2819</v>
      </c>
      <c r="I3" s="946"/>
      <c r="J3" s="2724" t="s">
        <v>2820</v>
      </c>
      <c r="K3" s="1371"/>
      <c r="L3" s="2725" t="s">
        <v>2821</v>
      </c>
      <c r="M3" s="1083">
        <f>SUMPRODUCT((区片价!B29:B48=I2)*(区片价!C3:F3=E2)*(区片价!C29:F48))</f>
        <v>0</v>
      </c>
      <c r="N3" s="1085">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89"/>
      <c r="B4" s="3290"/>
      <c r="C4" s="3290"/>
      <c r="D4" s="3291"/>
      <c r="E4" s="3291"/>
      <c r="F4" s="3291"/>
      <c r="G4" s="3291"/>
      <c r="H4" s="3291"/>
      <c r="I4" s="3291"/>
      <c r="J4" s="3292"/>
      <c r="K4" s="1371"/>
      <c r="L4" s="2725" t="s">
        <v>2822</v>
      </c>
      <c r="M4" s="1083">
        <f>SUMPRODUCT((区片价!B49:B75=I2)*(区片价!C3:F3=E2)*(区片价!C49:F75))</f>
        <v>0</v>
      </c>
      <c r="N4" s="1085">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7" customFormat="1" ht="15.75" thickBot="1">
      <c r="A5" s="2728" t="s">
        <v>807</v>
      </c>
      <c r="B5" s="2729" t="s">
        <v>2823</v>
      </c>
      <c r="C5" s="916" t="e">
        <f>ROUND(IF(E2="商业",IF(F16="增加",C6*C7+C16,C6*C7-C16),IF(E2="住宅",IF(F16="增加",C6*C12+C16,C6*C12-C16),IF(F16="增加",C6+C16,C6-C16))),0)</f>
        <v>#DIV/0!</v>
      </c>
      <c r="D5" s="1788">
        <f>ROUND(IF(E2="商业",IF(F16="增加",C6+C16,C6-C16)),0)</f>
        <v>0</v>
      </c>
      <c r="E5" s="2730"/>
      <c r="F5" s="2730"/>
      <c r="G5" s="2731"/>
      <c r="H5" s="2731"/>
      <c r="I5" s="2731"/>
      <c r="J5" s="2732"/>
      <c r="K5" s="2733"/>
      <c r="L5" s="2725" t="s">
        <v>2824</v>
      </c>
      <c r="M5" s="1083">
        <f>SUMPRODUCT((区片价!B76:B109=I2)*(区片价!C3:F3=E2)*(区片价!C76:F109))</f>
        <v>0</v>
      </c>
      <c r="N5" s="1085">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4"/>
      <c r="AD5" s="2735"/>
      <c r="AE5" s="2735"/>
      <c r="AF5" s="2735"/>
      <c r="AG5" s="2735"/>
      <c r="AH5" s="2735"/>
      <c r="AI5" s="2735"/>
      <c r="AJ5" s="2736"/>
    </row>
    <row r="6" spans="1:36" ht="15.75" thickBot="1">
      <c r="A6" s="2738" t="s">
        <v>2825</v>
      </c>
      <c r="B6" s="2739" t="s">
        <v>2826</v>
      </c>
      <c r="C6" s="917">
        <f>SUMIF(L1:L12,G2,M1:M12)</f>
        <v>0</v>
      </c>
      <c r="D6" s="2740" t="s">
        <v>2827</v>
      </c>
      <c r="E6" s="2741"/>
      <c r="F6" s="2741"/>
      <c r="G6" s="2742"/>
      <c r="H6" s="2742"/>
      <c r="I6" s="2742"/>
      <c r="J6" s="2743"/>
      <c r="K6" s="1843"/>
      <c r="L6" s="2725" t="s">
        <v>2828</v>
      </c>
      <c r="M6" s="1083">
        <f>SUMPRODUCT((区片价!B110:B157=I2)*(区片价!C3:F3=E2)*(区片价!C110:F157))</f>
        <v>0</v>
      </c>
      <c r="N6" s="1085">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4"/>
      <c r="AD6" s="2735"/>
      <c r="AE6" s="2735"/>
      <c r="AF6" s="2735"/>
      <c r="AG6" s="2735"/>
      <c r="AH6" s="2735"/>
      <c r="AI6" s="2735"/>
      <c r="AJ6" s="2736"/>
    </row>
    <row r="7" spans="1:36" ht="24">
      <c r="A7" s="3293" t="str">
        <f>IF(E2="商业",IF(C8="不临58条商业街","",2),"")</f>
        <v/>
      </c>
      <c r="B7" s="2744" t="s">
        <v>2829</v>
      </c>
      <c r="C7" s="918" t="e">
        <f>IF(C8="不临58条商业街",1,ROUND(1+(1.6*E8+1.2*E9+0.8*E10+0.4*E11)*C9,4))</f>
        <v>#DIV/0!</v>
      </c>
      <c r="D7" s="2745" t="s">
        <v>2830</v>
      </c>
      <c r="E7" s="947"/>
      <c r="F7" s="2746"/>
      <c r="G7" s="2747"/>
      <c r="H7" s="2747"/>
      <c r="I7" s="2747"/>
      <c r="J7" s="2748"/>
      <c r="K7" s="1843"/>
      <c r="L7" s="2725" t="s">
        <v>2831</v>
      </c>
      <c r="M7" s="1083">
        <f>SUMPRODUCT((区片价!B158:B205=I2)*(区片价!C3:F3=E2)*(区片价!C158:F205))</f>
        <v>0</v>
      </c>
      <c r="N7" s="1085">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2832</v>
      </c>
      <c r="X7" s="1605">
        <f>G2</f>
        <v>0</v>
      </c>
      <c r="Y7" s="1605" t="s">
        <v>2833</v>
      </c>
      <c r="Z7" s="1606" t="e">
        <f>G3</f>
        <v>#DIV/0!</v>
      </c>
      <c r="AA7" s="1607"/>
      <c r="AB7" s="1607"/>
      <c r="AC7" s="1608"/>
      <c r="AD7" s="1609"/>
      <c r="AE7" s="1609"/>
      <c r="AF7" s="1609"/>
      <c r="AG7" s="1609"/>
      <c r="AH7" s="1609"/>
      <c r="AI7" s="1609"/>
      <c r="AJ7" s="1610"/>
    </row>
    <row r="8" spans="1:36" ht="15">
      <c r="A8" s="3294"/>
      <c r="B8" s="198" t="s">
        <v>2834</v>
      </c>
      <c r="C8" s="2749"/>
      <c r="D8" s="919" t="s">
        <v>139</v>
      </c>
      <c r="E8" s="920" t="e">
        <f>ROUND(C11/E7,4)</f>
        <v>#DIV/0!</v>
      </c>
      <c r="F8" s="2750" t="s">
        <v>2835</v>
      </c>
      <c r="G8" s="2751"/>
      <c r="H8" s="2751"/>
      <c r="I8" s="2751"/>
      <c r="J8" s="2752"/>
      <c r="K8" s="1371"/>
      <c r="L8" s="2725" t="s">
        <v>2836</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286" t="s">
        <v>2837</v>
      </c>
      <c r="X8" s="3287"/>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294"/>
      <c r="B9" s="198" t="s">
        <v>2850</v>
      </c>
      <c r="C9" s="921">
        <f>SUMIF(修正!C59:C119,C8,修正!E59:E119)</f>
        <v>0</v>
      </c>
      <c r="D9" s="200" t="s">
        <v>140</v>
      </c>
      <c r="E9" s="200" t="e">
        <f>ROUND(C11/E7,4)</f>
        <v>#DIV/0!</v>
      </c>
      <c r="F9" s="2750" t="s">
        <v>2851</v>
      </c>
      <c r="G9" s="2751"/>
      <c r="H9" s="2751"/>
      <c r="I9" s="2751"/>
      <c r="J9" s="2752"/>
      <c r="K9" s="1371"/>
      <c r="L9" s="2725" t="s">
        <v>2852</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288"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94"/>
      <c r="B10" s="198" t="s">
        <v>2855</v>
      </c>
      <c r="C10" s="200">
        <f>SUMIF(修正!C59:C119,C8,修正!F59:F119)</f>
        <v>0</v>
      </c>
      <c r="D10" s="200" t="s">
        <v>141</v>
      </c>
      <c r="E10" s="200" t="e">
        <f>ROUND(C11/E7,4)</f>
        <v>#DIV/0!</v>
      </c>
      <c r="F10" s="2750" t="s">
        <v>2856</v>
      </c>
      <c r="G10" s="2751"/>
      <c r="H10" s="2751"/>
      <c r="I10" s="2751"/>
      <c r="J10" s="2752"/>
      <c r="K10" s="1371"/>
      <c r="L10" s="2725" t="s">
        <v>2857</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28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94"/>
      <c r="B11" s="2753" t="s">
        <v>2858</v>
      </c>
      <c r="C11" s="922">
        <f>C10/4</f>
        <v>0</v>
      </c>
      <c r="D11" s="922" t="s">
        <v>142</v>
      </c>
      <c r="E11" s="922" t="e">
        <f>ROUND(C11/E7,4)</f>
        <v>#DIV/0!</v>
      </c>
      <c r="F11" s="2754" t="s">
        <v>2859</v>
      </c>
      <c r="G11" s="2755"/>
      <c r="H11" s="2755"/>
      <c r="I11" s="2755"/>
      <c r="J11" s="2756"/>
      <c r="K11" s="1371"/>
      <c r="L11" s="2725" t="s">
        <v>2860</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288" t="s">
        <v>2861</v>
      </c>
      <c r="X11" s="1615" t="s">
        <v>2862</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293" t="s">
        <v>2863</v>
      </c>
      <c r="B12" s="2757" t="s">
        <v>2864</v>
      </c>
      <c r="C12" s="918">
        <f>ROUND(C15*D15*E15*F15*G15*H15*I15*J15,4)</f>
        <v>1</v>
      </c>
      <c r="D12" s="2758" t="s">
        <v>2865</v>
      </c>
      <c r="E12" s="2759"/>
      <c r="F12" s="2759"/>
      <c r="G12" s="2760"/>
      <c r="H12" s="2760"/>
      <c r="I12" s="2760"/>
      <c r="J12" s="2761"/>
      <c r="K12" s="1371"/>
      <c r="L12" s="2762" t="s">
        <v>2866</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288"/>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95"/>
      <c r="B13" s="2763" t="s">
        <v>2868</v>
      </c>
      <c r="C13" s="2764" t="s">
        <v>2869</v>
      </c>
      <c r="D13" s="1809" t="s">
        <v>2870</v>
      </c>
      <c r="E13" s="1809" t="s">
        <v>2871</v>
      </c>
      <c r="F13" s="30" t="s">
        <v>2872</v>
      </c>
      <c r="G13" s="2765" t="s">
        <v>2873</v>
      </c>
      <c r="H13" s="2765" t="s">
        <v>2873</v>
      </c>
      <c r="I13" s="2765" t="s">
        <v>2873</v>
      </c>
      <c r="J13" s="2766" t="s">
        <v>2873</v>
      </c>
      <c r="K13" s="1371"/>
      <c r="L13" s="1371"/>
      <c r="M13" s="1371"/>
      <c r="N13" s="1371"/>
      <c r="O13" s="1371"/>
      <c r="P13" s="1371"/>
      <c r="Q13" s="1371"/>
      <c r="R13" s="1603">
        <v>12</v>
      </c>
      <c r="S13" s="1604"/>
      <c r="T13" s="1603" t="e">
        <f t="shared" si="0"/>
        <v>#DIV/0!</v>
      </c>
      <c r="U13" s="1604"/>
      <c r="V13" s="1603" t="e">
        <f t="shared" si="1"/>
        <v>#DIV/0!</v>
      </c>
      <c r="W13" s="3288"/>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295"/>
      <c r="B14" s="2767"/>
      <c r="C14" s="2768"/>
      <c r="D14" s="2769"/>
      <c r="E14" s="2769"/>
      <c r="F14" s="2770"/>
      <c r="G14" s="2771" t="s">
        <v>2874</v>
      </c>
      <c r="H14" s="2772"/>
      <c r="I14" s="2773"/>
      <c r="J14" s="2774"/>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96"/>
      <c r="B15" s="2775" t="s">
        <v>2875</v>
      </c>
      <c r="C15" s="229">
        <f>IF(C14="有",1.1,1)</f>
        <v>1</v>
      </c>
      <c r="D15" s="229">
        <f>IF(D14="有",1.1,1)</f>
        <v>1</v>
      </c>
      <c r="E15" s="229">
        <f>IF(E14="有",1.1,1)</f>
        <v>1</v>
      </c>
      <c r="F15" s="229">
        <f>IF(F14="500米范围内",1.2,IF(F14="500-1000米",1.1,1))</f>
        <v>1</v>
      </c>
      <c r="G15" s="948">
        <v>1</v>
      </c>
      <c r="H15" s="948">
        <v>1</v>
      </c>
      <c r="I15" s="948">
        <v>1</v>
      </c>
      <c r="J15" s="949">
        <v>1</v>
      </c>
      <c r="K15" s="1371"/>
      <c r="L15" s="2776" t="s">
        <v>2811</v>
      </c>
      <c r="M15" s="919" t="s">
        <v>2876</v>
      </c>
      <c r="N15" s="919" t="s">
        <v>2877</v>
      </c>
      <c r="O15" s="919" t="s">
        <v>2878</v>
      </c>
      <c r="P15" s="2777" t="s">
        <v>2879</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3" t="s">
        <v>2880</v>
      </c>
      <c r="B16" s="2744" t="s">
        <v>2881</v>
      </c>
      <c r="C16" s="1802" t="e">
        <f>ROUND(SUM(G17:J17)/C17,0)</f>
        <v>#DIV/0!</v>
      </c>
      <c r="D16" s="2778" t="s">
        <v>2882</v>
      </c>
      <c r="E16" s="2779"/>
      <c r="F16" s="2780"/>
      <c r="G16" s="2781"/>
      <c r="H16" s="2781"/>
      <c r="I16" s="2781"/>
      <c r="J16" s="2782"/>
      <c r="K16" s="1371"/>
      <c r="L16" s="2783" t="s">
        <v>2883</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94"/>
      <c r="B17" s="2784" t="s">
        <v>2884</v>
      </c>
      <c r="C17" s="923">
        <f>SUMPRODUCT((修正!A2:A5=E2)*(修正!B1:M1=G2)*(修正!B2:M5))</f>
        <v>0</v>
      </c>
      <c r="D17" s="2785" t="s">
        <v>2885</v>
      </c>
      <c r="E17" s="922" t="str">
        <f>IF(OR(G2="八级",G2="九级",G2="十级",G2="十一级",G2="十二级"),"五通一平","七通一平")</f>
        <v>七通一平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6" t="s">
        <v>2887</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2888</v>
      </c>
      <c r="C18" s="925">
        <f>SUMIF(修正!C18:C39,E3,修正!E18:E39)</f>
        <v>0</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7.75" thickBot="1">
      <c r="A19" s="2788" t="s">
        <v>809</v>
      </c>
      <c r="B19" s="2789" t="s">
        <v>2889</v>
      </c>
      <c r="C19" s="926" t="e">
        <f>ROUND(IF(H19="按公示增长率计算",SUMPRODUCT((地价!A3:A24=YEAR(G19)&amp;"-"&amp;ROUNDUP(MONTH(G19)/3,0))*(地价!X2:AB2=E2)*(地价!X3:AB24)),IF(H19="地价指数",M20/M19,(1+I19)^O19)),4)</f>
        <v>#DIV/0!</v>
      </c>
      <c r="D19" s="2796" t="s">
        <v>2890</v>
      </c>
      <c r="E19" s="927">
        <v>41640</v>
      </c>
      <c r="F19" s="2796" t="s">
        <v>2891</v>
      </c>
      <c r="G19" s="928">
        <f>'数据-取费表'!B2</f>
        <v>43692</v>
      </c>
      <c r="H19" s="2797" t="s">
        <v>2892</v>
      </c>
      <c r="I19" s="929" t="str">
        <f>IF(H19="季度增幅（自定义）",SUMIF(N21:N24,E2,O21:O24),"")</f>
        <v/>
      </c>
      <c r="J19" s="2794"/>
      <c r="K19" s="1378"/>
      <c r="L19" s="2798" t="s">
        <v>2893</v>
      </c>
      <c r="M19" s="1735">
        <f>ROUND(SUMIF(地价!B2:F2,E2,地价!B24:F24),0)</f>
        <v>0</v>
      </c>
      <c r="N19" s="2799" t="s">
        <v>2894</v>
      </c>
      <c r="O19" s="930">
        <f>ROUNDDOWN(DATEDIF(E19,G19,"M")/3,0)</f>
        <v>22</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2895</v>
      </c>
      <c r="C20" s="931" t="e">
        <f>ROUND(POWER(1+G20,J20-I20)*(POWER(1+G20,I20)-1)/(POWER(1+G20,J20)-1),4)</f>
        <v>#DIV/0!</v>
      </c>
      <c r="D20" s="2805" t="s">
        <v>2896</v>
      </c>
      <c r="E20" s="1769">
        <f ca="1">存贷款利率!D4/100</f>
        <v>4.3499999999999997E-2</v>
      </c>
      <c r="F20" s="2805" t="s">
        <v>2887</v>
      </c>
      <c r="G20" s="936">
        <f>SUMIF(M15:P15,E2,M17:P17)</f>
        <v>0</v>
      </c>
      <c r="H20" s="2805" t="s">
        <v>2897</v>
      </c>
      <c r="I20" s="937" t="e">
        <f>SUMIF('数据-取费表'!C6:C15,E2,'数据-取费表'!F6:F15)/COUNTIF('数据-取费表'!C6:C15,E2)</f>
        <v>#DIV/0!</v>
      </c>
      <c r="J20" s="938">
        <f>IF(E2="住宅",70,IF(E2="商业",40,50))</f>
        <v>50</v>
      </c>
      <c r="K20" s="1378"/>
      <c r="L20" s="2806" t="s">
        <v>2898</v>
      </c>
      <c r="M20" s="1736">
        <f>ROUND(SUMPRODUCT((地价!A4:A24=YEAR(G19)&amp;"-"&amp;ROUNDUP(MONTH(G19)/3,0))*(地价!B2:F2=E2)*(地价!B4:F24)),0)</f>
        <v>0</v>
      </c>
      <c r="N20" s="2807" t="s">
        <v>2899</v>
      </c>
      <c r="O20" s="2808" t="s">
        <v>2900</v>
      </c>
      <c r="P20" s="2809" t="s">
        <v>2901</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2902</v>
      </c>
      <c r="C21" s="939" t="e">
        <f>IF(B21="容积率修正",IF(G3&lt;=10,D22,J22),C23)</f>
        <v>#DIV/0!</v>
      </c>
      <c r="D21" s="2812"/>
      <c r="E21" s="2812"/>
      <c r="F21" s="2812"/>
      <c r="G21" s="2812"/>
      <c r="H21" s="2812"/>
      <c r="I21" s="2812"/>
      <c r="J21" s="2813"/>
      <c r="K21" s="1378"/>
      <c r="N21" s="2814" t="s">
        <v>2903</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7" customFormat="1" ht="14.25">
      <c r="A22" s="2663" t="s">
        <v>2904</v>
      </c>
      <c r="B22" s="2815" t="s">
        <v>2905</v>
      </c>
      <c r="C22" s="1811" t="s">
        <v>2906</v>
      </c>
      <c r="D22" s="1811" t="e">
        <f>IF(E22=G22,F22,IF(G3&lt;=10,ROUND(F22+(H22-F22)*(G3-E22)/(G22-E22),4),"——"))</f>
        <v>#DIV/0!</v>
      </c>
      <c r="E22" s="915"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40" t="e">
        <f>IF(G3&gt;10,D113,"——")</f>
        <v>#DIV/0!</v>
      </c>
      <c r="K22" s="1378"/>
      <c r="N22" s="2814" t="s">
        <v>2907</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3" t="s">
        <v>2908</v>
      </c>
      <c r="B23" s="2816" t="s">
        <v>2909</v>
      </c>
      <c r="C23" s="1015" t="e">
        <f>ROUND(IF(G3&gt;1,IF(I3&lt;7,SUMPRODUCT((B93:B98=I3)*(C92:N92=G2)*(C93:N98)),SUMIF(C92:N92,G2,C100:N100)),IF(I3&lt;7,SUMPRODUCT((B102:B107=I3)*(C92:N92=G2)*(C102:N107)),SUMIF(C92:N92,G2,C109:N109))),4)</f>
        <v>#DIV/0!</v>
      </c>
      <c r="D23" s="2772"/>
      <c r="E23" s="2772"/>
      <c r="F23" s="2817"/>
      <c r="G23" s="2818"/>
      <c r="H23" s="2819"/>
      <c r="I23" s="2820"/>
      <c r="J23" s="2821"/>
      <c r="K23" s="1371"/>
      <c r="N23" s="2814" t="s">
        <v>2910</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2911</v>
      </c>
      <c r="C24" s="926">
        <f>SUMIF(A45:A88,E2,B45:B88)</f>
        <v>0</v>
      </c>
      <c r="D24" s="2792"/>
      <c r="E24" s="2822"/>
      <c r="F24" s="2822"/>
      <c r="G24" s="2822"/>
      <c r="H24" s="2822"/>
      <c r="I24" s="2822"/>
      <c r="J24" s="2823"/>
      <c r="K24" s="1378"/>
      <c r="N24" s="2824" t="s">
        <v>2912</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2913</v>
      </c>
      <c r="C25" s="932"/>
      <c r="D25" s="2747"/>
      <c r="E25" s="2747"/>
      <c r="F25" s="2826"/>
      <c r="G25" s="2747"/>
      <c r="H25" s="2747"/>
      <c r="I25" s="2747"/>
      <c r="J25" s="2748"/>
      <c r="K25" s="1371"/>
      <c r="N25" s="2827" t="s">
        <v>2914</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8"/>
      <c r="B26" s="2815" t="s">
        <v>2915</v>
      </c>
      <c r="C26" s="206" t="e">
        <f>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2916</v>
      </c>
      <c r="C27" s="933" t="e">
        <f>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2917</v>
      </c>
      <c r="C28" s="2839" t="s">
        <v>2918</v>
      </c>
      <c r="D28" s="2839" t="s">
        <v>2919</v>
      </c>
      <c r="E28" s="2840" t="s">
        <v>2920</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2921</v>
      </c>
      <c r="C29" s="206" t="e">
        <f>ROUND(C5*C18*C19*C20*C21*C24,0)</f>
        <v>#DIV/0!</v>
      </c>
      <c r="D29" s="2844"/>
      <c r="E29" s="944" t="e">
        <f>ROUND(C29*D29/10000,0)</f>
        <v>#DIV/0!</v>
      </c>
      <c r="F29" s="2845" t="s">
        <v>2922</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2923</v>
      </c>
      <c r="C30" s="229" t="e">
        <f>ROUND(IF(E2="工业",C29*M39,C29*M38),0)</f>
        <v>#DIV/0!</v>
      </c>
      <c r="D30" s="2850"/>
      <c r="E30" s="944" t="e">
        <f>ROUND(C30*D30/10000,0)</f>
        <v>#DIV/0!</v>
      </c>
      <c r="F30" s="2851" t="s">
        <v>2924</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2925</v>
      </c>
      <c r="C31" s="2856" t="s">
        <v>2926</v>
      </c>
      <c r="D31" s="2760"/>
      <c r="E31" s="2856"/>
      <c r="F31" s="2856"/>
      <c r="G31" s="2758" t="s">
        <v>2927</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0" t="s">
        <v>2918</v>
      </c>
      <c r="D32" s="497" t="s">
        <v>2919</v>
      </c>
      <c r="E32" s="497" t="s">
        <v>2920</v>
      </c>
      <c r="F32" s="388" t="s">
        <v>2928</v>
      </c>
      <c r="G32" s="2859" t="s">
        <v>2918</v>
      </c>
      <c r="H32" s="2859" t="s">
        <v>2919</v>
      </c>
      <c r="I32" s="2859" t="s">
        <v>2920</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303" t="s">
        <v>2929</v>
      </c>
      <c r="B33" s="2860" t="s">
        <v>2930</v>
      </c>
      <c r="C33" s="206" t="e">
        <f>ROUND(D5*C19*C20*C24*F33,0)</f>
        <v>#DIV/0!</v>
      </c>
      <c r="D33" s="2844"/>
      <c r="E33" s="200" t="e">
        <f>ROUND(C33*D33/10000,0)</f>
        <v>#DIV/0!</v>
      </c>
      <c r="F33" s="200">
        <f>SUMIF(修正!A45:A56,G2,修正!B45:B56)</f>
        <v>0</v>
      </c>
      <c r="G33" s="200" t="e">
        <f>ROUND(IF(E2="工业",C33*$M$39,C33*$M$38),0)</f>
        <v>#DIV/0!</v>
      </c>
      <c r="H33" s="200">
        <f>D33</f>
        <v>0</v>
      </c>
      <c r="I33" s="200" t="e">
        <f>ROUND(G33*H33/10000,0)</f>
        <v>#DIV/0!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04"/>
      <c r="B34" s="2764" t="s">
        <v>2931</v>
      </c>
      <c r="C34" s="206" t="e">
        <f>ROUND(D5*C19*C20*C24*F34,0)</f>
        <v>#DIV/0!</v>
      </c>
      <c r="D34" s="2844"/>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04"/>
      <c r="B35" s="2764" t="s">
        <v>2932</v>
      </c>
      <c r="C35" s="206" t="e">
        <f>ROUND(D5*C19*C20*C24*F35,0)</f>
        <v>#DIV/0!</v>
      </c>
      <c r="D35" s="2844"/>
      <c r="E35" s="200" t="e">
        <f t="shared" si="6"/>
        <v>#DIV/0!</v>
      </c>
      <c r="F35" s="200">
        <f>SUMIF(修正!A45:A56,G2,修正!D45:D56)</f>
        <v>0</v>
      </c>
      <c r="G35" s="200" t="e">
        <f>ROUND(IF(E2="工业",C35*$M$39,C35*$M$38),0)</f>
        <v>#DIV/0!</v>
      </c>
      <c r="H35" s="200">
        <f t="shared" si="7"/>
        <v>0</v>
      </c>
      <c r="I35" s="200" t="e">
        <f t="shared" si="8"/>
        <v>#DIV/0!</v>
      </c>
      <c r="J35" s="2861"/>
      <c r="K35" s="1371"/>
      <c r="L35" s="1371"/>
      <c r="M35" s="1371"/>
      <c r="N35" s="1371"/>
      <c r="O35" s="1371"/>
      <c r="P35" s="1371"/>
      <c r="Q35" s="1371"/>
      <c r="R35" s="1371"/>
      <c r="S35" s="1371"/>
      <c r="T35" s="1371"/>
      <c r="U35" s="1371"/>
      <c r="V35" s="1371"/>
      <c r="W35" s="1371"/>
      <c r="X35" s="1371"/>
      <c r="Y35" s="1371"/>
      <c r="Z35" s="1372"/>
    </row>
    <row r="36" spans="1:37" ht="13.5" thickBot="1">
      <c r="A36" s="3305"/>
      <c r="B36" s="2764" t="s">
        <v>2933</v>
      </c>
      <c r="C36" s="206" t="e">
        <f>ROUND(D5*C19*C20*C24*F36,0)</f>
        <v>#DIV/0!</v>
      </c>
      <c r="D36" s="2844"/>
      <c r="E36" s="200" t="e">
        <f t="shared" si="6"/>
        <v>#DIV/0!</v>
      </c>
      <c r="F36" s="200">
        <f>SUMIF(修正!A45:A56,G2,修正!E45:E56)</f>
        <v>0</v>
      </c>
      <c r="G36" s="200" t="e">
        <f>ROUND(IF(E2="工业",C36*$M$39,C36*$M$38),0)</f>
        <v>#DIV/0!</v>
      </c>
      <c r="H36" s="200">
        <f t="shared" si="7"/>
        <v>0</v>
      </c>
      <c r="I36" s="200" t="e">
        <f t="shared" si="8"/>
        <v>#DIV/0!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2934</v>
      </c>
      <c r="C37" s="200" t="e">
        <f>ROUND(C5*C19*C20*C24*F37,0)</f>
        <v>#DIV/0!</v>
      </c>
      <c r="D37" s="2844"/>
      <c r="E37" s="200" t="e">
        <f t="shared" si="6"/>
        <v>#DIV/0!</v>
      </c>
      <c r="F37" s="206">
        <f>SUMIF(修正!A45:A56,G2,修正!F45:F56)</f>
        <v>0</v>
      </c>
      <c r="G37" s="200" t="e">
        <f>ROUND(IF(E2="工业",C37*$M$39,C37*$M$38),0)</f>
        <v>#DIV/0!</v>
      </c>
      <c r="H37" s="200">
        <f t="shared" si="7"/>
        <v>0</v>
      </c>
      <c r="I37" s="200" t="e">
        <f t="shared" si="8"/>
        <v>#DIV/0!</v>
      </c>
      <c r="J37" s="2861"/>
      <c r="K37" s="1371"/>
      <c r="L37" s="2863" t="s">
        <v>2935</v>
      </c>
      <c r="M37" s="2864"/>
      <c r="N37" s="1371"/>
      <c r="O37" s="1371"/>
      <c r="P37" s="1371"/>
      <c r="Q37" s="1371"/>
      <c r="R37" s="1371"/>
      <c r="S37" s="1371"/>
      <c r="T37" s="1371"/>
      <c r="U37" s="1371"/>
      <c r="V37" s="1371"/>
      <c r="W37" s="1371"/>
      <c r="X37" s="1371"/>
      <c r="Y37" s="1371"/>
      <c r="Z37" s="1372"/>
    </row>
    <row r="38" spans="1:37">
      <c r="A38" s="2862"/>
      <c r="B38" s="2764" t="s">
        <v>2936</v>
      </c>
      <c r="C38" s="200" t="e">
        <f>ROUND(C5*C19*C20*C24*F38,0)</f>
        <v>#DIV/0!</v>
      </c>
      <c r="D38" s="2844"/>
      <c r="E38" s="200" t="e">
        <f t="shared" si="6"/>
        <v>#DIV/0!</v>
      </c>
      <c r="F38" s="206">
        <f>SUMIF(修正!A45:A56,G2,修正!G45:G56)</f>
        <v>0</v>
      </c>
      <c r="G38" s="200" t="e">
        <f>ROUND(IF(E2="工业",C38*$M$39,C38*$M$38),0)</f>
        <v>#DIV/0!</v>
      </c>
      <c r="H38" s="200">
        <f t="shared" si="7"/>
        <v>0</v>
      </c>
      <c r="I38" s="200" t="e">
        <f t="shared" si="8"/>
        <v>#DIV/0!</v>
      </c>
      <c r="J38" s="2861"/>
      <c r="K38" s="1371"/>
      <c r="L38" s="1888" t="s">
        <v>2937</v>
      </c>
      <c r="M38" s="2865">
        <v>0.25</v>
      </c>
      <c r="N38" s="1371"/>
      <c r="O38" s="1371"/>
      <c r="P38" s="1371"/>
      <c r="Q38" s="1371"/>
      <c r="R38" s="1371"/>
      <c r="S38" s="1371"/>
      <c r="T38" s="1371"/>
      <c r="U38" s="1371"/>
      <c r="V38" s="1371"/>
      <c r="W38" s="1371"/>
      <c r="X38" s="1371"/>
      <c r="Y38" s="1371"/>
      <c r="Z38" s="1372"/>
    </row>
    <row r="39" spans="1:37" ht="13.5" thickBot="1">
      <c r="A39" s="2848"/>
      <c r="B39" s="2866" t="s">
        <v>2938</v>
      </c>
      <c r="C39" s="229" t="e">
        <f>ROUND(C5*C19*C20*C24*F39,0)</f>
        <v>#DIV/0!</v>
      </c>
      <c r="D39" s="2850"/>
      <c r="E39" s="229" t="e">
        <f t="shared" si="6"/>
        <v>#DIV/0!</v>
      </c>
      <c r="F39" s="934">
        <f>SUMIF(修正!A45:A56,G2,修正!H45:H56)</f>
        <v>0</v>
      </c>
      <c r="G39" s="229" t="e">
        <f>ROUND(IF(E2="工业",C39*$M$39,C39*$M$38),0)</f>
        <v>#DIV/0!</v>
      </c>
      <c r="H39" s="229">
        <f t="shared" si="7"/>
        <v>0</v>
      </c>
      <c r="I39" s="229" t="e">
        <f t="shared" si="8"/>
        <v>#DIV/0!</v>
      </c>
      <c r="J39" s="2867"/>
      <c r="K39" s="1371"/>
      <c r="L39" s="2868" t="s">
        <v>2879</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2939</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2940</v>
      </c>
      <c r="B46" s="2874">
        <f>1+E48</f>
        <v>1</v>
      </c>
      <c r="C46" s="2875"/>
      <c r="D46" s="813"/>
      <c r="E46" s="814"/>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2941</v>
      </c>
      <c r="B47" s="1810" t="s">
        <v>2942</v>
      </c>
      <c r="C47" s="1810" t="s">
        <v>2943</v>
      </c>
      <c r="D47" s="1810" t="s">
        <v>2944</v>
      </c>
      <c r="E47" s="818" t="s">
        <v>2945</v>
      </c>
      <c r="F47" s="2878" t="s">
        <v>2946</v>
      </c>
      <c r="G47" s="1810" t="s">
        <v>754</v>
      </c>
      <c r="H47" s="2879" t="s">
        <v>2947</v>
      </c>
      <c r="I47" s="1810" t="s">
        <v>2948</v>
      </c>
      <c r="J47" s="602" t="s">
        <v>2595</v>
      </c>
      <c r="K47" s="602" t="s">
        <v>2596</v>
      </c>
      <c r="L47" s="602" t="s">
        <v>2597</v>
      </c>
      <c r="M47" s="602" t="s">
        <v>2598</v>
      </c>
      <c r="N47" s="602" t="s">
        <v>2599</v>
      </c>
      <c r="AA47" s="1372"/>
      <c r="AB47" s="1372"/>
      <c r="AC47" s="1372"/>
      <c r="AD47" s="1372"/>
      <c r="AE47" s="1372"/>
      <c r="AF47" s="1372"/>
      <c r="AG47" s="1372"/>
      <c r="AH47" s="1372"/>
      <c r="AI47" s="1372"/>
      <c r="AJ47" s="1372"/>
      <c r="AK47" s="1372"/>
    </row>
    <row r="48" spans="1:37" s="1371" customFormat="1" ht="38.25">
      <c r="A48" s="2877" t="s">
        <v>2949</v>
      </c>
      <c r="B48" s="2880" t="str">
        <f>估价对象房地状况!C4</f>
        <v>估价对象位于XX商圈，周边商业氛围成熟，人流量大，商业繁华度好</v>
      </c>
      <c r="C48" s="2769"/>
      <c r="D48" s="1287">
        <f t="shared" ref="D48:D56" si="9">SUMIF($J$47:$N$47,C48,J48:N48)</f>
        <v>0</v>
      </c>
      <c r="E48" s="820">
        <f>ROUND(SUM(D48:D56),4)</f>
        <v>0</v>
      </c>
      <c r="F48" s="2500" t="str">
        <f>IF(E2="商业",SUMIF(L1:L12,G2,N1:N12),"——")</f>
        <v>——</v>
      </c>
      <c r="G48" s="1285"/>
      <c r="H48" s="1289" t="str">
        <f t="shared" ref="H48:H56" si="10">IFERROR(ROUNDDOWN($F$48*I48/2,4),"——")</f>
        <v>——</v>
      </c>
      <c r="I48" s="819">
        <v>0.33</v>
      </c>
      <c r="J48" s="1286">
        <f t="shared" ref="J48:J56" si="11">K48+$G48</f>
        <v>0</v>
      </c>
      <c r="K48" s="1286">
        <f t="shared" ref="K48:K56" si="12">$L48+$G48</f>
        <v>0</v>
      </c>
      <c r="L48" s="1286">
        <v>0</v>
      </c>
      <c r="M48" s="1286">
        <f t="shared" ref="M48:N56" si="13">L48-$G48</f>
        <v>0</v>
      </c>
      <c r="N48" s="1286">
        <f t="shared" si="13"/>
        <v>0</v>
      </c>
      <c r="AA48" s="1372"/>
      <c r="AB48" s="1372"/>
      <c r="AC48" s="1372"/>
      <c r="AD48" s="1372"/>
      <c r="AE48" s="1372"/>
      <c r="AF48" s="1372"/>
      <c r="AG48" s="1372"/>
      <c r="AH48" s="1372"/>
      <c r="AI48" s="1372"/>
      <c r="AJ48" s="1372"/>
      <c r="AK48" s="1372"/>
    </row>
    <row r="49" spans="1:37" s="1371" customFormat="1" ht="51">
      <c r="A49" s="2877" t="s">
        <v>2950</v>
      </c>
      <c r="B49" s="2881" t="str">
        <f>估价对象房地状况!C18</f>
        <v>估价对象周边道路状况、公共交通通达情况、停车便捷程度，综合评价交通便捷度较好</v>
      </c>
      <c r="C49" s="2769"/>
      <c r="D49" s="1287">
        <f t="shared" si="9"/>
        <v>0</v>
      </c>
      <c r="E49" s="821"/>
      <c r="F49" s="2500"/>
      <c r="G49" s="1285"/>
      <c r="H49" s="1289" t="str">
        <f t="shared" si="10"/>
        <v>——</v>
      </c>
      <c r="I49" s="819">
        <v>0.25</v>
      </c>
      <c r="J49" s="1286">
        <f t="shared" si="11"/>
        <v>0</v>
      </c>
      <c r="K49" s="1286">
        <f t="shared" si="12"/>
        <v>0</v>
      </c>
      <c r="L49" s="1286">
        <v>0</v>
      </c>
      <c r="M49" s="1286">
        <f t="shared" si="13"/>
        <v>0</v>
      </c>
      <c r="N49" s="1286">
        <f t="shared" si="13"/>
        <v>0</v>
      </c>
      <c r="AA49" s="1372"/>
      <c r="AB49" s="1372"/>
      <c r="AC49" s="1372"/>
      <c r="AD49" s="1372"/>
      <c r="AE49" s="1372"/>
      <c r="AF49" s="1372"/>
      <c r="AG49" s="1372"/>
      <c r="AH49" s="1372"/>
      <c r="AI49" s="1372"/>
      <c r="AJ49" s="1372"/>
      <c r="AK49" s="1372"/>
    </row>
    <row r="50" spans="1:37" s="1371" customFormat="1" ht="24">
      <c r="A50" s="2877" t="s">
        <v>2951</v>
      </c>
      <c r="B50" s="2881">
        <f>估价对象房地状况!C19</f>
        <v>0</v>
      </c>
      <c r="C50" s="2769"/>
      <c r="D50" s="1287">
        <f t="shared" si="9"/>
        <v>0</v>
      </c>
      <c r="E50" s="821"/>
      <c r="F50" s="2500"/>
      <c r="G50" s="1285"/>
      <c r="H50" s="1289" t="str">
        <f t="shared" si="10"/>
        <v>——</v>
      </c>
      <c r="I50" s="819">
        <v>0.05</v>
      </c>
      <c r="J50" s="1286">
        <f t="shared" si="11"/>
        <v>0</v>
      </c>
      <c r="K50" s="1286">
        <f t="shared" si="12"/>
        <v>0</v>
      </c>
      <c r="L50" s="1286">
        <v>0</v>
      </c>
      <c r="M50" s="1286">
        <f t="shared" si="13"/>
        <v>0</v>
      </c>
      <c r="N50" s="1286">
        <f t="shared" si="13"/>
        <v>0</v>
      </c>
      <c r="AA50" s="1372"/>
      <c r="AB50" s="1372"/>
      <c r="AC50" s="1372"/>
      <c r="AD50" s="1372"/>
      <c r="AE50" s="1372"/>
      <c r="AF50" s="1372"/>
      <c r="AG50" s="1372"/>
      <c r="AH50" s="1372"/>
      <c r="AI50" s="1372"/>
      <c r="AJ50" s="1372"/>
      <c r="AK50" s="1372"/>
    </row>
    <row r="51" spans="1:37" s="1371" customFormat="1" ht="36.75">
      <c r="A51" s="2877" t="s">
        <v>2952</v>
      </c>
      <c r="B51" s="2882" t="s">
        <v>2953</v>
      </c>
      <c r="C51" s="2769"/>
      <c r="D51" s="1287">
        <f t="shared" si="9"/>
        <v>0</v>
      </c>
      <c r="E51" s="821"/>
      <c r="F51" s="2500"/>
      <c r="G51" s="1285"/>
      <c r="H51" s="1289" t="str">
        <f t="shared" si="10"/>
        <v>——</v>
      </c>
      <c r="I51" s="819">
        <v>0.05</v>
      </c>
      <c r="J51" s="1286">
        <f t="shared" si="11"/>
        <v>0</v>
      </c>
      <c r="K51" s="1286">
        <f t="shared" si="12"/>
        <v>0</v>
      </c>
      <c r="L51" s="1286">
        <v>0</v>
      </c>
      <c r="M51" s="1286">
        <f t="shared" si="13"/>
        <v>0</v>
      </c>
      <c r="N51" s="1286">
        <f t="shared" si="13"/>
        <v>0</v>
      </c>
      <c r="AA51" s="1372"/>
      <c r="AB51" s="1372"/>
      <c r="AC51" s="1372"/>
      <c r="AD51" s="1372"/>
      <c r="AE51" s="1372"/>
      <c r="AF51" s="1372"/>
      <c r="AG51" s="1372"/>
      <c r="AH51" s="1372"/>
      <c r="AI51" s="1372"/>
      <c r="AJ51" s="1372"/>
      <c r="AK51" s="1372"/>
    </row>
    <row r="52" spans="1:37" s="1371" customFormat="1" ht="24">
      <c r="A52" s="2877" t="s">
        <v>2954</v>
      </c>
      <c r="B52" s="2881">
        <f>估价对象房地状况!C24</f>
        <v>0</v>
      </c>
      <c r="C52" s="2769"/>
      <c r="D52" s="1287">
        <f t="shared" si="9"/>
        <v>0</v>
      </c>
      <c r="E52" s="821"/>
      <c r="F52" s="2500"/>
      <c r="G52" s="1285"/>
      <c r="H52" s="1289" t="str">
        <f t="shared" si="10"/>
        <v>——</v>
      </c>
      <c r="I52" s="819">
        <v>0.08</v>
      </c>
      <c r="J52" s="1286">
        <f t="shared" si="11"/>
        <v>0</v>
      </c>
      <c r="K52" s="1286">
        <f t="shared" si="12"/>
        <v>0</v>
      </c>
      <c r="L52" s="1286">
        <v>0</v>
      </c>
      <c r="M52" s="1286">
        <f t="shared" si="13"/>
        <v>0</v>
      </c>
      <c r="N52" s="1286">
        <f t="shared" si="13"/>
        <v>0</v>
      </c>
      <c r="AA52" s="1372"/>
      <c r="AB52" s="1372"/>
      <c r="AC52" s="1372"/>
      <c r="AD52" s="1372"/>
      <c r="AE52" s="1372"/>
      <c r="AF52" s="1372"/>
      <c r="AG52" s="1372"/>
      <c r="AH52" s="1372"/>
      <c r="AI52" s="1372"/>
      <c r="AJ52" s="1372"/>
      <c r="AK52" s="1372"/>
    </row>
    <row r="53" spans="1:37" s="1371" customFormat="1" ht="24">
      <c r="A53" s="2877" t="s">
        <v>2955</v>
      </c>
      <c r="B53" s="2883" t="s">
        <v>2956</v>
      </c>
      <c r="C53" s="2769"/>
      <c r="D53" s="1287">
        <f t="shared" si="9"/>
        <v>0</v>
      </c>
      <c r="E53" s="821"/>
      <c r="F53" s="2500"/>
      <c r="G53" s="1285"/>
      <c r="H53" s="1289" t="str">
        <f t="shared" si="10"/>
        <v>——</v>
      </c>
      <c r="I53" s="819">
        <v>0.03</v>
      </c>
      <c r="J53" s="1286">
        <f t="shared" si="11"/>
        <v>0</v>
      </c>
      <c r="K53" s="1286">
        <f t="shared" si="12"/>
        <v>0</v>
      </c>
      <c r="L53" s="1286">
        <v>0</v>
      </c>
      <c r="M53" s="1286">
        <f t="shared" si="13"/>
        <v>0</v>
      </c>
      <c r="N53" s="1286">
        <f t="shared" si="13"/>
        <v>0</v>
      </c>
      <c r="AA53" s="1372"/>
      <c r="AB53" s="1372"/>
      <c r="AC53" s="1372"/>
      <c r="AD53" s="1372"/>
      <c r="AE53" s="1372"/>
      <c r="AF53" s="1372"/>
      <c r="AG53" s="1372"/>
      <c r="AH53" s="1372"/>
      <c r="AI53" s="1372"/>
      <c r="AJ53" s="1372"/>
      <c r="AK53" s="1372"/>
    </row>
    <row r="54" spans="1:37" s="1371" customFormat="1" ht="25.5">
      <c r="A54" s="2884" t="s">
        <v>2957</v>
      </c>
      <c r="B54" s="1726" t="str">
        <f>估价对象房地状况!C21</f>
        <v>估价对象所在区域公共配套设施齐备情况</v>
      </c>
      <c r="C54" s="2769"/>
      <c r="D54" s="1287">
        <f t="shared" si="9"/>
        <v>0</v>
      </c>
      <c r="E54" s="821"/>
      <c r="F54" s="2500"/>
      <c r="G54" s="1285"/>
      <c r="H54" s="1289" t="str">
        <f t="shared" si="10"/>
        <v>——</v>
      </c>
      <c r="I54" s="819">
        <v>0.05</v>
      </c>
      <c r="J54" s="1286">
        <f t="shared" si="11"/>
        <v>0</v>
      </c>
      <c r="K54" s="1286">
        <f t="shared" si="12"/>
        <v>0</v>
      </c>
      <c r="L54" s="1286">
        <v>0</v>
      </c>
      <c r="M54" s="1286">
        <f t="shared" si="13"/>
        <v>0</v>
      </c>
      <c r="N54" s="1286">
        <f t="shared" si="13"/>
        <v>0</v>
      </c>
      <c r="AA54" s="1372"/>
      <c r="AB54" s="1372"/>
      <c r="AC54" s="1372"/>
      <c r="AD54" s="1372"/>
      <c r="AE54" s="1372"/>
      <c r="AF54" s="1372"/>
      <c r="AG54" s="1372"/>
      <c r="AH54" s="1372"/>
      <c r="AI54" s="1372"/>
      <c r="AJ54" s="1372"/>
      <c r="AK54" s="1372"/>
    </row>
    <row r="55" spans="1:37" s="1371" customFormat="1" ht="25.5">
      <c r="A55" s="2884" t="s">
        <v>2958</v>
      </c>
      <c r="B55" s="2881" t="str">
        <f>估价对象房地状况!C22</f>
        <v>估价对象所在区域基础设施水平</v>
      </c>
      <c r="C55" s="2769"/>
      <c r="D55" s="1287">
        <f t="shared" si="9"/>
        <v>0</v>
      </c>
      <c r="E55" s="821"/>
      <c r="F55" s="2500"/>
      <c r="G55" s="1285"/>
      <c r="H55" s="1289" t="str">
        <f t="shared" si="10"/>
        <v>——</v>
      </c>
      <c r="I55" s="819">
        <v>0.1</v>
      </c>
      <c r="J55" s="1286">
        <f t="shared" si="11"/>
        <v>0</v>
      </c>
      <c r="K55" s="1286">
        <f t="shared" si="12"/>
        <v>0</v>
      </c>
      <c r="L55" s="1286">
        <v>0</v>
      </c>
      <c r="M55" s="1286">
        <f t="shared" si="13"/>
        <v>0</v>
      </c>
      <c r="N55" s="1286">
        <f t="shared" si="13"/>
        <v>0</v>
      </c>
      <c r="AA55" s="1372"/>
      <c r="AB55" s="1372"/>
      <c r="AC55" s="1372"/>
      <c r="AD55" s="1372"/>
      <c r="AE55" s="1372"/>
      <c r="AF55" s="1372"/>
      <c r="AG55" s="1372"/>
      <c r="AH55" s="1372"/>
      <c r="AI55" s="1372"/>
      <c r="AJ55" s="1372"/>
      <c r="AK55" s="1372"/>
    </row>
    <row r="56" spans="1:37" s="1371" customFormat="1" ht="39" thickBot="1">
      <c r="A56" s="2885" t="s">
        <v>2959</v>
      </c>
      <c r="B56" s="2886" t="str">
        <f>估价对象房地状况!C20</f>
        <v>区域自然环境：；人文环境；综合评价环境状况一般</v>
      </c>
      <c r="C56" s="2769"/>
      <c r="D56" s="1287">
        <f t="shared" si="9"/>
        <v>0</v>
      </c>
      <c r="E56" s="824"/>
      <c r="F56" s="2500"/>
      <c r="G56" s="1285"/>
      <c r="H56" s="1289" t="str">
        <f t="shared" si="10"/>
        <v>——</v>
      </c>
      <c r="I56" s="823">
        <v>0.06</v>
      </c>
      <c r="J56" s="1286">
        <f t="shared" si="11"/>
        <v>0</v>
      </c>
      <c r="K56" s="1286">
        <f t="shared" si="12"/>
        <v>0</v>
      </c>
      <c r="L56" s="1286">
        <v>0</v>
      </c>
      <c r="M56" s="1286">
        <f t="shared" si="13"/>
        <v>0</v>
      </c>
      <c r="N56" s="1286">
        <f t="shared" si="13"/>
        <v>0</v>
      </c>
      <c r="AA56" s="1372"/>
      <c r="AB56" s="1372"/>
      <c r="AC56" s="1372"/>
      <c r="AD56" s="1372"/>
      <c r="AE56" s="1372"/>
      <c r="AF56" s="1372"/>
      <c r="AG56" s="1372"/>
      <c r="AH56" s="1372"/>
      <c r="AI56" s="1372"/>
      <c r="AJ56" s="1372"/>
      <c r="AK56" s="1372"/>
    </row>
    <row r="57" spans="1:37" s="1371" customFormat="1" ht="15">
      <c r="A57" s="2873" t="s">
        <v>2960</v>
      </c>
      <c r="B57" s="2874">
        <f>1+E59</f>
        <v>1</v>
      </c>
      <c r="C57" s="813"/>
      <c r="D57" s="813"/>
      <c r="E57" s="814"/>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2941</v>
      </c>
      <c r="B58" s="1810"/>
      <c r="C58" s="1810" t="s">
        <v>2943</v>
      </c>
      <c r="D58" s="1810" t="s">
        <v>2944</v>
      </c>
      <c r="E58" s="818" t="s">
        <v>2945</v>
      </c>
      <c r="F58" s="2878" t="s">
        <v>2961</v>
      </c>
      <c r="G58" s="1810" t="s">
        <v>754</v>
      </c>
      <c r="H58" s="2879" t="s">
        <v>2947</v>
      </c>
      <c r="I58" s="1810" t="s">
        <v>2948</v>
      </c>
      <c r="J58" s="602" t="s">
        <v>2595</v>
      </c>
      <c r="K58" s="602" t="s">
        <v>2596</v>
      </c>
      <c r="L58" s="602" t="s">
        <v>2597</v>
      </c>
      <c r="M58" s="602" t="s">
        <v>2598</v>
      </c>
      <c r="N58" s="602" t="s">
        <v>2599</v>
      </c>
      <c r="AA58" s="1372"/>
      <c r="AB58" s="1372"/>
      <c r="AC58" s="1372"/>
      <c r="AD58" s="1372"/>
      <c r="AE58" s="1372"/>
      <c r="AF58" s="1372"/>
      <c r="AG58" s="1372"/>
      <c r="AH58" s="1372"/>
      <c r="AI58" s="1372"/>
      <c r="AJ58" s="1372"/>
      <c r="AK58" s="1372"/>
    </row>
    <row r="59" spans="1:37" s="1371" customFormat="1" ht="38.25">
      <c r="A59" s="2877" t="s">
        <v>2962</v>
      </c>
      <c r="B59" s="2880" t="str">
        <f>估价对象房地状况!C17</f>
        <v>估价对象位于XX商圈，周边办公楼项目较多，入驻率高，办公集聚程度较好</v>
      </c>
      <c r="C59" s="2769"/>
      <c r="D59" s="1287">
        <f t="shared" ref="D59:D67" si="14">SUMIF($J$58:$N$58,C59,J59:N59)</f>
        <v>0</v>
      </c>
      <c r="E59" s="820">
        <f>ROUND(SUM(D59:D67),4)</f>
        <v>0</v>
      </c>
      <c r="F59" s="2500" t="str">
        <f>IF(E2="办公",SUMIF(L1:L12,G2,N1:N12),"——")</f>
        <v>——</v>
      </c>
      <c r="G59" s="1285"/>
      <c r="H59" s="1289" t="str">
        <f t="shared" ref="H59:H67" si="15">IFERROR(ROUNDDOWN($F$59*I59/2,4),"——")</f>
        <v>——</v>
      </c>
      <c r="I59" s="819">
        <v>0.24</v>
      </c>
      <c r="J59" s="1286">
        <f t="shared" ref="J59:J67" si="16">K59+$G59</f>
        <v>0</v>
      </c>
      <c r="K59" s="1286">
        <f t="shared" ref="K59:K67" si="17">$L59+$G59</f>
        <v>0</v>
      </c>
      <c r="L59" s="1286">
        <v>0</v>
      </c>
      <c r="M59" s="1286">
        <f t="shared" ref="M59:N67" si="18">L59-$G59</f>
        <v>0</v>
      </c>
      <c r="N59" s="1286">
        <f t="shared" si="18"/>
        <v>0</v>
      </c>
      <c r="AA59" s="1372"/>
      <c r="AB59" s="1372"/>
      <c r="AC59" s="1372"/>
      <c r="AD59" s="1372"/>
      <c r="AE59" s="1372"/>
      <c r="AF59" s="1372"/>
      <c r="AG59" s="1372"/>
      <c r="AH59" s="1372"/>
      <c r="AI59" s="1372"/>
      <c r="AJ59" s="1372"/>
      <c r="AK59" s="1372"/>
    </row>
    <row r="60" spans="1:37" s="1371" customFormat="1" ht="51">
      <c r="A60" s="2877" t="s">
        <v>2950</v>
      </c>
      <c r="B60" s="2881" t="str">
        <f>估价对象房地状况!C18</f>
        <v>估价对象周边道路状况、公共交通通达情况、停车便捷程度，综合评价交通便捷度较好</v>
      </c>
      <c r="C60" s="2769"/>
      <c r="D60" s="1287">
        <f t="shared" si="14"/>
        <v>0</v>
      </c>
      <c r="E60" s="821"/>
      <c r="F60" s="2500"/>
      <c r="G60" s="1285"/>
      <c r="H60" s="1289" t="str">
        <f t="shared" si="15"/>
        <v>——</v>
      </c>
      <c r="I60" s="819">
        <v>0.3</v>
      </c>
      <c r="J60" s="1286">
        <f t="shared" si="16"/>
        <v>0</v>
      </c>
      <c r="K60" s="1286">
        <f t="shared" si="17"/>
        <v>0</v>
      </c>
      <c r="L60" s="1286">
        <v>0</v>
      </c>
      <c r="M60" s="1286">
        <f t="shared" si="18"/>
        <v>0</v>
      </c>
      <c r="N60" s="1286">
        <f t="shared" si="18"/>
        <v>0</v>
      </c>
      <c r="AA60" s="1372"/>
      <c r="AB60" s="1372"/>
      <c r="AC60" s="1372"/>
      <c r="AD60" s="1372"/>
      <c r="AE60" s="1372"/>
      <c r="AF60" s="1372"/>
      <c r="AG60" s="1372"/>
      <c r="AH60" s="1372"/>
      <c r="AI60" s="1372"/>
      <c r="AJ60" s="1372"/>
      <c r="AK60" s="1372"/>
    </row>
    <row r="61" spans="1:37" s="1371" customFormat="1" ht="24">
      <c r="A61" s="2877" t="s">
        <v>2951</v>
      </c>
      <c r="B61" s="2881">
        <f>估价对象房地状况!C19</f>
        <v>0</v>
      </c>
      <c r="C61" s="2769"/>
      <c r="D61" s="1287">
        <f t="shared" si="14"/>
        <v>0</v>
      </c>
      <c r="E61" s="821"/>
      <c r="F61" s="2500"/>
      <c r="G61" s="1285"/>
      <c r="H61" s="1289" t="str">
        <f t="shared" si="15"/>
        <v>——</v>
      </c>
      <c r="I61" s="819">
        <v>0.08</v>
      </c>
      <c r="J61" s="1286">
        <f t="shared" si="16"/>
        <v>0</v>
      </c>
      <c r="K61" s="1286">
        <f t="shared" si="17"/>
        <v>0</v>
      </c>
      <c r="L61" s="1286">
        <v>0</v>
      </c>
      <c r="M61" s="1286">
        <f t="shared" si="18"/>
        <v>0</v>
      </c>
      <c r="N61" s="1286">
        <f t="shared" si="18"/>
        <v>0</v>
      </c>
      <c r="AA61" s="1372"/>
      <c r="AB61" s="1372"/>
      <c r="AC61" s="1372"/>
      <c r="AD61" s="1372"/>
      <c r="AE61" s="1372"/>
      <c r="AF61" s="1372"/>
      <c r="AG61" s="1372"/>
      <c r="AH61" s="1372"/>
      <c r="AI61" s="1372"/>
      <c r="AJ61" s="1372"/>
      <c r="AK61" s="1372"/>
    </row>
    <row r="62" spans="1:37" s="1371" customFormat="1" ht="36.75">
      <c r="A62" s="2877" t="s">
        <v>2952</v>
      </c>
      <c r="B62" s="2882" t="s">
        <v>2953</v>
      </c>
      <c r="C62" s="2769"/>
      <c r="D62" s="1287">
        <f t="shared" si="14"/>
        <v>0</v>
      </c>
      <c r="E62" s="821"/>
      <c r="F62" s="2500"/>
      <c r="G62" s="1285"/>
      <c r="H62" s="1289" t="str">
        <f t="shared" si="15"/>
        <v>——</v>
      </c>
      <c r="I62" s="819">
        <v>0.04</v>
      </c>
      <c r="J62" s="1286">
        <f t="shared" si="16"/>
        <v>0</v>
      </c>
      <c r="K62" s="1286">
        <f t="shared" si="17"/>
        <v>0</v>
      </c>
      <c r="L62" s="1286">
        <v>0</v>
      </c>
      <c r="M62" s="1286">
        <f t="shared" si="18"/>
        <v>0</v>
      </c>
      <c r="N62" s="1286">
        <f t="shared" si="18"/>
        <v>0</v>
      </c>
      <c r="AA62" s="1372"/>
      <c r="AB62" s="1372"/>
      <c r="AC62" s="1372"/>
      <c r="AD62" s="1372"/>
      <c r="AE62" s="1372"/>
      <c r="AF62" s="1372"/>
      <c r="AG62" s="1372"/>
      <c r="AH62" s="1372"/>
      <c r="AI62" s="1372"/>
      <c r="AJ62" s="1372"/>
      <c r="AK62" s="1372"/>
    </row>
    <row r="63" spans="1:37" s="1371" customFormat="1" ht="24">
      <c r="A63" s="2877" t="s">
        <v>2954</v>
      </c>
      <c r="B63" s="2881">
        <f>估价对象房地状况!C24</f>
        <v>0</v>
      </c>
      <c r="C63" s="2769"/>
      <c r="D63" s="1287">
        <f t="shared" si="14"/>
        <v>0</v>
      </c>
      <c r="E63" s="821"/>
      <c r="F63" s="2500"/>
      <c r="G63" s="1285"/>
      <c r="H63" s="1289" t="str">
        <f t="shared" si="15"/>
        <v>——</v>
      </c>
      <c r="I63" s="819">
        <v>0.05</v>
      </c>
      <c r="J63" s="1286">
        <f t="shared" si="16"/>
        <v>0</v>
      </c>
      <c r="K63" s="1286">
        <f t="shared" si="17"/>
        <v>0</v>
      </c>
      <c r="L63" s="1286">
        <v>0</v>
      </c>
      <c r="M63" s="1286">
        <f t="shared" si="18"/>
        <v>0</v>
      </c>
      <c r="N63" s="1286">
        <f t="shared" si="18"/>
        <v>0</v>
      </c>
      <c r="AA63" s="1372"/>
      <c r="AB63" s="1372"/>
      <c r="AC63" s="1372"/>
      <c r="AD63" s="1372"/>
      <c r="AE63" s="1372"/>
      <c r="AF63" s="1372"/>
      <c r="AG63" s="1372"/>
      <c r="AH63" s="1372"/>
      <c r="AI63" s="1372"/>
      <c r="AJ63" s="1372"/>
      <c r="AK63" s="1372"/>
    </row>
    <row r="64" spans="1:37" s="1371" customFormat="1" ht="24">
      <c r="A64" s="2877" t="s">
        <v>2955</v>
      </c>
      <c r="B64" s="2883" t="s">
        <v>2956</v>
      </c>
      <c r="C64" s="2769"/>
      <c r="D64" s="1287">
        <f t="shared" si="14"/>
        <v>0</v>
      </c>
      <c r="E64" s="821"/>
      <c r="F64" s="2500"/>
      <c r="G64" s="1285"/>
      <c r="H64" s="1289" t="str">
        <f t="shared" si="15"/>
        <v>——</v>
      </c>
      <c r="I64" s="819">
        <v>0.05</v>
      </c>
      <c r="J64" s="1286">
        <f t="shared" si="16"/>
        <v>0</v>
      </c>
      <c r="K64" s="1286">
        <f t="shared" si="17"/>
        <v>0</v>
      </c>
      <c r="L64" s="1286">
        <v>0</v>
      </c>
      <c r="M64" s="1286">
        <f t="shared" si="18"/>
        <v>0</v>
      </c>
      <c r="N64" s="1286">
        <f t="shared" si="18"/>
        <v>0</v>
      </c>
      <c r="AA64" s="1372"/>
      <c r="AB64" s="1372"/>
      <c r="AC64" s="1372"/>
      <c r="AD64" s="1372"/>
      <c r="AE64" s="1372"/>
      <c r="AF64" s="1372"/>
      <c r="AG64" s="1372"/>
      <c r="AH64" s="1372"/>
      <c r="AI64" s="1372"/>
      <c r="AJ64" s="1372"/>
      <c r="AK64" s="1372"/>
    </row>
    <row r="65" spans="1:37" s="1371" customFormat="1" ht="25.5">
      <c r="A65" s="2877" t="s">
        <v>2957</v>
      </c>
      <c r="B65" s="1726" t="str">
        <f>估价对象房地状况!C21</f>
        <v>估价对象所在区域公共配套设施齐备情况</v>
      </c>
      <c r="C65" s="2769"/>
      <c r="D65" s="1287">
        <f t="shared" si="14"/>
        <v>0</v>
      </c>
      <c r="E65" s="821"/>
      <c r="F65" s="2500"/>
      <c r="G65" s="1285"/>
      <c r="H65" s="1289" t="str">
        <f t="shared" si="15"/>
        <v>——</v>
      </c>
      <c r="I65" s="819">
        <v>0.06</v>
      </c>
      <c r="J65" s="1286">
        <f t="shared" si="16"/>
        <v>0</v>
      </c>
      <c r="K65" s="1286">
        <f t="shared" si="17"/>
        <v>0</v>
      </c>
      <c r="L65" s="1286">
        <v>0</v>
      </c>
      <c r="M65" s="1286">
        <f t="shared" si="18"/>
        <v>0</v>
      </c>
      <c r="N65" s="1286">
        <f t="shared" si="18"/>
        <v>0</v>
      </c>
      <c r="AA65" s="1372"/>
      <c r="AB65" s="1372"/>
      <c r="AC65" s="1372"/>
      <c r="AD65" s="1372"/>
      <c r="AE65" s="1372"/>
      <c r="AF65" s="1372"/>
      <c r="AG65" s="1372"/>
      <c r="AH65" s="1372"/>
      <c r="AI65" s="1372"/>
      <c r="AJ65" s="1372"/>
      <c r="AK65" s="1372"/>
    </row>
    <row r="66" spans="1:37" s="1371" customFormat="1" ht="25.5">
      <c r="A66" s="2877" t="s">
        <v>2958</v>
      </c>
      <c r="B66" s="1726" t="str">
        <f>估价对象房地状况!C22</f>
        <v>估价对象所在区域基础设施水平</v>
      </c>
      <c r="C66" s="2769"/>
      <c r="D66" s="1287">
        <f t="shared" si="14"/>
        <v>0</v>
      </c>
      <c r="E66" s="821"/>
      <c r="F66" s="2500"/>
      <c r="G66" s="1285"/>
      <c r="H66" s="1289" t="str">
        <f t="shared" si="15"/>
        <v>——</v>
      </c>
      <c r="I66" s="819">
        <v>0.12</v>
      </c>
      <c r="J66" s="1286">
        <f t="shared" si="16"/>
        <v>0</v>
      </c>
      <c r="K66" s="1286">
        <f t="shared" si="17"/>
        <v>0</v>
      </c>
      <c r="L66" s="1286">
        <v>0</v>
      </c>
      <c r="M66" s="1286">
        <f t="shared" si="18"/>
        <v>0</v>
      </c>
      <c r="N66" s="1286">
        <f t="shared" si="18"/>
        <v>0</v>
      </c>
      <c r="AA66" s="1372"/>
      <c r="AB66" s="1372"/>
      <c r="AC66" s="1372"/>
      <c r="AD66" s="1372"/>
      <c r="AE66" s="1372"/>
      <c r="AF66" s="1372"/>
      <c r="AG66" s="1372"/>
      <c r="AH66" s="1372"/>
      <c r="AI66" s="1372"/>
      <c r="AJ66" s="1372"/>
      <c r="AK66" s="1372"/>
    </row>
    <row r="67" spans="1:37" s="1371" customFormat="1" ht="39" thickBot="1">
      <c r="A67" s="2885" t="s">
        <v>2959</v>
      </c>
      <c r="B67" s="2887" t="str">
        <f>估价对象房地状况!C20</f>
        <v>区域自然环境：；人文环境；综合评价环境状况一般</v>
      </c>
      <c r="C67" s="2769"/>
      <c r="D67" s="1287">
        <f t="shared" si="14"/>
        <v>0</v>
      </c>
      <c r="E67" s="824"/>
      <c r="F67" s="2500"/>
      <c r="G67" s="1285"/>
      <c r="H67" s="1289" t="str">
        <f t="shared" si="15"/>
        <v>——</v>
      </c>
      <c r="I67" s="823">
        <v>0.06</v>
      </c>
      <c r="J67" s="1286">
        <f t="shared" si="16"/>
        <v>0</v>
      </c>
      <c r="K67" s="1286">
        <f t="shared" si="17"/>
        <v>0</v>
      </c>
      <c r="L67" s="1286">
        <v>0</v>
      </c>
      <c r="M67" s="1286">
        <f t="shared" si="18"/>
        <v>0</v>
      </c>
      <c r="N67" s="1286">
        <f t="shared" si="18"/>
        <v>0</v>
      </c>
      <c r="AA67" s="1372"/>
      <c r="AB67" s="1372"/>
      <c r="AC67" s="1372"/>
      <c r="AD67" s="1372"/>
      <c r="AE67" s="1372"/>
      <c r="AF67" s="1372"/>
      <c r="AG67" s="1372"/>
      <c r="AH67" s="1372"/>
      <c r="AI67" s="1372"/>
      <c r="AJ67" s="1372"/>
      <c r="AK67" s="1372"/>
    </row>
    <row r="68" spans="1:37" s="1371" customFormat="1" ht="15">
      <c r="A68" s="2873" t="s">
        <v>2963</v>
      </c>
      <c r="B68" s="2874">
        <f>1+E70</f>
        <v>1</v>
      </c>
      <c r="C68" s="813"/>
      <c r="D68" s="813"/>
      <c r="E68" s="814"/>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2941</v>
      </c>
      <c r="B69" s="1810"/>
      <c r="C69" s="1810" t="s">
        <v>2943</v>
      </c>
      <c r="D69" s="1810" t="s">
        <v>2944</v>
      </c>
      <c r="E69" s="818" t="s">
        <v>2945</v>
      </c>
      <c r="F69" s="2878" t="s">
        <v>2961</v>
      </c>
      <c r="G69" s="1810" t="s">
        <v>754</v>
      </c>
      <c r="H69" s="2879" t="s">
        <v>2947</v>
      </c>
      <c r="I69" s="1810" t="s">
        <v>2948</v>
      </c>
      <c r="J69" s="602" t="s">
        <v>2595</v>
      </c>
      <c r="K69" s="602" t="s">
        <v>2596</v>
      </c>
      <c r="L69" s="602" t="s">
        <v>2597</v>
      </c>
      <c r="M69" s="602" t="s">
        <v>2598</v>
      </c>
      <c r="N69" s="602" t="s">
        <v>2599</v>
      </c>
      <c r="AA69" s="1372"/>
      <c r="AB69" s="1372"/>
      <c r="AC69" s="1372"/>
      <c r="AD69" s="1372"/>
      <c r="AE69" s="1372"/>
      <c r="AF69" s="1372"/>
      <c r="AG69" s="1372"/>
      <c r="AH69" s="1372"/>
      <c r="AI69" s="1372"/>
      <c r="AJ69" s="1372"/>
      <c r="AK69" s="1372"/>
    </row>
    <row r="70" spans="1:37" s="1371" customFormat="1" ht="51">
      <c r="A70" s="2877" t="s">
        <v>2964</v>
      </c>
      <c r="B70" s="2880" t="str">
        <f>估价对象房地状况!C15</f>
        <v>估价对象周边居住用地比例、居住小区规模和社区发展完善程度，综合评价居住社区成熟度一般</v>
      </c>
      <c r="C70" s="2769"/>
      <c r="D70" s="1287">
        <f t="shared" ref="D70:D78" si="19">SUMIF($J$69:$N$69,C70,J70:N70)</f>
        <v>0</v>
      </c>
      <c r="E70" s="820">
        <f>ROUND(SUM(D70:D78),4)</f>
        <v>0</v>
      </c>
      <c r="F70" s="2500" t="str">
        <f>IF(E2="住宅",SUMIF(L1:L12,G2,N1:N12),"——")</f>
        <v>——</v>
      </c>
      <c r="G70" s="1285"/>
      <c r="H70" s="1289" t="str">
        <f t="shared" ref="H70:H78" si="20">IFERROR(ROUNDDOWN($F$70*I70/2,4),"——")</f>
        <v>——</v>
      </c>
      <c r="I70" s="819">
        <v>0.14000000000000001</v>
      </c>
      <c r="J70" s="1286">
        <f t="shared" ref="J70:J78" si="21">K70+$G70</f>
        <v>0</v>
      </c>
      <c r="K70" s="1286">
        <f t="shared" ref="K70:K78" si="22">$L70+$G70</f>
        <v>0</v>
      </c>
      <c r="L70" s="1286">
        <v>0</v>
      </c>
      <c r="M70" s="1286">
        <f t="shared" ref="M70:N78" si="23">L70-$G70</f>
        <v>0</v>
      </c>
      <c r="N70" s="1286">
        <f t="shared" si="23"/>
        <v>0</v>
      </c>
      <c r="AA70" s="1372"/>
      <c r="AB70" s="1372"/>
      <c r="AC70" s="1372"/>
      <c r="AD70" s="1372"/>
      <c r="AE70" s="1372"/>
      <c r="AF70" s="1372"/>
      <c r="AG70" s="1372"/>
      <c r="AH70" s="1372"/>
      <c r="AI70" s="1372"/>
      <c r="AJ70" s="1372"/>
      <c r="AK70" s="1372"/>
    </row>
    <row r="71" spans="1:37" s="1371" customFormat="1" ht="51">
      <c r="A71" s="2877" t="s">
        <v>2950</v>
      </c>
      <c r="B71" s="2881" t="str">
        <f>估价对象房地状况!C18</f>
        <v>估价对象周边道路状况、公共交通通达情况、停车便捷程度，综合评价交通便捷度较好</v>
      </c>
      <c r="C71" s="2769"/>
      <c r="D71" s="1287">
        <f t="shared" si="19"/>
        <v>0</v>
      </c>
      <c r="E71" s="825"/>
      <c r="F71" s="2500"/>
      <c r="G71" s="1285"/>
      <c r="H71" s="1289" t="str">
        <f t="shared" si="20"/>
        <v>——</v>
      </c>
      <c r="I71" s="819">
        <v>0.3</v>
      </c>
      <c r="J71" s="1286">
        <f t="shared" si="21"/>
        <v>0</v>
      </c>
      <c r="K71" s="1286">
        <f t="shared" si="22"/>
        <v>0</v>
      </c>
      <c r="L71" s="1286">
        <v>0</v>
      </c>
      <c r="M71" s="1286">
        <f t="shared" si="23"/>
        <v>0</v>
      </c>
      <c r="N71" s="1286">
        <f t="shared" si="23"/>
        <v>0</v>
      </c>
      <c r="AA71" s="1372"/>
      <c r="AB71" s="1372"/>
      <c r="AC71" s="1372"/>
      <c r="AD71" s="1372"/>
      <c r="AE71" s="1372"/>
      <c r="AF71" s="1372"/>
      <c r="AG71" s="1372"/>
      <c r="AH71" s="1372"/>
      <c r="AI71" s="1372"/>
      <c r="AJ71" s="1372"/>
      <c r="AK71" s="1372"/>
    </row>
    <row r="72" spans="1:37" s="1371" customFormat="1" ht="24">
      <c r="A72" s="2877" t="s">
        <v>2951</v>
      </c>
      <c r="B72" s="2881">
        <f>估价对象房地状况!C19</f>
        <v>0</v>
      </c>
      <c r="C72" s="2769"/>
      <c r="D72" s="1287">
        <f t="shared" si="19"/>
        <v>0</v>
      </c>
      <c r="E72" s="825"/>
      <c r="F72" s="2500"/>
      <c r="G72" s="1285"/>
      <c r="H72" s="1289" t="str">
        <f t="shared" si="20"/>
        <v>——</v>
      </c>
      <c r="I72" s="819">
        <v>0.08</v>
      </c>
      <c r="J72" s="1286">
        <f t="shared" si="21"/>
        <v>0</v>
      </c>
      <c r="K72" s="1286">
        <f t="shared" si="22"/>
        <v>0</v>
      </c>
      <c r="L72" s="1286">
        <v>0</v>
      </c>
      <c r="M72" s="1286">
        <f t="shared" si="23"/>
        <v>0</v>
      </c>
      <c r="N72" s="1286">
        <f t="shared" si="23"/>
        <v>0</v>
      </c>
      <c r="AA72" s="1372"/>
      <c r="AB72" s="1372"/>
      <c r="AC72" s="1372"/>
      <c r="AD72" s="1372"/>
      <c r="AE72" s="1372"/>
      <c r="AF72" s="1372"/>
      <c r="AG72" s="1372"/>
      <c r="AH72" s="1372"/>
      <c r="AI72" s="1372"/>
      <c r="AJ72" s="1372"/>
      <c r="AK72" s="1372"/>
    </row>
    <row r="73" spans="1:37" s="1371" customFormat="1" ht="14.25">
      <c r="A73" s="2877" t="s">
        <v>2965</v>
      </c>
      <c r="B73" s="2881">
        <f>估价对象房地状况!C24</f>
        <v>0</v>
      </c>
      <c r="C73" s="2769"/>
      <c r="D73" s="1287">
        <f t="shared" si="19"/>
        <v>0</v>
      </c>
      <c r="E73" s="825"/>
      <c r="F73" s="2500"/>
      <c r="G73" s="1285"/>
      <c r="H73" s="1289" t="str">
        <f t="shared" si="20"/>
        <v>——</v>
      </c>
      <c r="I73" s="819">
        <v>0.04</v>
      </c>
      <c r="J73" s="1286">
        <f t="shared" si="21"/>
        <v>0</v>
      </c>
      <c r="K73" s="1286">
        <f t="shared" si="22"/>
        <v>0</v>
      </c>
      <c r="L73" s="1286">
        <v>0</v>
      </c>
      <c r="M73" s="1286">
        <f t="shared" si="23"/>
        <v>0</v>
      </c>
      <c r="N73" s="1286">
        <f t="shared" si="23"/>
        <v>0</v>
      </c>
      <c r="AA73" s="1372"/>
      <c r="AB73" s="1372"/>
      <c r="AC73" s="1372"/>
      <c r="AD73" s="1372"/>
      <c r="AE73" s="1372"/>
      <c r="AF73" s="1372"/>
      <c r="AG73" s="1372"/>
      <c r="AH73" s="1372"/>
      <c r="AI73" s="1372"/>
      <c r="AJ73" s="1372"/>
      <c r="AK73" s="1372"/>
    </row>
    <row r="74" spans="1:37" s="1371" customFormat="1" ht="25.5">
      <c r="A74" s="2877" t="s">
        <v>2957</v>
      </c>
      <c r="B74" s="1726" t="str">
        <f>估价对象房地状况!C21</f>
        <v>估价对象所在区域公共配套设施齐备情况</v>
      </c>
      <c r="C74" s="2769"/>
      <c r="D74" s="1287">
        <f t="shared" si="19"/>
        <v>0</v>
      </c>
      <c r="E74" s="825"/>
      <c r="F74" s="2500"/>
      <c r="G74" s="1285"/>
      <c r="H74" s="1289" t="str">
        <f t="shared" si="20"/>
        <v>——</v>
      </c>
      <c r="I74" s="819">
        <v>0.08</v>
      </c>
      <c r="J74" s="1286">
        <f t="shared" si="21"/>
        <v>0</v>
      </c>
      <c r="K74" s="1286">
        <f t="shared" si="22"/>
        <v>0</v>
      </c>
      <c r="L74" s="1286">
        <v>0</v>
      </c>
      <c r="M74" s="1286">
        <f t="shared" si="23"/>
        <v>0</v>
      </c>
      <c r="N74" s="1286">
        <f t="shared" si="23"/>
        <v>0</v>
      </c>
      <c r="AA74" s="1372"/>
      <c r="AB74" s="1372"/>
      <c r="AC74" s="1372"/>
      <c r="AD74" s="1372"/>
      <c r="AE74" s="1372"/>
      <c r="AF74" s="1372"/>
      <c r="AG74" s="1372"/>
      <c r="AH74" s="1372"/>
      <c r="AI74" s="1372"/>
      <c r="AJ74" s="1372"/>
      <c r="AK74" s="1372"/>
    </row>
    <row r="75" spans="1:37" s="1371" customFormat="1" ht="25.5">
      <c r="A75" s="2877" t="s">
        <v>2958</v>
      </c>
      <c r="B75" s="1726" t="str">
        <f>估价对象房地状况!C22</f>
        <v>估价对象所在区域基础设施水平</v>
      </c>
      <c r="C75" s="2769"/>
      <c r="D75" s="1287">
        <f t="shared" si="19"/>
        <v>0</v>
      </c>
      <c r="E75" s="825"/>
      <c r="F75" s="2500"/>
      <c r="G75" s="1285"/>
      <c r="H75" s="1289" t="str">
        <f t="shared" si="20"/>
        <v>——</v>
      </c>
      <c r="I75" s="819">
        <v>0.12</v>
      </c>
      <c r="J75" s="1286">
        <f t="shared" si="21"/>
        <v>0</v>
      </c>
      <c r="K75" s="1286">
        <f t="shared" si="22"/>
        <v>0</v>
      </c>
      <c r="L75" s="1286">
        <v>0</v>
      </c>
      <c r="M75" s="1286">
        <f t="shared" si="23"/>
        <v>0</v>
      </c>
      <c r="N75" s="1286">
        <f t="shared" si="23"/>
        <v>0</v>
      </c>
      <c r="AA75" s="1372"/>
      <c r="AB75" s="1372"/>
      <c r="AC75" s="1372"/>
      <c r="AD75" s="1372"/>
      <c r="AE75" s="1372"/>
      <c r="AF75" s="1372"/>
      <c r="AG75" s="1372"/>
      <c r="AH75" s="1372"/>
      <c r="AI75" s="1372"/>
      <c r="AJ75" s="1372"/>
      <c r="AK75" s="1372"/>
    </row>
    <row r="76" spans="1:37" s="2718" customFormat="1" ht="24">
      <c r="A76" s="2877" t="s">
        <v>2955</v>
      </c>
      <c r="B76" s="2883" t="s">
        <v>2956</v>
      </c>
      <c r="C76" s="2769"/>
      <c r="D76" s="1287">
        <f t="shared" si="19"/>
        <v>0</v>
      </c>
      <c r="E76" s="825"/>
      <c r="F76" s="2500"/>
      <c r="G76" s="1285"/>
      <c r="H76" s="1289" t="str">
        <f t="shared" si="20"/>
        <v>——</v>
      </c>
      <c r="I76" s="819">
        <v>0.05</v>
      </c>
      <c r="J76" s="1286">
        <f t="shared" si="21"/>
        <v>0</v>
      </c>
      <c r="K76" s="1286">
        <f t="shared" si="22"/>
        <v>0</v>
      </c>
      <c r="L76" s="1286">
        <v>0</v>
      </c>
      <c r="M76" s="1286">
        <f t="shared" si="23"/>
        <v>0</v>
      </c>
      <c r="N76" s="1286">
        <f t="shared" si="23"/>
        <v>0</v>
      </c>
      <c r="AA76" s="2888"/>
      <c r="AB76" s="1372"/>
      <c r="AC76" s="1372"/>
      <c r="AD76" s="1372"/>
      <c r="AE76" s="1372"/>
      <c r="AF76" s="1372"/>
      <c r="AG76" s="1372"/>
      <c r="AH76" s="2888"/>
      <c r="AI76" s="2888"/>
      <c r="AJ76" s="2888"/>
      <c r="AK76" s="2888"/>
    </row>
    <row r="77" spans="1:37" ht="38.25">
      <c r="A77" s="2877" t="s">
        <v>2959</v>
      </c>
      <c r="B77" s="2880" t="str">
        <f>估价对象房地状况!C20</f>
        <v>区域自然环境：；人文环境；综合评价环境状况一般</v>
      </c>
      <c r="C77" s="2769"/>
      <c r="D77" s="1287">
        <f t="shared" si="19"/>
        <v>0</v>
      </c>
      <c r="E77" s="825"/>
      <c r="F77" s="2500"/>
      <c r="G77" s="1285"/>
      <c r="H77" s="1289" t="str">
        <f t="shared" si="20"/>
        <v>——</v>
      </c>
      <c r="I77" s="819">
        <v>0.15</v>
      </c>
      <c r="J77" s="1286">
        <f t="shared" si="21"/>
        <v>0</v>
      </c>
      <c r="K77" s="1286">
        <f t="shared" si="22"/>
        <v>0</v>
      </c>
      <c r="L77" s="1286">
        <v>0</v>
      </c>
      <c r="M77" s="1286">
        <f t="shared" si="23"/>
        <v>0</v>
      </c>
      <c r="N77" s="1286">
        <f t="shared" si="23"/>
        <v>0</v>
      </c>
      <c r="Z77" s="2719"/>
      <c r="AA77" s="2795"/>
      <c r="AG77" s="1373"/>
      <c r="AK77" s="2795"/>
    </row>
    <row r="78" spans="1:37" ht="24.75" thickBot="1">
      <c r="A78" s="2885" t="s">
        <v>2966</v>
      </c>
      <c r="B78" s="2889"/>
      <c r="C78" s="2769"/>
      <c r="D78" s="1287">
        <f t="shared" si="19"/>
        <v>0</v>
      </c>
      <c r="E78" s="826"/>
      <c r="F78" s="2500"/>
      <c r="G78" s="1285"/>
      <c r="H78" s="1289" t="str">
        <f t="shared" si="20"/>
        <v>——</v>
      </c>
      <c r="I78" s="823">
        <v>0.04</v>
      </c>
      <c r="J78" s="1286">
        <f t="shared" si="21"/>
        <v>0</v>
      </c>
      <c r="K78" s="1286">
        <f t="shared" si="22"/>
        <v>0</v>
      </c>
      <c r="L78" s="1286">
        <v>0</v>
      </c>
      <c r="M78" s="1286">
        <f t="shared" si="23"/>
        <v>0</v>
      </c>
      <c r="N78" s="1286">
        <f t="shared" si="23"/>
        <v>0</v>
      </c>
      <c r="Z78" s="2719"/>
      <c r="AA78" s="2795"/>
      <c r="AG78" s="1373"/>
      <c r="AK78" s="2795"/>
    </row>
    <row r="79" spans="1:37" ht="15">
      <c r="A79" s="2873" t="s">
        <v>2967</v>
      </c>
      <c r="B79" s="2874">
        <f>1+E81</f>
        <v>1</v>
      </c>
      <c r="C79" s="813"/>
      <c r="D79" s="813"/>
      <c r="E79" s="814"/>
      <c r="F79" s="2876"/>
      <c r="G79" s="6"/>
      <c r="H79" s="6"/>
      <c r="I79" s="6"/>
      <c r="J79" s="7"/>
      <c r="K79" s="7"/>
      <c r="L79" s="7"/>
      <c r="M79" s="7"/>
      <c r="N79" s="7"/>
      <c r="Z79" s="2719"/>
      <c r="AA79" s="2795"/>
      <c r="AG79" s="1373"/>
      <c r="AK79" s="2795"/>
    </row>
    <row r="80" spans="1:37" ht="24.75">
      <c r="A80" s="2877" t="s">
        <v>2941</v>
      </c>
      <c r="B80" s="1810"/>
      <c r="C80" s="1810" t="s">
        <v>2943</v>
      </c>
      <c r="D80" s="1810" t="s">
        <v>2944</v>
      </c>
      <c r="E80" s="818" t="s">
        <v>2945</v>
      </c>
      <c r="F80" s="2878" t="s">
        <v>2961</v>
      </c>
      <c r="G80" s="1810" t="s">
        <v>754</v>
      </c>
      <c r="H80" s="2879" t="s">
        <v>2947</v>
      </c>
      <c r="I80" s="1810" t="s">
        <v>2948</v>
      </c>
      <c r="J80" s="602" t="s">
        <v>2595</v>
      </c>
      <c r="K80" s="602" t="s">
        <v>2596</v>
      </c>
      <c r="L80" s="602" t="s">
        <v>2597</v>
      </c>
      <c r="M80" s="602" t="s">
        <v>2598</v>
      </c>
      <c r="N80" s="602" t="s">
        <v>2599</v>
      </c>
      <c r="Z80" s="2719"/>
      <c r="AA80" s="2795"/>
      <c r="AG80" s="1373"/>
      <c r="AK80" s="2795"/>
    </row>
    <row r="81" spans="1:37" ht="38.25">
      <c r="A81" s="2877" t="s">
        <v>2968</v>
      </c>
      <c r="B81" s="2881" t="str">
        <f>估价对象房地状况!G15</f>
        <v>估价对象位于XX开发区，园区建设成熟度XX，产业集聚程度XX</v>
      </c>
      <c r="C81" s="2769"/>
      <c r="D81" s="1287">
        <f t="shared" ref="D81:D88" si="24">SUMIF($J$80:$N$80,C81,J81:N81)</f>
        <v>0</v>
      </c>
      <c r="E81" s="820">
        <f>ROUND(SUM(D81:D88),4)</f>
        <v>0</v>
      </c>
      <c r="F81" s="2500" t="str">
        <f>IF(E2="工业",SUMIF(L1:L12,G2,N1:N12),"——")</f>
        <v>——</v>
      </c>
      <c r="G81" s="1285"/>
      <c r="H81" s="1289" t="str">
        <f t="shared" ref="H81:H88" si="25">IFERROR(ROUNDDOWN($F$81*I81/2,4),"——")</f>
        <v>——</v>
      </c>
      <c r="I81" s="819">
        <v>0.26</v>
      </c>
      <c r="J81" s="1286">
        <f t="shared" ref="J81:J88" si="26">K81+$G81</f>
        <v>0</v>
      </c>
      <c r="K81" s="1286">
        <f t="shared" ref="K81:K88" si="27">$L81+$G81</f>
        <v>0</v>
      </c>
      <c r="L81" s="1286">
        <v>0</v>
      </c>
      <c r="M81" s="1286">
        <f t="shared" ref="M81:N88" si="28">L81-$G81</f>
        <v>0</v>
      </c>
      <c r="N81" s="1286">
        <f t="shared" si="28"/>
        <v>0</v>
      </c>
      <c r="Z81" s="2719"/>
      <c r="AA81" s="2795"/>
      <c r="AG81" s="1373"/>
      <c r="AK81" s="2795"/>
    </row>
    <row r="82" spans="1:37" ht="51">
      <c r="A82" s="2877" t="s">
        <v>2950</v>
      </c>
      <c r="B82" s="2881" t="str">
        <f>估价对象房地状况!G16</f>
        <v>估价对象周边道路状况、公共交通通达情况、停车便捷程度，综合评价交通便捷度较好</v>
      </c>
      <c r="C82" s="2769"/>
      <c r="D82" s="1287">
        <f t="shared" si="24"/>
        <v>0</v>
      </c>
      <c r="E82" s="825"/>
      <c r="F82" s="2500"/>
      <c r="G82" s="1285"/>
      <c r="H82" s="1289" t="str">
        <f t="shared" si="25"/>
        <v>——</v>
      </c>
      <c r="I82" s="819">
        <v>0.33</v>
      </c>
      <c r="J82" s="1286">
        <f t="shared" si="26"/>
        <v>0</v>
      </c>
      <c r="K82" s="1286">
        <f t="shared" si="27"/>
        <v>0</v>
      </c>
      <c r="L82" s="1286">
        <v>0</v>
      </c>
      <c r="M82" s="1286">
        <f t="shared" si="28"/>
        <v>0</v>
      </c>
      <c r="N82" s="1286">
        <f t="shared" si="28"/>
        <v>0</v>
      </c>
      <c r="Z82" s="2719"/>
      <c r="AA82" s="2795"/>
      <c r="AG82" s="1373"/>
      <c r="AK82" s="2795"/>
    </row>
    <row r="83" spans="1:37" ht="24">
      <c r="A83" s="2877" t="s">
        <v>2951</v>
      </c>
      <c r="B83" s="2881">
        <f>估价对象房地状况!G17</f>
        <v>0</v>
      </c>
      <c r="C83" s="2769"/>
      <c r="D83" s="1287">
        <f t="shared" si="24"/>
        <v>0</v>
      </c>
      <c r="E83" s="825"/>
      <c r="F83" s="2500"/>
      <c r="G83" s="1285"/>
      <c r="H83" s="1289" t="str">
        <f t="shared" si="25"/>
        <v>——</v>
      </c>
      <c r="I83" s="819">
        <v>0.05</v>
      </c>
      <c r="J83" s="1286">
        <f t="shared" si="26"/>
        <v>0</v>
      </c>
      <c r="K83" s="1286">
        <f t="shared" si="27"/>
        <v>0</v>
      </c>
      <c r="L83" s="1286">
        <v>0</v>
      </c>
      <c r="M83" s="1286">
        <f t="shared" si="28"/>
        <v>0</v>
      </c>
      <c r="N83" s="1286">
        <f t="shared" si="28"/>
        <v>0</v>
      </c>
      <c r="Z83" s="2719"/>
      <c r="AA83" s="2795"/>
      <c r="AG83" s="1373"/>
      <c r="AK83" s="2795"/>
    </row>
    <row r="84" spans="1:37" ht="14.25">
      <c r="A84" s="2877" t="s">
        <v>2965</v>
      </c>
      <c r="B84" s="2881">
        <f>估价对象房地状况!G22</f>
        <v>0</v>
      </c>
      <c r="C84" s="2769"/>
      <c r="D84" s="1287">
        <f t="shared" si="24"/>
        <v>0</v>
      </c>
      <c r="E84" s="825"/>
      <c r="F84" s="2500"/>
      <c r="G84" s="1285"/>
      <c r="H84" s="1289" t="str">
        <f t="shared" si="25"/>
        <v>——</v>
      </c>
      <c r="I84" s="819">
        <v>0.04</v>
      </c>
      <c r="J84" s="1286">
        <f t="shared" si="26"/>
        <v>0</v>
      </c>
      <c r="K84" s="1286">
        <f t="shared" si="27"/>
        <v>0</v>
      </c>
      <c r="L84" s="1286">
        <v>0</v>
      </c>
      <c r="M84" s="1286">
        <f t="shared" si="28"/>
        <v>0</v>
      </c>
      <c r="N84" s="1286">
        <f t="shared" si="28"/>
        <v>0</v>
      </c>
      <c r="Z84" s="2719"/>
      <c r="AA84" s="2795"/>
      <c r="AG84" s="1373"/>
      <c r="AK84" s="2795"/>
    </row>
    <row r="85" spans="1:37" ht="25.5">
      <c r="A85" s="2877" t="s">
        <v>2957</v>
      </c>
      <c r="B85" s="1726" t="str">
        <f>估价对象房地状况!G19</f>
        <v>估价对象所在区域公共配套设施齐备情况</v>
      </c>
      <c r="C85" s="2769"/>
      <c r="D85" s="1287">
        <f t="shared" si="24"/>
        <v>0</v>
      </c>
      <c r="E85" s="825"/>
      <c r="F85" s="2500"/>
      <c r="G85" s="1285"/>
      <c r="H85" s="1289" t="str">
        <f t="shared" si="25"/>
        <v>——</v>
      </c>
      <c r="I85" s="819">
        <v>0.06</v>
      </c>
      <c r="J85" s="1286">
        <f t="shared" si="26"/>
        <v>0</v>
      </c>
      <c r="K85" s="1286">
        <f t="shared" si="27"/>
        <v>0</v>
      </c>
      <c r="L85" s="1286">
        <v>0</v>
      </c>
      <c r="M85" s="1286">
        <f t="shared" si="28"/>
        <v>0</v>
      </c>
      <c r="N85" s="1286">
        <f t="shared" si="28"/>
        <v>0</v>
      </c>
      <c r="Z85" s="2719"/>
      <c r="AA85" s="2795"/>
      <c r="AG85" s="1373"/>
      <c r="AK85" s="2795"/>
    </row>
    <row r="86" spans="1:37" ht="25.5">
      <c r="A86" s="2877" t="s">
        <v>2958</v>
      </c>
      <c r="B86" s="1726" t="str">
        <f>估价对象房地状况!G20</f>
        <v>估价对象所在区域基础设施水平</v>
      </c>
      <c r="C86" s="2769"/>
      <c r="D86" s="1287">
        <f t="shared" si="24"/>
        <v>0</v>
      </c>
      <c r="E86" s="825"/>
      <c r="F86" s="2500"/>
      <c r="G86" s="1285"/>
      <c r="H86" s="1289" t="str">
        <f t="shared" si="25"/>
        <v>——</v>
      </c>
      <c r="I86" s="819">
        <v>0.15</v>
      </c>
      <c r="J86" s="1286">
        <f t="shared" si="26"/>
        <v>0</v>
      </c>
      <c r="K86" s="1286">
        <f t="shared" si="27"/>
        <v>0</v>
      </c>
      <c r="L86" s="1286">
        <v>0</v>
      </c>
      <c r="M86" s="1286">
        <f t="shared" si="28"/>
        <v>0</v>
      </c>
      <c r="N86" s="1286">
        <f t="shared" si="28"/>
        <v>0</v>
      </c>
      <c r="Z86" s="2719"/>
      <c r="AA86" s="2795"/>
      <c r="AG86" s="1373"/>
      <c r="AK86" s="2795"/>
    </row>
    <row r="87" spans="1:37" ht="24">
      <c r="A87" s="2877" t="s">
        <v>2955</v>
      </c>
      <c r="B87" s="2883" t="s">
        <v>2969</v>
      </c>
      <c r="C87" s="2769"/>
      <c r="D87" s="1287">
        <f t="shared" si="24"/>
        <v>0</v>
      </c>
      <c r="E87" s="825"/>
      <c r="F87" s="2500"/>
      <c r="G87" s="1285"/>
      <c r="H87" s="1289" t="str">
        <f t="shared" si="25"/>
        <v>——</v>
      </c>
      <c r="I87" s="819">
        <v>0.05</v>
      </c>
      <c r="J87" s="1286">
        <f t="shared" si="26"/>
        <v>0</v>
      </c>
      <c r="K87" s="1286">
        <f t="shared" si="27"/>
        <v>0</v>
      </c>
      <c r="L87" s="1286">
        <v>0</v>
      </c>
      <c r="M87" s="1286">
        <f t="shared" si="28"/>
        <v>0</v>
      </c>
      <c r="N87" s="1286">
        <f t="shared" si="28"/>
        <v>0</v>
      </c>
      <c r="Z87" s="2719"/>
      <c r="AA87" s="2795"/>
      <c r="AG87" s="1373"/>
      <c r="AK87" s="2795"/>
    </row>
    <row r="88" spans="1:37" ht="39" thickBot="1">
      <c r="A88" s="2885" t="s">
        <v>2970</v>
      </c>
      <c r="B88" s="2890" t="str">
        <f>估价对象房地状况!G18</f>
        <v>该园区内是否有污染型企业，绿化情况，卫生条件，整体环境状况判断</v>
      </c>
      <c r="C88" s="2769"/>
      <c r="D88" s="1287">
        <f t="shared" si="24"/>
        <v>0</v>
      </c>
      <c r="E88" s="826"/>
      <c r="F88" s="2500"/>
      <c r="G88" s="1285"/>
      <c r="H88" s="1289" t="str">
        <f t="shared" si="25"/>
        <v>——</v>
      </c>
      <c r="I88" s="823">
        <v>0.06</v>
      </c>
      <c r="J88" s="1286">
        <f t="shared" si="26"/>
        <v>0</v>
      </c>
      <c r="K88" s="1286">
        <f t="shared" si="27"/>
        <v>0</v>
      </c>
      <c r="L88" s="1286">
        <v>0</v>
      </c>
      <c r="M88" s="1286">
        <f t="shared" si="28"/>
        <v>0</v>
      </c>
      <c r="N88" s="1286">
        <f t="shared" si="28"/>
        <v>0</v>
      </c>
      <c r="Z88" s="2719"/>
      <c r="AA88" s="2795"/>
      <c r="AG88" s="1373"/>
      <c r="AK88" s="2795"/>
    </row>
    <row r="90" spans="1:37">
      <c r="A90" s="3297" t="s">
        <v>2971</v>
      </c>
      <c r="B90" s="3297"/>
      <c r="C90" s="3297"/>
      <c r="D90" s="3297"/>
      <c r="E90" s="3297"/>
      <c r="F90" s="3297"/>
      <c r="G90" s="3297"/>
      <c r="H90" s="3297"/>
      <c r="I90" s="3297"/>
      <c r="J90" s="3297"/>
      <c r="K90" s="2891"/>
      <c r="L90" s="2891"/>
      <c r="M90" s="2891"/>
      <c r="N90" s="2891"/>
    </row>
    <row r="91" spans="1:37">
      <c r="A91" s="3299" t="s">
        <v>2972</v>
      </c>
      <c r="B91" s="3299" t="s">
        <v>2973</v>
      </c>
      <c r="C91" s="2845" t="s">
        <v>2974</v>
      </c>
      <c r="D91" s="2846"/>
      <c r="E91" s="2846"/>
      <c r="F91" s="2846"/>
      <c r="G91" s="2846"/>
      <c r="H91" s="2846"/>
      <c r="I91" s="2846"/>
      <c r="J91" s="2892"/>
      <c r="K91" s="2893"/>
      <c r="L91" s="2893"/>
      <c r="M91" s="2893"/>
      <c r="N91" s="2893"/>
    </row>
    <row r="92" spans="1:37">
      <c r="A92" s="3299"/>
      <c r="B92" s="3299"/>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300" t="s">
        <v>2975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01"/>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01"/>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01"/>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01"/>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01"/>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01"/>
      <c r="B99" s="2894" t="s">
        <v>2854</v>
      </c>
      <c r="C99" s="2896">
        <f>$I$3</f>
        <v>0</v>
      </c>
      <c r="D99" s="2896">
        <f t="shared" ref="D99:M99" si="29">$I$3</f>
        <v>0</v>
      </c>
      <c r="E99" s="2896">
        <f t="shared" si="29"/>
        <v>0</v>
      </c>
      <c r="F99" s="2896">
        <f t="shared" si="29"/>
        <v>0</v>
      </c>
      <c r="G99" s="2896">
        <f t="shared" si="29"/>
        <v>0</v>
      </c>
      <c r="H99" s="2896">
        <f t="shared" si="29"/>
        <v>0</v>
      </c>
      <c r="I99" s="2896">
        <f t="shared" si="29"/>
        <v>0</v>
      </c>
      <c r="J99" s="2896">
        <f t="shared" si="29"/>
        <v>0</v>
      </c>
      <c r="K99" s="2896">
        <f t="shared" si="29"/>
        <v>0</v>
      </c>
      <c r="L99" s="2896">
        <f t="shared" si="29"/>
        <v>0</v>
      </c>
      <c r="M99" s="2896">
        <f t="shared" si="29"/>
        <v>0</v>
      </c>
      <c r="N99" s="2896">
        <f>$I$3</f>
        <v>0</v>
      </c>
    </row>
    <row r="100" spans="1:14">
      <c r="A100" s="3302"/>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00" t="s">
        <v>2976</v>
      </c>
      <c r="B101" s="2898" t="s">
        <v>2977</v>
      </c>
      <c r="C101" s="2899" t="e">
        <f>$G$3</f>
        <v>#DIV/0!</v>
      </c>
      <c r="D101" s="2899" t="e">
        <f t="shared" ref="D101:N101" si="30">$G$3</f>
        <v>#DIV/0!</v>
      </c>
      <c r="E101" s="2899" t="e">
        <f t="shared" si="30"/>
        <v>#DIV/0!</v>
      </c>
      <c r="F101" s="2899" t="e">
        <f t="shared" si="30"/>
        <v>#DIV/0!</v>
      </c>
      <c r="G101" s="2899" t="e">
        <f t="shared" si="30"/>
        <v>#DIV/0!</v>
      </c>
      <c r="H101" s="2899" t="e">
        <f t="shared" si="30"/>
        <v>#DIV/0!</v>
      </c>
      <c r="I101" s="2899" t="e">
        <f t="shared" si="30"/>
        <v>#DIV/0!</v>
      </c>
      <c r="J101" s="2899" t="e">
        <f t="shared" si="30"/>
        <v>#DIV/0!</v>
      </c>
      <c r="K101" s="2899" t="e">
        <f t="shared" si="30"/>
        <v>#DIV/0!</v>
      </c>
      <c r="L101" s="2899" t="e">
        <f t="shared" si="30"/>
        <v>#DIV/0!</v>
      </c>
      <c r="M101" s="2899" t="e">
        <f t="shared" si="30"/>
        <v>#DIV/0!</v>
      </c>
      <c r="N101" s="2899" t="e">
        <f t="shared" si="30"/>
        <v>#DIV/0!</v>
      </c>
    </row>
    <row r="102" spans="1:14">
      <c r="A102" s="3301"/>
      <c r="B102" s="2894">
        <v>1</v>
      </c>
      <c r="C102" s="2895" t="e">
        <f>1.9362/C101</f>
        <v>#DIV/0!</v>
      </c>
      <c r="D102" s="2895" t="e">
        <f>1.9362/D101</f>
        <v>#DIV/0!</v>
      </c>
      <c r="E102" s="2895" t="e">
        <f>1.8629/E101</f>
        <v>#DIV/0!</v>
      </c>
      <c r="F102" s="2895" t="e">
        <f>1.8629/F101</f>
        <v>#DIV/0!</v>
      </c>
      <c r="G102" s="2895" t="e">
        <f>1.8629/G101</f>
        <v>#DIV/0!</v>
      </c>
      <c r="H102" s="2895" t="e">
        <f>1.8629/H101</f>
        <v>#DIV/0!</v>
      </c>
      <c r="I102" s="2895" t="e">
        <f>1.8629/I101</f>
        <v>#DIV/0!</v>
      </c>
      <c r="J102" s="2895" t="e">
        <f>1.942/J101</f>
        <v>#DIV/0!</v>
      </c>
      <c r="K102" s="2895" t="e">
        <f>1.942/K101</f>
        <v>#DIV/0!</v>
      </c>
      <c r="L102" s="2895" t="e">
        <f>1.942/L101</f>
        <v>#DIV/0!</v>
      </c>
      <c r="M102" s="2895" t="e">
        <f>1.942/M101</f>
        <v>#DIV/0!</v>
      </c>
      <c r="N102" s="2895" t="e">
        <f>1.942/N101</f>
        <v>#DIV/0!</v>
      </c>
    </row>
    <row r="103" spans="1:14">
      <c r="A103" s="3301"/>
      <c r="B103" s="2894">
        <v>2</v>
      </c>
      <c r="C103" s="2895" t="e">
        <f>1.4198/C101</f>
        <v>#DIV/0!</v>
      </c>
      <c r="D103" s="2895" t="e">
        <f>1.4198/D101</f>
        <v>#DIV/0!</v>
      </c>
      <c r="E103" s="2895" t="e">
        <f>1.3372/E101</f>
        <v>#DIV/0!</v>
      </c>
      <c r="F103" s="2895" t="e">
        <f>1.3372/F101</f>
        <v>#DIV/0!</v>
      </c>
      <c r="G103" s="2895" t="e">
        <f>1.3372/G101</f>
        <v>#DIV/0!</v>
      </c>
      <c r="H103" s="2895" t="e">
        <f>1.3372/H101</f>
        <v>#DIV/0!</v>
      </c>
      <c r="I103" s="2895" t="e">
        <f>1.3372/I101</f>
        <v>#DIV/0!</v>
      </c>
      <c r="J103" s="2895" t="e">
        <f>1.2799/J101</f>
        <v>#DIV/0!</v>
      </c>
      <c r="K103" s="2895" t="e">
        <f>1.2799/K101</f>
        <v>#DIV/0!</v>
      </c>
      <c r="L103" s="2895" t="e">
        <f>1.2799/L101</f>
        <v>#DIV/0!</v>
      </c>
      <c r="M103" s="2895" t="e">
        <f>1.2799/M101</f>
        <v>#DIV/0!</v>
      </c>
      <c r="N103" s="2895" t="e">
        <f>1.2799/N101</f>
        <v>#DIV/0!</v>
      </c>
    </row>
    <row r="104" spans="1:14">
      <c r="A104" s="3301"/>
      <c r="B104" s="2894">
        <v>3</v>
      </c>
      <c r="C104" s="2895" t="e">
        <f>1.1594/C101</f>
        <v>#DIV/0!</v>
      </c>
      <c r="D104" s="2895" t="e">
        <f>1.1594/D101</f>
        <v>#DIV/0!</v>
      </c>
      <c r="E104" s="2895" t="e">
        <f>1.0788/E101</f>
        <v>#DIV/0!</v>
      </c>
      <c r="F104" s="2895" t="e">
        <f>1.0788/F101</f>
        <v>#DIV/0!</v>
      </c>
      <c r="G104" s="2895" t="e">
        <f>1.0788/G101</f>
        <v>#DIV/0!</v>
      </c>
      <c r="H104" s="2895" t="e">
        <f>1.0788/H101</f>
        <v>#DIV/0!</v>
      </c>
      <c r="I104" s="2895" t="e">
        <f>1.0788/I101</f>
        <v>#DIV/0!</v>
      </c>
      <c r="J104" s="2895" t="e">
        <f>1.0072/J101</f>
        <v>#DIV/0!</v>
      </c>
      <c r="K104" s="2895" t="e">
        <f>1.0072/K101</f>
        <v>#DIV/0!</v>
      </c>
      <c r="L104" s="2895" t="e">
        <f>1.0072/L101</f>
        <v>#DIV/0!</v>
      </c>
      <c r="M104" s="2895" t="e">
        <f>1.0072/M101</f>
        <v>#DIV/0!</v>
      </c>
      <c r="N104" s="2895" t="e">
        <f>1.0072/N101</f>
        <v>#DIV/0!</v>
      </c>
    </row>
    <row r="105" spans="1:14">
      <c r="A105" s="3301"/>
      <c r="B105" s="2894">
        <v>4</v>
      </c>
      <c r="C105" s="2895" t="e">
        <f>0.9622/C101</f>
        <v>#DIV/0!</v>
      </c>
      <c r="D105" s="2895" t="e">
        <f>0.9622/D101</f>
        <v>#DIV/0!</v>
      </c>
      <c r="E105" s="2895" t="e">
        <f>0.8656/E101</f>
        <v>#DIV/0!</v>
      </c>
      <c r="F105" s="2895" t="e">
        <f>0.8656/F101</f>
        <v>#DIV/0!</v>
      </c>
      <c r="G105" s="2895" t="e">
        <f>0.8656/G101</f>
        <v>#DIV/0!</v>
      </c>
      <c r="H105" s="2895" t="e">
        <f>0.8656/H101</f>
        <v>#DIV/0!</v>
      </c>
      <c r="I105" s="2895" t="e">
        <f>0.8656/I101</f>
        <v>#DIV/0!</v>
      </c>
      <c r="J105" s="2895" t="e">
        <f>0.7525/J101</f>
        <v>#DIV/0!</v>
      </c>
      <c r="K105" s="2895" t="e">
        <f>0.7525/K101</f>
        <v>#DIV/0!</v>
      </c>
      <c r="L105" s="2895" t="e">
        <f>0.7525/L101</f>
        <v>#DIV/0!</v>
      </c>
      <c r="M105" s="2895" t="e">
        <f>0.7525/M101</f>
        <v>#DIV/0!</v>
      </c>
      <c r="N105" s="2895" t="e">
        <f>0.7525/N101</f>
        <v>#DIV/0!</v>
      </c>
    </row>
    <row r="106" spans="1:14">
      <c r="A106" s="3301"/>
      <c r="B106" s="2894">
        <v>5</v>
      </c>
      <c r="C106" s="2895" t="e">
        <f>0.8417/C101</f>
        <v>#DIV/0!</v>
      </c>
      <c r="D106" s="2895" t="e">
        <f>0.8417/D101</f>
        <v>#DIV/0!</v>
      </c>
      <c r="E106" s="2895" t="e">
        <f>0.7371/E101</f>
        <v>#DIV/0!</v>
      </c>
      <c r="F106" s="2895" t="e">
        <f>0.7371/F101</f>
        <v>#DIV/0!</v>
      </c>
      <c r="G106" s="2895" t="e">
        <f>0.7371/G101</f>
        <v>#DIV/0!</v>
      </c>
      <c r="H106" s="2895" t="e">
        <f>0.7371/H101</f>
        <v>#DIV/0!</v>
      </c>
      <c r="I106" s="2895" t="e">
        <f>0.7371/I101</f>
        <v>#DIV/0!</v>
      </c>
      <c r="J106" s="2895" t="e">
        <f>0.5659/J101</f>
        <v>#DIV/0!</v>
      </c>
      <c r="K106" s="2895" t="e">
        <f>0.5659/K101</f>
        <v>#DIV/0!</v>
      </c>
      <c r="L106" s="2895" t="e">
        <f>0.5659/L101</f>
        <v>#DIV/0!</v>
      </c>
      <c r="M106" s="2895" t="e">
        <f>0.5659/M101</f>
        <v>#DIV/0!</v>
      </c>
      <c r="N106" s="2895" t="e">
        <f>0.5659/N101</f>
        <v>#DIV/0!</v>
      </c>
    </row>
    <row r="107" spans="1:14">
      <c r="A107" s="3301"/>
      <c r="B107" s="2894">
        <v>6</v>
      </c>
      <c r="C107" s="2895" t="e">
        <f>0.7608/C101</f>
        <v>#DIV/0!</v>
      </c>
      <c r="D107" s="2895" t="e">
        <f>0.7608/D101</f>
        <v>#DIV/0!</v>
      </c>
      <c r="E107" s="2895" t="e">
        <f>0.6482/E101</f>
        <v>#DIV/0!</v>
      </c>
      <c r="F107" s="2895" t="e">
        <f>0.6482/F101</f>
        <v>#DIV/0!</v>
      </c>
      <c r="G107" s="2895" t="e">
        <f>0.6482/G101</f>
        <v>#DIV/0!</v>
      </c>
      <c r="H107" s="2895" t="e">
        <f>0.6482/H101</f>
        <v>#DIV/0!</v>
      </c>
      <c r="I107" s="2895" t="e">
        <f>0.6482/I101</f>
        <v>#DIV/0!</v>
      </c>
      <c r="J107" s="2895" t="e">
        <f>0.4525/J101</f>
        <v>#DIV/0!</v>
      </c>
      <c r="K107" s="2895" t="e">
        <f>0.4525/K101</f>
        <v>#DIV/0!</v>
      </c>
      <c r="L107" s="2895" t="e">
        <f>0.4525/L101</f>
        <v>#DIV/0!</v>
      </c>
      <c r="M107" s="2895" t="e">
        <f>0.4525/M101</f>
        <v>#DIV/0!</v>
      </c>
      <c r="N107" s="2895" t="e">
        <f>0.4525/N101</f>
        <v>#DIV/0!</v>
      </c>
    </row>
    <row r="108" spans="1:14">
      <c r="A108" s="3301"/>
      <c r="B108" s="3157" t="s">
        <v>2978</v>
      </c>
      <c r="C108" s="2896">
        <f>C99</f>
        <v>0</v>
      </c>
      <c r="D108" s="2896">
        <f t="shared" ref="D108:N108" si="31">D99</f>
        <v>0</v>
      </c>
      <c r="E108" s="2896">
        <f t="shared" si="31"/>
        <v>0</v>
      </c>
      <c r="F108" s="2896">
        <f t="shared" si="31"/>
        <v>0</v>
      </c>
      <c r="G108" s="2896">
        <f t="shared" si="31"/>
        <v>0</v>
      </c>
      <c r="H108" s="2896">
        <f t="shared" si="31"/>
        <v>0</v>
      </c>
      <c r="I108" s="2896">
        <f t="shared" si="31"/>
        <v>0</v>
      </c>
      <c r="J108" s="2896">
        <f t="shared" si="31"/>
        <v>0</v>
      </c>
      <c r="K108" s="2896">
        <f t="shared" si="31"/>
        <v>0</v>
      </c>
      <c r="L108" s="2896">
        <f t="shared" si="31"/>
        <v>0</v>
      </c>
      <c r="M108" s="2896">
        <f t="shared" si="31"/>
        <v>0</v>
      </c>
      <c r="N108" s="2896">
        <f t="shared" si="31"/>
        <v>0</v>
      </c>
    </row>
    <row r="109" spans="1:14">
      <c r="A109" s="3302"/>
      <c r="B109" s="3158"/>
      <c r="C109" s="2897" t="e">
        <f>(-0.163*(C108^2)-0.59*C108+7617)*(10^(-4))/C101</f>
        <v>#DIV/0!</v>
      </c>
      <c r="D109" s="2897" t="e">
        <f>(-0.163*(D108^2)-0.59*D108+7617)*(10^(-4))/D101</f>
        <v>#DIV/0!</v>
      </c>
      <c r="E109" s="2897" t="e">
        <f>(-0.161*(E108^2)-7.509*E108+6533)*(10^(-4))/E101</f>
        <v>#DIV/0!</v>
      </c>
      <c r="F109" s="2897" t="e">
        <f>(-0.161*(F108^2)-7.509*F108+6533)*(10^(-4))/F101</f>
        <v>#DIV/0!</v>
      </c>
      <c r="G109" s="2897" t="e">
        <f>(-0.161*(G108^2)-7.509*G108+6533)*(10^(-4))/G101</f>
        <v>#DIV/0!</v>
      </c>
      <c r="H109" s="2897" t="e">
        <f>(-0.161*(H108^2)-7.509*H108+6533)*(10^(-4))/H101</f>
        <v>#DIV/0!</v>
      </c>
      <c r="I109" s="2897" t="e">
        <f>(-0.161*(I108^2)-7.509*I108+6533)*(10^(-4))/I101</f>
        <v>#DIV/0!</v>
      </c>
      <c r="J109" s="2897" t="e">
        <f>(-0.214*(J108^2)-21.991*J108+4665)*(10^(-4))/J101</f>
        <v>#DIV/0!</v>
      </c>
      <c r="K109" s="2897" t="e">
        <f>(-0.214*(K108^2)-21.991*K108+4665)*(10^(-4))/K101</f>
        <v>#DIV/0!</v>
      </c>
      <c r="L109" s="2897" t="e">
        <f>(-0.214*(L108^2)-21.991*L108+4665)*(10^(-4))/L101</f>
        <v>#DIV/0!</v>
      </c>
      <c r="M109" s="2897" t="e">
        <f>(-0.214*(M108^2)-21.991*M108+4665)*(10^(-4))/M101</f>
        <v>#DIV/0!</v>
      </c>
      <c r="N109" s="2897" t="e">
        <f>(-0.214*(N108^2)-21.991*N108+4665)*(10^(-4))/N101</f>
        <v>#DIV/0!</v>
      </c>
    </row>
    <row r="110" spans="1:14">
      <c r="A110" s="3298" t="s">
        <v>2979</v>
      </c>
      <c r="B110" s="3298"/>
      <c r="C110" s="3298"/>
      <c r="D110" s="3298"/>
      <c r="E110" s="3298"/>
      <c r="F110" s="3298"/>
      <c r="G110" s="3298"/>
      <c r="H110" s="3298"/>
      <c r="I110" s="3298"/>
      <c r="J110" s="3298"/>
      <c r="K110" s="2900"/>
      <c r="L110" s="2900"/>
      <c r="M110" s="2900"/>
      <c r="N110" s="2900"/>
    </row>
    <row r="112" spans="1:14" ht="13.5" thickBot="1"/>
    <row r="113" spans="1:13" ht="25.5" thickBot="1">
      <c r="A113" s="902" t="s">
        <v>2980</v>
      </c>
      <c r="B113" s="1288" t="e">
        <f>G3</f>
        <v>#DIV/0!</v>
      </c>
      <c r="C113" s="903" t="s">
        <v>2981</v>
      </c>
      <c r="D113" s="904" t="e">
        <f>SUMPRODUCT((A115:A118=F113)*(B114:M114=H113)*B115:M118)</f>
        <v>#DIV/0!</v>
      </c>
      <c r="E113" s="2723" t="s">
        <v>2811</v>
      </c>
      <c r="F113" s="2902">
        <f>E2</f>
        <v>0</v>
      </c>
      <c r="G113" s="2723" t="s">
        <v>2812</v>
      </c>
      <c r="H113" s="2902">
        <f>G2</f>
        <v>0</v>
      </c>
      <c r="I113" s="2723"/>
      <c r="J113" s="2903"/>
      <c r="K113" s="2903"/>
      <c r="L113" s="2903"/>
      <c r="M113" s="2903"/>
    </row>
    <row r="114" spans="1:13">
      <c r="A114" s="907"/>
      <c r="B114" s="2904" t="s">
        <v>2982</v>
      </c>
      <c r="C114" s="2904" t="s">
        <v>2983</v>
      </c>
      <c r="D114" s="2904" t="s">
        <v>2984</v>
      </c>
      <c r="E114" s="2905" t="s">
        <v>2985</v>
      </c>
      <c r="F114" s="2905" t="s">
        <v>2986</v>
      </c>
      <c r="G114" s="2905" t="s">
        <v>2987</v>
      </c>
      <c r="H114" s="2906" t="s">
        <v>2988</v>
      </c>
      <c r="I114" s="2906" t="s">
        <v>2989</v>
      </c>
      <c r="J114" s="2907" t="s">
        <v>2990</v>
      </c>
      <c r="K114" s="2907" t="s">
        <v>2991</v>
      </c>
      <c r="L114" s="2907" t="s">
        <v>2992</v>
      </c>
      <c r="M114" s="2908" t="s">
        <v>2993</v>
      </c>
    </row>
    <row r="115" spans="1:13">
      <c r="A115" s="908" t="s">
        <v>2876</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2">I115</f>
        <v>#DIV/0!</v>
      </c>
      <c r="K115" s="909" t="e">
        <f t="shared" si="32"/>
        <v>#DIV/0!</v>
      </c>
      <c r="L115" s="909" t="e">
        <f t="shared" si="32"/>
        <v>#DIV/0!</v>
      </c>
      <c r="M115" s="910" t="e">
        <f t="shared" si="32"/>
        <v>#DIV/0!</v>
      </c>
    </row>
    <row r="116" spans="1:13">
      <c r="A116" s="908" t="s">
        <v>2877</v>
      </c>
      <c r="B116" s="909" t="e">
        <f>ROUND(0.949-0.012*B113,4)</f>
        <v>#DIV/0!</v>
      </c>
      <c r="C116" s="909" t="e">
        <f>B116</f>
        <v>#DIV/0!</v>
      </c>
      <c r="D116" s="909" t="e">
        <f>ROUND(0.8567-0.013*B113,4)</f>
        <v>#DIV/0!</v>
      </c>
      <c r="E116" s="909" t="e">
        <f t="shared" ref="E116:H117" si="33">D116</f>
        <v>#DIV/0!</v>
      </c>
      <c r="F116" s="909" t="e">
        <f t="shared" si="33"/>
        <v>#DIV/0!</v>
      </c>
      <c r="G116" s="909" t="e">
        <f t="shared" si="33"/>
        <v>#DIV/0!</v>
      </c>
      <c r="H116" s="909" t="e">
        <f t="shared" si="33"/>
        <v>#DIV/0!</v>
      </c>
      <c r="I116" s="909" t="e">
        <f>ROUND(0.7694-0.014*B113,4)</f>
        <v>#DIV/0!</v>
      </c>
      <c r="J116" s="909" t="e">
        <f t="shared" si="32"/>
        <v>#DIV/0!</v>
      </c>
      <c r="K116" s="909" t="e">
        <f t="shared" si="32"/>
        <v>#DIV/0!</v>
      </c>
      <c r="L116" s="909" t="e">
        <f t="shared" si="32"/>
        <v>#DIV/0!</v>
      </c>
      <c r="M116" s="910" t="e">
        <f t="shared" si="32"/>
        <v>#DIV/0!</v>
      </c>
    </row>
    <row r="117" spans="1:13">
      <c r="A117" s="908" t="s">
        <v>2878</v>
      </c>
      <c r="B117" s="909" t="e">
        <f>ROUND(0.8808-0.006*B113,4)</f>
        <v>#DIV/0!</v>
      </c>
      <c r="C117" s="909" t="e">
        <f>B117</f>
        <v>#DIV/0!</v>
      </c>
      <c r="D117" s="909" t="e">
        <f>ROUND(0.8748-0.008*B113,4)</f>
        <v>#DIV/0!</v>
      </c>
      <c r="E117" s="909" t="e">
        <f t="shared" si="33"/>
        <v>#DIV/0!</v>
      </c>
      <c r="F117" s="909" t="e">
        <f t="shared" si="33"/>
        <v>#DIV/0!</v>
      </c>
      <c r="G117" s="909" t="e">
        <f t="shared" si="33"/>
        <v>#DIV/0!</v>
      </c>
      <c r="H117" s="909" t="e">
        <f t="shared" si="33"/>
        <v>#DIV/0!</v>
      </c>
      <c r="I117" s="909" t="e">
        <f>ROUND(0.7412-0.0095*B113,4)</f>
        <v>#DIV/0!</v>
      </c>
      <c r="J117" s="909" t="e">
        <f t="shared" si="32"/>
        <v>#DIV/0!</v>
      </c>
      <c r="K117" s="909" t="e">
        <f t="shared" si="32"/>
        <v>#DIV/0!</v>
      </c>
      <c r="L117" s="909" t="e">
        <f t="shared" si="32"/>
        <v>#DIV/0!</v>
      </c>
      <c r="M117" s="910" t="e">
        <f t="shared" si="32"/>
        <v>#DIV/0!</v>
      </c>
    </row>
    <row r="118" spans="1:13" ht="13.5" thickBot="1">
      <c r="A118" s="713" t="s">
        <v>2879</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2"/>
        <v>#DIV/0!</v>
      </c>
      <c r="K118" s="911" t="e">
        <f t="shared" si="32"/>
        <v>#DIV/0!</v>
      </c>
      <c r="L118" s="911" t="e">
        <f t="shared" si="32"/>
        <v>#DIV/0!</v>
      </c>
      <c r="M118" s="912" t="e">
        <f t="shared" si="32"/>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6" t="s">
        <v>183</v>
      </c>
      <c r="B18" s="881" t="s">
        <v>560</v>
      </c>
      <c r="C18" s="882" t="s">
        <v>561</v>
      </c>
      <c r="D18" s="883"/>
      <c r="E18" s="881">
        <v>1</v>
      </c>
      <c r="F18" s="884" t="s">
        <v>562</v>
      </c>
      <c r="G18" s="885"/>
      <c r="H18" s="877"/>
      <c r="I18" s="877"/>
    </row>
    <row r="19" spans="1:9" s="886" customFormat="1" ht="19.5" customHeight="1">
      <c r="A19" s="3306"/>
      <c r="B19" s="3306" t="s">
        <v>563</v>
      </c>
      <c r="C19" s="882" t="s">
        <v>564</v>
      </c>
      <c r="D19" s="883"/>
      <c r="E19" s="881">
        <v>0.9</v>
      </c>
      <c r="F19" s="884" t="s">
        <v>565</v>
      </c>
      <c r="G19" s="885"/>
      <c r="H19" s="877"/>
      <c r="I19" s="877"/>
    </row>
    <row r="20" spans="1:9" s="886" customFormat="1" ht="19.5" customHeight="1">
      <c r="A20" s="3306"/>
      <c r="B20" s="3306"/>
      <c r="C20" s="882" t="s">
        <v>566</v>
      </c>
      <c r="D20" s="883"/>
      <c r="E20" s="881">
        <v>1.1000000000000001</v>
      </c>
      <c r="F20" s="884" t="s">
        <v>567</v>
      </c>
      <c r="G20" s="885"/>
      <c r="H20" s="877"/>
      <c r="I20" s="877"/>
    </row>
    <row r="21" spans="1:9" s="886" customFormat="1" ht="19.5" customHeight="1">
      <c r="A21" s="3306"/>
      <c r="B21" s="3306"/>
      <c r="C21" s="882" t="s">
        <v>568</v>
      </c>
      <c r="D21" s="883"/>
      <c r="E21" s="881">
        <v>0.8</v>
      </c>
      <c r="F21" s="884" t="s">
        <v>569</v>
      </c>
      <c r="G21" s="885"/>
      <c r="H21" s="877"/>
      <c r="I21" s="877"/>
    </row>
    <row r="22" spans="1:9" s="886" customFormat="1" ht="19.5" customHeight="1">
      <c r="A22" s="3306"/>
      <c r="B22" s="3306"/>
      <c r="C22" s="882" t="s">
        <v>570</v>
      </c>
      <c r="D22" s="883"/>
      <c r="E22" s="881">
        <v>0.5</v>
      </c>
      <c r="F22" s="884"/>
      <c r="G22" s="885"/>
      <c r="H22" s="877"/>
      <c r="I22" s="877"/>
    </row>
    <row r="23" spans="1:9" s="886" customFormat="1" ht="19.5" customHeight="1">
      <c r="A23" s="3306" t="s">
        <v>184</v>
      </c>
      <c r="B23" s="881" t="s">
        <v>560</v>
      </c>
      <c r="C23" s="882" t="s">
        <v>571</v>
      </c>
      <c r="D23" s="883"/>
      <c r="E23" s="881">
        <v>1</v>
      </c>
      <c r="F23" s="884" t="s">
        <v>572</v>
      </c>
      <c r="G23" s="885"/>
      <c r="H23" s="877"/>
      <c r="I23" s="877"/>
    </row>
    <row r="24" spans="1:9" s="886" customFormat="1" ht="19.5" customHeight="1">
      <c r="A24" s="3306"/>
      <c r="B24" s="3306" t="s">
        <v>563</v>
      </c>
      <c r="C24" s="882" t="s">
        <v>573</v>
      </c>
      <c r="D24" s="883"/>
      <c r="E24" s="881">
        <v>0.5</v>
      </c>
      <c r="F24" s="884"/>
      <c r="G24" s="885"/>
      <c r="H24" s="877"/>
      <c r="I24" s="877"/>
    </row>
    <row r="25" spans="1:9" s="886" customFormat="1" ht="19.5" customHeight="1">
      <c r="A25" s="3306"/>
      <c r="B25" s="3306"/>
      <c r="C25" s="882" t="s">
        <v>574</v>
      </c>
      <c r="D25" s="883"/>
      <c r="E25" s="881">
        <v>1.1000000000000001</v>
      </c>
      <c r="F25" s="884"/>
      <c r="G25" s="885"/>
      <c r="H25" s="877"/>
      <c r="I25" s="877"/>
    </row>
    <row r="26" spans="1:9" s="886" customFormat="1" ht="19.5" customHeight="1">
      <c r="A26" s="3306"/>
      <c r="B26" s="3306"/>
      <c r="C26" s="882" t="s">
        <v>575</v>
      </c>
      <c r="D26" s="883"/>
      <c r="E26" s="881">
        <v>1.1000000000000001</v>
      </c>
      <c r="F26" s="884"/>
      <c r="G26" s="885"/>
      <c r="H26" s="877"/>
      <c r="I26" s="877"/>
    </row>
    <row r="27" spans="1:9" s="886" customFormat="1" ht="19.5" customHeight="1">
      <c r="A27" s="3306"/>
      <c r="B27" s="3306"/>
      <c r="C27" s="882" t="s">
        <v>576</v>
      </c>
      <c r="D27" s="883"/>
      <c r="E27" s="881">
        <v>0.9</v>
      </c>
      <c r="F27" s="884" t="s">
        <v>577</v>
      </c>
      <c r="G27" s="885"/>
      <c r="H27" s="877"/>
      <c r="I27" s="877"/>
    </row>
    <row r="28" spans="1:9" s="886" customFormat="1" ht="19.5" customHeight="1">
      <c r="A28" s="3306"/>
      <c r="B28" s="3306"/>
      <c r="C28" s="882" t="s">
        <v>578</v>
      </c>
      <c r="D28" s="883"/>
      <c r="E28" s="881">
        <v>0.9</v>
      </c>
      <c r="F28" s="884" t="s">
        <v>579</v>
      </c>
      <c r="G28" s="885"/>
      <c r="H28" s="877"/>
      <c r="I28" s="877"/>
    </row>
    <row r="29" spans="1:9" s="886" customFormat="1" ht="19.5" customHeight="1">
      <c r="A29" s="3306"/>
      <c r="B29" s="3306"/>
      <c r="C29" s="882" t="s">
        <v>580</v>
      </c>
      <c r="D29" s="883"/>
      <c r="E29" s="881">
        <v>0.9</v>
      </c>
      <c r="F29" s="884" t="s">
        <v>581</v>
      </c>
      <c r="G29" s="885"/>
      <c r="H29" s="877"/>
      <c r="I29" s="877"/>
    </row>
    <row r="30" spans="1:9" s="886" customFormat="1" ht="19.5" customHeight="1">
      <c r="A30" s="3306"/>
      <c r="B30" s="3306"/>
      <c r="C30" s="882" t="s">
        <v>582</v>
      </c>
      <c r="D30" s="883"/>
      <c r="E30" s="881">
        <v>0.9</v>
      </c>
      <c r="F30" s="884" t="s">
        <v>583</v>
      </c>
      <c r="G30" s="885"/>
      <c r="H30" s="877"/>
      <c r="I30" s="877"/>
    </row>
    <row r="31" spans="1:9" s="886" customFormat="1" ht="19.5" customHeight="1">
      <c r="A31" s="3306"/>
      <c r="B31" s="3306"/>
      <c r="C31" s="882" t="s">
        <v>584</v>
      </c>
      <c r="D31" s="883"/>
      <c r="E31" s="881">
        <v>0.8</v>
      </c>
      <c r="F31" s="884" t="s">
        <v>585</v>
      </c>
      <c r="G31" s="885"/>
      <c r="H31" s="877"/>
      <c r="I31" s="877"/>
    </row>
    <row r="32" spans="1:9" s="886" customFormat="1" ht="19.5" customHeight="1">
      <c r="A32" s="3306"/>
      <c r="B32" s="3306"/>
      <c r="C32" s="882" t="s">
        <v>586</v>
      </c>
      <c r="D32" s="883"/>
      <c r="E32" s="881">
        <v>0.8</v>
      </c>
      <c r="F32" s="884" t="s">
        <v>587</v>
      </c>
      <c r="G32" s="885"/>
      <c r="H32" s="877"/>
      <c r="I32" s="877"/>
    </row>
    <row r="33" spans="1:9" s="886" customFormat="1" ht="19.5" customHeight="1">
      <c r="A33" s="3306" t="s">
        <v>185</v>
      </c>
      <c r="B33" s="881" t="s">
        <v>560</v>
      </c>
      <c r="C33" s="882" t="s">
        <v>588</v>
      </c>
      <c r="D33" s="883"/>
      <c r="E33" s="881">
        <v>1</v>
      </c>
      <c r="F33" s="884" t="s">
        <v>589</v>
      </c>
      <c r="G33" s="885"/>
      <c r="H33" s="877"/>
      <c r="I33" s="877"/>
    </row>
    <row r="34" spans="1:9" s="886" customFormat="1" ht="19.5" customHeight="1">
      <c r="A34" s="3306"/>
      <c r="B34" s="881" t="s">
        <v>563</v>
      </c>
      <c r="C34" s="882" t="s">
        <v>590</v>
      </c>
      <c r="D34" s="883"/>
      <c r="E34" s="881">
        <v>1.5</v>
      </c>
      <c r="F34" s="884" t="s">
        <v>591</v>
      </c>
      <c r="G34" s="885"/>
      <c r="H34" s="877"/>
      <c r="I34" s="877"/>
    </row>
    <row r="35" spans="1:9" s="886" customFormat="1" ht="19.5" customHeight="1">
      <c r="A35" s="3306" t="s">
        <v>186</v>
      </c>
      <c r="B35" s="881" t="s">
        <v>560</v>
      </c>
      <c r="C35" s="882" t="s">
        <v>592</v>
      </c>
      <c r="D35" s="883"/>
      <c r="E35" s="881">
        <v>1</v>
      </c>
      <c r="F35" s="884" t="s">
        <v>593</v>
      </c>
      <c r="G35" s="885"/>
      <c r="H35" s="877"/>
      <c r="I35" s="877"/>
    </row>
    <row r="36" spans="1:9" s="886" customFormat="1" ht="19.5" customHeight="1">
      <c r="A36" s="3306"/>
      <c r="B36" s="3306" t="s">
        <v>563</v>
      </c>
      <c r="C36" s="882" t="s">
        <v>594</v>
      </c>
      <c r="D36" s="883"/>
      <c r="E36" s="881">
        <v>1</v>
      </c>
      <c r="F36" s="884" t="s">
        <v>595</v>
      </c>
      <c r="G36" s="885"/>
      <c r="H36" s="877"/>
      <c r="I36" s="877"/>
    </row>
    <row r="37" spans="1:9" s="886" customFormat="1" ht="19.5" customHeight="1">
      <c r="A37" s="3306"/>
      <c r="B37" s="3306"/>
      <c r="C37" s="882" t="s">
        <v>596</v>
      </c>
      <c r="D37" s="883"/>
      <c r="E37" s="881">
        <v>1.5</v>
      </c>
      <c r="F37" s="884" t="s">
        <v>597</v>
      </c>
      <c r="G37" s="885"/>
      <c r="H37" s="877"/>
      <c r="I37" s="877"/>
    </row>
    <row r="38" spans="1:9" s="886" customFormat="1" ht="19.5" customHeight="1">
      <c r="A38" s="3306"/>
      <c r="B38" s="3306"/>
      <c r="C38" s="882" t="s">
        <v>598</v>
      </c>
      <c r="D38" s="883"/>
      <c r="E38" s="881">
        <v>1</v>
      </c>
      <c r="F38" s="884" t="s">
        <v>599</v>
      </c>
      <c r="G38" s="885"/>
      <c r="H38" s="877"/>
      <c r="I38" s="877"/>
    </row>
    <row r="39" spans="1:9" s="886" customFormat="1" ht="19.5" customHeight="1">
      <c r="A39" s="3306"/>
      <c r="B39" s="330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6" t="s">
        <v>614</v>
      </c>
      <c r="C61" s="817" t="s">
        <v>615</v>
      </c>
      <c r="D61" s="817" t="s">
        <v>616</v>
      </c>
      <c r="E61" s="894">
        <v>0.5</v>
      </c>
      <c r="F61" s="881">
        <v>80</v>
      </c>
    </row>
    <row r="62" spans="1:8" s="877" customFormat="1" ht="24">
      <c r="A62" s="881">
        <v>2</v>
      </c>
      <c r="B62" s="3306"/>
      <c r="C62" s="817" t="s">
        <v>617</v>
      </c>
      <c r="D62" s="817" t="s">
        <v>618</v>
      </c>
      <c r="E62" s="894">
        <v>0.5</v>
      </c>
      <c r="F62" s="881">
        <v>80</v>
      </c>
    </row>
    <row r="63" spans="1:8" s="877" customFormat="1" ht="36">
      <c r="A63" s="881">
        <v>3</v>
      </c>
      <c r="B63" s="3306"/>
      <c r="C63" s="817" t="s">
        <v>619</v>
      </c>
      <c r="D63" s="817" t="s">
        <v>620</v>
      </c>
      <c r="E63" s="894">
        <v>0.5</v>
      </c>
      <c r="F63" s="881">
        <v>80</v>
      </c>
    </row>
    <row r="64" spans="1:8" s="877" customFormat="1" ht="36">
      <c r="A64" s="881">
        <v>4</v>
      </c>
      <c r="B64" s="3306"/>
      <c r="C64" s="817" t="s">
        <v>621</v>
      </c>
      <c r="D64" s="817" t="s">
        <v>622</v>
      </c>
      <c r="E64" s="894">
        <v>0.4</v>
      </c>
      <c r="F64" s="881">
        <v>60</v>
      </c>
    </row>
    <row r="65" spans="1:6" s="877" customFormat="1" ht="36">
      <c r="A65" s="881">
        <v>5</v>
      </c>
      <c r="B65" s="3306"/>
      <c r="C65" s="817" t="s">
        <v>623</v>
      </c>
      <c r="D65" s="817" t="s">
        <v>624</v>
      </c>
      <c r="E65" s="894">
        <v>0.2</v>
      </c>
      <c r="F65" s="881">
        <v>30</v>
      </c>
    </row>
    <row r="66" spans="1:6" s="877" customFormat="1" ht="36">
      <c r="A66" s="881">
        <v>6</v>
      </c>
      <c r="B66" s="3306"/>
      <c r="C66" s="817" t="s">
        <v>625</v>
      </c>
      <c r="D66" s="817" t="s">
        <v>626</v>
      </c>
      <c r="E66" s="894">
        <v>0.3</v>
      </c>
      <c r="F66" s="881">
        <v>50</v>
      </c>
    </row>
    <row r="67" spans="1:6" s="877" customFormat="1" ht="36">
      <c r="A67" s="881">
        <v>7</v>
      </c>
      <c r="B67" s="3306"/>
      <c r="C67" s="817" t="s">
        <v>627</v>
      </c>
      <c r="D67" s="817" t="s">
        <v>628</v>
      </c>
      <c r="E67" s="894">
        <v>0.2</v>
      </c>
      <c r="F67" s="881">
        <v>30</v>
      </c>
    </row>
    <row r="68" spans="1:6" s="877" customFormat="1" ht="36">
      <c r="A68" s="881">
        <v>8</v>
      </c>
      <c r="B68" s="3306"/>
      <c r="C68" s="817" t="s">
        <v>629</v>
      </c>
      <c r="D68" s="817" t="s">
        <v>630</v>
      </c>
      <c r="E68" s="894">
        <v>0.2</v>
      </c>
      <c r="F68" s="881">
        <v>30</v>
      </c>
    </row>
    <row r="69" spans="1:6" s="877" customFormat="1" ht="36">
      <c r="A69" s="881">
        <v>9</v>
      </c>
      <c r="B69" s="3306"/>
      <c r="C69" s="817" t="s">
        <v>631</v>
      </c>
      <c r="D69" s="817" t="s">
        <v>632</v>
      </c>
      <c r="E69" s="894">
        <v>0.2</v>
      </c>
      <c r="F69" s="881">
        <v>30</v>
      </c>
    </row>
    <row r="70" spans="1:6" s="877" customFormat="1" ht="48">
      <c r="A70" s="881">
        <v>10</v>
      </c>
      <c r="B70" s="3306"/>
      <c r="C70" s="817" t="s">
        <v>633</v>
      </c>
      <c r="D70" s="817" t="s">
        <v>634</v>
      </c>
      <c r="E70" s="894">
        <v>0.2</v>
      </c>
      <c r="F70" s="881">
        <v>30</v>
      </c>
    </row>
    <row r="71" spans="1:6" s="877" customFormat="1" ht="48">
      <c r="A71" s="881">
        <v>11</v>
      </c>
      <c r="B71" s="3306"/>
      <c r="C71" s="817" t="s">
        <v>635</v>
      </c>
      <c r="D71" s="817" t="s">
        <v>636</v>
      </c>
      <c r="E71" s="894">
        <v>0.2</v>
      </c>
      <c r="F71" s="881">
        <v>30</v>
      </c>
    </row>
    <row r="72" spans="1:6" s="877" customFormat="1" ht="36">
      <c r="A72" s="881">
        <v>12</v>
      </c>
      <c r="B72" s="3306"/>
      <c r="C72" s="817" t="s">
        <v>637</v>
      </c>
      <c r="D72" s="817" t="s">
        <v>638</v>
      </c>
      <c r="E72" s="894">
        <v>0.5</v>
      </c>
      <c r="F72" s="881">
        <v>80</v>
      </c>
    </row>
    <row r="73" spans="1:6" s="877" customFormat="1" ht="24">
      <c r="A73" s="881">
        <v>13</v>
      </c>
      <c r="B73" s="3306"/>
      <c r="C73" s="817" t="s">
        <v>639</v>
      </c>
      <c r="D73" s="817" t="s">
        <v>640</v>
      </c>
      <c r="E73" s="894">
        <v>0.4</v>
      </c>
      <c r="F73" s="881">
        <v>60</v>
      </c>
    </row>
    <row r="74" spans="1:6" s="877" customFormat="1" ht="24">
      <c r="A74" s="881">
        <v>14</v>
      </c>
      <c r="B74" s="3306"/>
      <c r="C74" s="817" t="s">
        <v>641</v>
      </c>
      <c r="D74" s="817" t="s">
        <v>642</v>
      </c>
      <c r="E74" s="894">
        <v>0.2</v>
      </c>
      <c r="F74" s="881">
        <v>30</v>
      </c>
    </row>
    <row r="75" spans="1:6" s="877" customFormat="1" ht="24">
      <c r="A75" s="881">
        <v>15</v>
      </c>
      <c r="B75" s="3306"/>
      <c r="C75" s="817" t="s">
        <v>643</v>
      </c>
      <c r="D75" s="817" t="s">
        <v>644</v>
      </c>
      <c r="E75" s="894">
        <v>0.2</v>
      </c>
      <c r="F75" s="881">
        <v>30</v>
      </c>
    </row>
    <row r="76" spans="1:6" s="877" customFormat="1" ht="24">
      <c r="A76" s="881">
        <v>16</v>
      </c>
      <c r="B76" s="3306" t="s">
        <v>645</v>
      </c>
      <c r="C76" s="817" t="s">
        <v>646</v>
      </c>
      <c r="D76" s="817" t="s">
        <v>647</v>
      </c>
      <c r="E76" s="894">
        <v>0.5</v>
      </c>
      <c r="F76" s="881">
        <v>80</v>
      </c>
    </row>
    <row r="77" spans="1:6" s="877" customFormat="1" ht="24">
      <c r="A77" s="881">
        <v>17</v>
      </c>
      <c r="B77" s="3306"/>
      <c r="C77" s="817" t="s">
        <v>648</v>
      </c>
      <c r="D77" s="817" t="s">
        <v>649</v>
      </c>
      <c r="E77" s="894">
        <v>0.5</v>
      </c>
      <c r="F77" s="881">
        <v>80</v>
      </c>
    </row>
    <row r="78" spans="1:6" s="877" customFormat="1" ht="24">
      <c r="A78" s="881">
        <v>18</v>
      </c>
      <c r="B78" s="3306"/>
      <c r="C78" s="817" t="s">
        <v>650</v>
      </c>
      <c r="D78" s="817" t="s">
        <v>651</v>
      </c>
      <c r="E78" s="894">
        <v>0.2</v>
      </c>
      <c r="F78" s="881">
        <v>30</v>
      </c>
    </row>
    <row r="79" spans="1:6" s="877" customFormat="1" ht="24">
      <c r="A79" s="881">
        <v>19</v>
      </c>
      <c r="B79" s="3306"/>
      <c r="C79" s="817" t="s">
        <v>652</v>
      </c>
      <c r="D79" s="817" t="s">
        <v>653</v>
      </c>
      <c r="E79" s="894">
        <v>0.5</v>
      </c>
      <c r="F79" s="881">
        <v>80</v>
      </c>
    </row>
    <row r="80" spans="1:6" s="877" customFormat="1" ht="36">
      <c r="A80" s="881">
        <v>20</v>
      </c>
      <c r="B80" s="3306"/>
      <c r="C80" s="817" t="s">
        <v>654</v>
      </c>
      <c r="D80" s="817" t="s">
        <v>655</v>
      </c>
      <c r="E80" s="894">
        <v>0.2</v>
      </c>
      <c r="F80" s="881">
        <v>30</v>
      </c>
    </row>
    <row r="81" spans="1:6" s="877" customFormat="1" ht="36">
      <c r="A81" s="881">
        <v>21</v>
      </c>
      <c r="B81" s="3306"/>
      <c r="C81" s="817" t="s">
        <v>656</v>
      </c>
      <c r="D81" s="817" t="s">
        <v>657</v>
      </c>
      <c r="E81" s="894">
        <v>0.2</v>
      </c>
      <c r="F81" s="881">
        <v>30</v>
      </c>
    </row>
    <row r="82" spans="1:6" s="877" customFormat="1" ht="48">
      <c r="A82" s="881">
        <v>22</v>
      </c>
      <c r="B82" s="3306"/>
      <c r="C82" s="817" t="s">
        <v>658</v>
      </c>
      <c r="D82" s="817" t="s">
        <v>659</v>
      </c>
      <c r="E82" s="894">
        <v>0.2</v>
      </c>
      <c r="F82" s="881">
        <v>30</v>
      </c>
    </row>
    <row r="83" spans="1:6" s="877" customFormat="1" ht="48">
      <c r="A83" s="881">
        <v>23</v>
      </c>
      <c r="B83" s="3306"/>
      <c r="C83" s="817" t="s">
        <v>660</v>
      </c>
      <c r="D83" s="817" t="s">
        <v>661</v>
      </c>
      <c r="E83" s="894">
        <v>0.2</v>
      </c>
      <c r="F83" s="881">
        <v>30</v>
      </c>
    </row>
    <row r="84" spans="1:6" s="877" customFormat="1" ht="36">
      <c r="A84" s="881">
        <v>24</v>
      </c>
      <c r="B84" s="3306"/>
      <c r="C84" s="817" t="s">
        <v>662</v>
      </c>
      <c r="D84" s="817" t="s">
        <v>663</v>
      </c>
      <c r="E84" s="894">
        <v>0.2</v>
      </c>
      <c r="F84" s="881">
        <v>30</v>
      </c>
    </row>
    <row r="85" spans="1:6" s="877" customFormat="1" ht="36">
      <c r="A85" s="881">
        <v>25</v>
      </c>
      <c r="B85" s="3306"/>
      <c r="C85" s="817" t="s">
        <v>664</v>
      </c>
      <c r="D85" s="817" t="s">
        <v>665</v>
      </c>
      <c r="E85" s="894">
        <v>0.5</v>
      </c>
      <c r="F85" s="881">
        <v>80</v>
      </c>
    </row>
    <row r="86" spans="1:6" s="877" customFormat="1" ht="36">
      <c r="A86" s="881">
        <v>26</v>
      </c>
      <c r="B86" s="3306"/>
      <c r="C86" s="817" t="s">
        <v>666</v>
      </c>
      <c r="D86" s="817" t="s">
        <v>667</v>
      </c>
      <c r="E86" s="894">
        <v>0.2</v>
      </c>
      <c r="F86" s="881">
        <v>30</v>
      </c>
    </row>
    <row r="87" spans="1:6" s="877" customFormat="1" ht="36">
      <c r="A87" s="881">
        <v>27</v>
      </c>
      <c r="B87" s="3306"/>
      <c r="C87" s="817" t="s">
        <v>668</v>
      </c>
      <c r="D87" s="817" t="s">
        <v>669</v>
      </c>
      <c r="E87" s="894">
        <v>0.2</v>
      </c>
      <c r="F87" s="881">
        <v>30</v>
      </c>
    </row>
    <row r="88" spans="1:6" s="877" customFormat="1" ht="36">
      <c r="A88" s="881">
        <v>28</v>
      </c>
      <c r="B88" s="3306"/>
      <c r="C88" s="817" t="s">
        <v>670</v>
      </c>
      <c r="D88" s="817" t="s">
        <v>671</v>
      </c>
      <c r="E88" s="894">
        <v>0.2</v>
      </c>
      <c r="F88" s="881">
        <v>30</v>
      </c>
    </row>
    <row r="89" spans="1:6" s="877" customFormat="1" ht="24">
      <c r="A89" s="881">
        <v>29</v>
      </c>
      <c r="B89" s="3306"/>
      <c r="C89" s="817" t="s">
        <v>672</v>
      </c>
      <c r="D89" s="817" t="s">
        <v>673</v>
      </c>
      <c r="E89" s="894">
        <v>0.2</v>
      </c>
      <c r="F89" s="881">
        <v>30</v>
      </c>
    </row>
    <row r="90" spans="1:6" s="877" customFormat="1" ht="24">
      <c r="A90" s="881">
        <v>30</v>
      </c>
      <c r="B90" s="3306"/>
      <c r="C90" s="817" t="s">
        <v>674</v>
      </c>
      <c r="D90" s="817" t="s">
        <v>675</v>
      </c>
      <c r="E90" s="894">
        <v>0.2</v>
      </c>
      <c r="F90" s="881">
        <v>30</v>
      </c>
    </row>
    <row r="91" spans="1:6" s="877" customFormat="1" ht="36">
      <c r="A91" s="881">
        <v>31</v>
      </c>
      <c r="B91" s="3306"/>
      <c r="C91" s="817" t="s">
        <v>676</v>
      </c>
      <c r="D91" s="817" t="s">
        <v>677</v>
      </c>
      <c r="E91" s="894">
        <v>0.2</v>
      </c>
      <c r="F91" s="881">
        <v>30</v>
      </c>
    </row>
    <row r="92" spans="1:6" s="877" customFormat="1" ht="24">
      <c r="A92" s="881">
        <v>32</v>
      </c>
      <c r="B92" s="3306" t="s">
        <v>678</v>
      </c>
      <c r="C92" s="881" t="s">
        <v>679</v>
      </c>
      <c r="D92" s="817" t="s">
        <v>680</v>
      </c>
      <c r="E92" s="894">
        <v>0.2</v>
      </c>
      <c r="F92" s="881">
        <v>30</v>
      </c>
    </row>
    <row r="93" spans="1:6" s="877" customFormat="1" ht="36">
      <c r="A93" s="881">
        <v>33</v>
      </c>
      <c r="B93" s="3306"/>
      <c r="C93" s="881" t="s">
        <v>681</v>
      </c>
      <c r="D93" s="817" t="s">
        <v>682</v>
      </c>
      <c r="E93" s="894">
        <v>0.2</v>
      </c>
      <c r="F93" s="881">
        <v>30</v>
      </c>
    </row>
    <row r="94" spans="1:6" s="877" customFormat="1" ht="48">
      <c r="A94" s="881">
        <v>34</v>
      </c>
      <c r="B94" s="3306"/>
      <c r="C94" s="881" t="s">
        <v>683</v>
      </c>
      <c r="D94" s="817" t="s">
        <v>684</v>
      </c>
      <c r="E94" s="894">
        <v>0.2</v>
      </c>
      <c r="F94" s="881">
        <v>30</v>
      </c>
    </row>
    <row r="95" spans="1:6" s="877" customFormat="1" ht="36">
      <c r="A95" s="881">
        <v>35</v>
      </c>
      <c r="B95" s="3306"/>
      <c r="C95" s="881" t="s">
        <v>685</v>
      </c>
      <c r="D95" s="817" t="s">
        <v>686</v>
      </c>
      <c r="E95" s="894">
        <v>0.2</v>
      </c>
      <c r="F95" s="881">
        <v>30</v>
      </c>
    </row>
    <row r="96" spans="1:6" s="877" customFormat="1" ht="48">
      <c r="A96" s="881">
        <v>36</v>
      </c>
      <c r="B96" s="3306"/>
      <c r="C96" s="817" t="s">
        <v>687</v>
      </c>
      <c r="D96" s="817" t="s">
        <v>688</v>
      </c>
      <c r="E96" s="894">
        <v>0.2</v>
      </c>
      <c r="F96" s="881">
        <v>30</v>
      </c>
    </row>
    <row r="97" spans="1:6" s="877" customFormat="1" ht="36">
      <c r="A97" s="881">
        <v>37</v>
      </c>
      <c r="B97" s="3306"/>
      <c r="C97" s="881" t="s">
        <v>689</v>
      </c>
      <c r="D97" s="817" t="s">
        <v>690</v>
      </c>
      <c r="E97" s="894">
        <v>0.2</v>
      </c>
      <c r="F97" s="881">
        <v>30</v>
      </c>
    </row>
    <row r="98" spans="1:6" s="877" customFormat="1" ht="36">
      <c r="A98" s="881">
        <v>38</v>
      </c>
      <c r="B98" s="3306"/>
      <c r="C98" s="881" t="s">
        <v>691</v>
      </c>
      <c r="D98" s="817" t="s">
        <v>692</v>
      </c>
      <c r="E98" s="894">
        <v>0.2</v>
      </c>
      <c r="F98" s="881">
        <v>30</v>
      </c>
    </row>
    <row r="99" spans="1:6" s="877" customFormat="1" ht="36">
      <c r="A99" s="881">
        <v>39</v>
      </c>
      <c r="B99" s="3306" t="s">
        <v>693</v>
      </c>
      <c r="C99" s="881" t="s">
        <v>694</v>
      </c>
      <c r="D99" s="817" t="s">
        <v>695</v>
      </c>
      <c r="E99" s="894">
        <v>0.3</v>
      </c>
      <c r="F99" s="881">
        <v>50</v>
      </c>
    </row>
    <row r="100" spans="1:6" s="877" customFormat="1" ht="24">
      <c r="A100" s="881">
        <v>40</v>
      </c>
      <c r="B100" s="3306"/>
      <c r="C100" s="881" t="s">
        <v>696</v>
      </c>
      <c r="D100" s="817" t="s">
        <v>697</v>
      </c>
      <c r="E100" s="894">
        <v>0.2</v>
      </c>
      <c r="F100" s="881">
        <v>30</v>
      </c>
    </row>
    <row r="101" spans="1:6" s="877" customFormat="1" ht="36">
      <c r="A101" s="881">
        <v>41</v>
      </c>
      <c r="B101" s="330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6" t="s">
        <v>708</v>
      </c>
      <c r="C105" s="881" t="s">
        <v>709</v>
      </c>
      <c r="D105" s="817" t="s">
        <v>710</v>
      </c>
      <c r="E105" s="894">
        <v>0.2</v>
      </c>
      <c r="F105" s="881">
        <v>30</v>
      </c>
    </row>
    <row r="106" spans="1:6" s="877" customFormat="1" ht="36">
      <c r="A106" s="881">
        <v>46</v>
      </c>
      <c r="B106" s="3306"/>
      <c r="C106" s="881" t="s">
        <v>711</v>
      </c>
      <c r="D106" s="817" t="s">
        <v>712</v>
      </c>
      <c r="E106" s="894">
        <v>0.2</v>
      </c>
      <c r="F106" s="881">
        <v>30</v>
      </c>
    </row>
    <row r="107" spans="1:6" s="877" customFormat="1" ht="36">
      <c r="A107" s="881">
        <v>47</v>
      </c>
      <c r="B107" s="3306" t="s">
        <v>713</v>
      </c>
      <c r="C107" s="881" t="s">
        <v>714</v>
      </c>
      <c r="D107" s="817" t="s">
        <v>715</v>
      </c>
      <c r="E107" s="894">
        <v>0.3</v>
      </c>
      <c r="F107" s="881">
        <v>50</v>
      </c>
    </row>
    <row r="108" spans="1:6" s="877" customFormat="1" ht="36">
      <c r="A108" s="881">
        <v>48</v>
      </c>
      <c r="B108" s="330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6" t="s">
        <v>724</v>
      </c>
      <c r="C111" s="881" t="s">
        <v>725</v>
      </c>
      <c r="D111" s="817" t="s">
        <v>726</v>
      </c>
      <c r="E111" s="894">
        <v>0.2</v>
      </c>
      <c r="F111" s="881">
        <v>30</v>
      </c>
    </row>
    <row r="112" spans="1:6" s="877" customFormat="1" ht="24">
      <c r="A112" s="881">
        <v>52</v>
      </c>
      <c r="B112" s="3306"/>
      <c r="C112" s="881" t="s">
        <v>727</v>
      </c>
      <c r="D112" s="817" t="s">
        <v>728</v>
      </c>
      <c r="E112" s="894">
        <v>0.2</v>
      </c>
      <c r="F112" s="881">
        <v>30</v>
      </c>
    </row>
    <row r="113" spans="1:6" s="877" customFormat="1" ht="24">
      <c r="A113" s="881">
        <v>53</v>
      </c>
      <c r="B113" s="330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6" t="s">
        <v>737</v>
      </c>
      <c r="C116" s="881" t="s">
        <v>738</v>
      </c>
      <c r="D116" s="817" t="s">
        <v>739</v>
      </c>
      <c r="E116" s="894">
        <v>0.2</v>
      </c>
      <c r="F116" s="881">
        <v>30</v>
      </c>
    </row>
    <row r="117" spans="1:6" ht="36">
      <c r="A117" s="881">
        <v>57</v>
      </c>
      <c r="B117" s="330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R43" sqref="R43:W4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0" t="s">
        <v>3002</v>
      </c>
    </row>
    <row r="2" spans="1:5" ht="15.75">
      <c r="A2" s="2909" t="s">
        <v>2994</v>
      </c>
      <c r="B2" s="2910" t="e">
        <f ca="1">SUMIF(B6:B13,"&lt;&gt;#ref!",B6:B13)</f>
        <v>#DIV/0!</v>
      </c>
      <c r="C2" s="2909" t="s">
        <v>2995</v>
      </c>
      <c r="D2" s="2909" t="s">
        <v>2996</v>
      </c>
      <c r="E2" s="2910">
        <f ca="1">SUMIF(E6:E13,"&lt;&gt;#ref!",E6:E13)</f>
        <v>0</v>
      </c>
    </row>
    <row r="3" spans="1:5" ht="15.75">
      <c r="A3" s="2909" t="s">
        <v>2997</v>
      </c>
      <c r="B3" s="2910" t="e">
        <f ca="1">ROUND(B2*10000/E2,0)</f>
        <v>#DIV/0!</v>
      </c>
      <c r="C3" s="2909" t="s">
        <v>3003</v>
      </c>
      <c r="D3" s="2911"/>
      <c r="E3" s="2911"/>
    </row>
    <row r="4" spans="1:5" ht="15.75">
      <c r="A4" s="2912"/>
      <c r="B4" s="2911"/>
      <c r="C4" s="2911"/>
      <c r="D4" s="2911"/>
      <c r="E4" s="2911"/>
    </row>
    <row r="5" spans="1:5" ht="28.5">
      <c r="A5" s="2913" t="s">
        <v>2998</v>
      </c>
      <c r="B5" s="2909" t="s">
        <v>2999</v>
      </c>
      <c r="C5" s="2910"/>
      <c r="D5" s="2911"/>
      <c r="E5" s="2909" t="s">
        <v>3000</v>
      </c>
    </row>
    <row r="6" spans="1:5" ht="15.75">
      <c r="A6" s="2914" t="s">
        <v>3001</v>
      </c>
      <c r="B6" s="2910" t="e">
        <f ca="1">SUMIF(INDIRECT("'"&amp;A6&amp;"'"&amp;"!A:A"),"总价",INDIRECT("'"&amp;A6&amp;"'"&amp;"!B:B"))</f>
        <v>#DIV/0!</v>
      </c>
      <c r="C6" s="2909" t="s">
        <v>2995</v>
      </c>
      <c r="D6" s="2911"/>
      <c r="E6" s="2574">
        <f ca="1">SUMIF(INDIRECT("'"&amp;A6&amp;"'"&amp;"!C:C"),"建筑面积",INDIRECT("'"&amp;A6&amp;"'"&amp;"!D:D"))</f>
        <v>0</v>
      </c>
    </row>
    <row r="7" spans="1:5" ht="15.75">
      <c r="A7" s="2914"/>
      <c r="B7" s="2910" t="e">
        <f ca="1">SUMIF(INDIRECT("'"&amp;A7&amp;"'"&amp;"!A:A"),"总价",INDIRECT("'"&amp;A7&amp;"'"&amp;"!B:B"))</f>
        <v>#REF!</v>
      </c>
      <c r="C7" s="2909" t="s">
        <v>2995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2995</v>
      </c>
      <c r="D8" s="2911"/>
      <c r="E8" s="2574" t="e">
        <f t="shared" ca="1" si="0"/>
        <v>#REF!</v>
      </c>
    </row>
    <row r="9" spans="1:5" ht="15.75">
      <c r="A9" s="2914"/>
      <c r="B9" s="2910" t="e">
        <f t="shared" ca="1" si="1"/>
        <v>#REF!</v>
      </c>
      <c r="C9" s="2909" t="s">
        <v>2995</v>
      </c>
      <c r="D9" s="2911"/>
      <c r="E9" s="2574" t="e">
        <f t="shared" ca="1" si="0"/>
        <v>#REF!</v>
      </c>
    </row>
    <row r="10" spans="1:5" ht="15.75">
      <c r="A10" s="2914"/>
      <c r="B10" s="2910" t="e">
        <f t="shared" ca="1" si="1"/>
        <v>#REF!</v>
      </c>
      <c r="C10" s="2909" t="s">
        <v>2995</v>
      </c>
      <c r="D10" s="2911"/>
      <c r="E10" s="2574" t="e">
        <f t="shared" ca="1" si="0"/>
        <v>#REF!</v>
      </c>
    </row>
    <row r="11" spans="1:5" ht="15.75">
      <c r="A11" s="2914"/>
      <c r="B11" s="2910" t="e">
        <f t="shared" ca="1" si="1"/>
        <v>#REF!</v>
      </c>
      <c r="C11" s="2909" t="s">
        <v>2995</v>
      </c>
      <c r="D11" s="2911"/>
      <c r="E11" s="2574" t="e">
        <f t="shared" ca="1" si="0"/>
        <v>#REF!</v>
      </c>
    </row>
    <row r="12" spans="1:5" ht="15.75">
      <c r="A12" s="2914"/>
      <c r="B12" s="2910" t="e">
        <f t="shared" ca="1" si="1"/>
        <v>#REF!</v>
      </c>
      <c r="C12" s="2909" t="s">
        <v>2995</v>
      </c>
      <c r="D12" s="2911"/>
      <c r="E12" s="2574" t="e">
        <f t="shared" ca="1" si="0"/>
        <v>#REF!</v>
      </c>
    </row>
    <row r="13" spans="1:5" ht="15.75">
      <c r="A13" s="2914"/>
      <c r="B13" s="2910" t="e">
        <f t="shared" ca="1" si="1"/>
        <v>#REF!</v>
      </c>
      <c r="C13" s="2909" t="s">
        <v>2995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R43" sqref="R43:W4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12" t="s">
        <v>1150</v>
      </c>
      <c r="C1" s="3312"/>
      <c r="D1" s="3312"/>
      <c r="E1" s="3312"/>
      <c r="F1" s="3312"/>
      <c r="G1" s="3311" t="s">
        <v>1151</v>
      </c>
      <c r="H1" s="3311"/>
      <c r="I1" s="3311"/>
      <c r="J1" s="3311"/>
      <c r="K1" s="3311"/>
      <c r="L1" s="3311"/>
      <c r="N1" s="3311" t="s">
        <v>1152</v>
      </c>
      <c r="O1" s="3311"/>
      <c r="P1" s="3311"/>
      <c r="Q1" s="3311"/>
      <c r="R1" s="1447"/>
      <c r="S1" s="3311" t="s">
        <v>1153</v>
      </c>
      <c r="T1" s="3311"/>
      <c r="U1" s="3311"/>
      <c r="V1" s="3311"/>
      <c r="X1" s="3310" t="s">
        <v>1154</v>
      </c>
      <c r="Y1" s="3311"/>
      <c r="Z1" s="3311"/>
      <c r="AA1" s="3311"/>
      <c r="AB1" s="3311"/>
      <c r="AD1" s="3310" t="s">
        <v>1155</v>
      </c>
      <c r="AE1" s="3311"/>
      <c r="AF1" s="3311"/>
      <c r="AG1" s="3311"/>
      <c r="AH1" s="3311"/>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8" customFormat="1" ht="14.25">
      <c r="A3" s="2937" t="s">
        <v>3037</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3045</v>
      </c>
      <c r="B5" s="1792">
        <f t="shared" ref="B5:C8" si="2">B6*(1+N5)</f>
        <v>459.95733971036987</v>
      </c>
      <c r="C5" s="1792">
        <f t="shared" si="2"/>
        <v>341.22221064422405</v>
      </c>
      <c r="D5" s="1792">
        <f t="shared" ref="D5:D13" si="3">C5</f>
        <v>341.22221064422405</v>
      </c>
      <c r="E5" s="1792">
        <f t="shared" ref="E5:F8" si="4">E6*(1+P5)</f>
        <v>657.19161663724799</v>
      </c>
      <c r="F5" s="1792">
        <f t="shared" si="4"/>
        <v>300.87803644464805</v>
      </c>
      <c r="G5" s="2940">
        <v>2018</v>
      </c>
      <c r="H5" s="1731">
        <v>4</v>
      </c>
      <c r="I5" s="2923">
        <v>0</v>
      </c>
      <c r="J5" s="2923">
        <v>0</v>
      </c>
      <c r="K5" s="2923">
        <v>0</v>
      </c>
      <c r="L5" s="2923">
        <v>0</v>
      </c>
      <c r="N5" s="1468">
        <f t="shared" ref="N5:Q7" si="5">I5/100</f>
        <v>0</v>
      </c>
      <c r="O5" s="1468">
        <f t="shared" si="5"/>
        <v>0</v>
      </c>
      <c r="P5" s="1468">
        <f t="shared" si="5"/>
        <v>0</v>
      </c>
      <c r="Q5" s="1468">
        <f t="shared" si="5"/>
        <v>0</v>
      </c>
      <c r="R5" s="1733"/>
      <c r="S5" s="1734"/>
      <c r="T5" s="1733"/>
      <c r="U5" s="1733"/>
      <c r="V5" s="1733"/>
      <c r="W5" s="2927" t="s">
        <v>3038</v>
      </c>
      <c r="X5" s="1727">
        <f>ROUND(SUMPRODUCT(PRODUCT(1+N5:N$23)),4)</f>
        <v>1.4956</v>
      </c>
      <c r="Y5" s="1727">
        <f>ROUND(SUMPRODUCT(PRODUCT(1+O5:O$23)),4)</f>
        <v>1.3237000000000001</v>
      </c>
      <c r="Z5" s="1727">
        <f>Y5</f>
        <v>1.3237000000000001</v>
      </c>
      <c r="AA5" s="1727">
        <f>ROUND(SUMPRODUCT(PRODUCT(1+P5:P$23)),4)</f>
        <v>1.554</v>
      </c>
      <c r="AB5" s="1727">
        <f>ROUND(SUMPRODUCT(PRODUCT(1+Q5:Q$23)),4)</f>
        <v>1.3087</v>
      </c>
      <c r="AD5" s="1469">
        <f>ROUND(AVERAGE(I5:I$24)/100,4)</f>
        <v>2.1899999999999999E-2</v>
      </c>
      <c r="AE5" s="1469">
        <f>ROUND(AVERAGE(J5:J$24)/100,4)</f>
        <v>1.5299999999999999E-2</v>
      </c>
      <c r="AF5" s="1469">
        <f>AE5</f>
        <v>1.5299999999999999E-2</v>
      </c>
      <c r="AG5" s="1469">
        <f>ROUND(AVERAGE(K5:K$24)/100,4)</f>
        <v>2.41E-2</v>
      </c>
      <c r="AH5" s="1469">
        <f>ROUND(AVERAGE(L5:L$24)/100,4)</f>
        <v>1.4200000000000001E-2</v>
      </c>
    </row>
    <row r="6" spans="1:34" s="1467" customFormat="1" ht="13.5" thickBot="1">
      <c r="A6" s="1462" t="s">
        <v>3046</v>
      </c>
      <c r="B6" s="1478">
        <f t="shared" si="2"/>
        <v>459.95733971036987</v>
      </c>
      <c r="C6" s="1478">
        <f t="shared" si="2"/>
        <v>341.22221064422405</v>
      </c>
      <c r="D6" s="1478">
        <f t="shared" si="3"/>
        <v>341.22221064422405</v>
      </c>
      <c r="E6" s="1478">
        <f t="shared" si="4"/>
        <v>657.19161663724799</v>
      </c>
      <c r="F6" s="1478">
        <f t="shared" si="4"/>
        <v>300.87803644464805</v>
      </c>
      <c r="G6" s="2938"/>
      <c r="H6" s="1465">
        <v>3</v>
      </c>
      <c r="I6" s="1465">
        <v>1.51</v>
      </c>
      <c r="J6" s="1465">
        <v>1.41</v>
      </c>
      <c r="K6" s="1465">
        <v>1.52</v>
      </c>
      <c r="L6" s="1479">
        <v>1.74</v>
      </c>
      <c r="M6" s="1472"/>
      <c r="N6" s="1473">
        <f t="shared" si="5"/>
        <v>1.5100000000000001E-2</v>
      </c>
      <c r="O6" s="1474">
        <f t="shared" si="5"/>
        <v>1.41E-2</v>
      </c>
      <c r="P6" s="1474">
        <f t="shared" si="5"/>
        <v>1.52E-2</v>
      </c>
      <c r="Q6" s="1474">
        <f t="shared" si="5"/>
        <v>1.7399999999999999E-2</v>
      </c>
      <c r="R6" s="1475"/>
      <c r="S6" s="1473"/>
      <c r="T6" s="1474"/>
      <c r="U6" s="1474"/>
      <c r="V6" s="1474"/>
      <c r="W6" s="1791"/>
      <c r="X6" s="1789">
        <f>ROUND(SUMPRODUCT(PRODUCT(1+N6:N$23)),4)</f>
        <v>1.4956</v>
      </c>
      <c r="Y6" s="1789">
        <f>ROUND(SUMPRODUCT(PRODUCT(1+O6:O$23)),4)</f>
        <v>1.3237000000000001</v>
      </c>
      <c r="Z6" s="1789">
        <f>Y6</f>
        <v>1.3237000000000001</v>
      </c>
      <c r="AA6" s="1789">
        <f>ROUND(SUMPRODUCT(PRODUCT(1+P6:P$23)),4)</f>
        <v>1.554</v>
      </c>
      <c r="AB6" s="1789">
        <f>ROUND(SUMPRODUCT(PRODUCT(1+Q6:Q$23)),4)</f>
        <v>1.3087</v>
      </c>
      <c r="AC6" s="1791"/>
      <c r="AD6" s="1790">
        <f>ROUND(AVERAGE(I6:I$24)/100,4)</f>
        <v>2.3099999999999999E-2</v>
      </c>
      <c r="AE6" s="1790">
        <f>ROUND(AVERAGE(J6:J$24)/100,4)</f>
        <v>1.61E-2</v>
      </c>
      <c r="AF6" s="1790">
        <f>AE6</f>
        <v>1.61E-2</v>
      </c>
      <c r="AG6" s="1790">
        <f>ROUND(AVERAGE(K6:K$24)/100,4)</f>
        <v>2.53E-2</v>
      </c>
      <c r="AH6" s="1790">
        <f>ROUND(AVERAGE(L6:L$24)/100,4)</f>
        <v>1.4999999999999999E-2</v>
      </c>
    </row>
    <row r="7" spans="1:34" s="1467" customFormat="1" ht="13.5" thickBot="1">
      <c r="A7" s="1462" t="s">
        <v>3044</v>
      </c>
      <c r="B7" s="1478">
        <f t="shared" si="2"/>
        <v>453.11529869999993</v>
      </c>
      <c r="C7" s="1478">
        <f t="shared" si="2"/>
        <v>336.47787264000004</v>
      </c>
      <c r="D7" s="1478">
        <f t="shared" si="3"/>
        <v>336.47787264000004</v>
      </c>
      <c r="E7" s="1478">
        <f t="shared" si="4"/>
        <v>647.35186823999993</v>
      </c>
      <c r="F7" s="1478">
        <f t="shared" si="4"/>
        <v>295.73229452000004</v>
      </c>
      <c r="G7" s="2938"/>
      <c r="H7" s="1465">
        <v>2</v>
      </c>
      <c r="I7" s="1465">
        <v>1.49</v>
      </c>
      <c r="J7" s="1465">
        <v>0.96</v>
      </c>
      <c r="K7" s="1465">
        <v>1.58</v>
      </c>
      <c r="L7" s="1479">
        <v>2.44</v>
      </c>
      <c r="M7" s="1472"/>
      <c r="N7" s="1473">
        <f t="shared" si="5"/>
        <v>1.49E-2</v>
      </c>
      <c r="O7" s="1474">
        <f t="shared" si="5"/>
        <v>9.5999999999999992E-3</v>
      </c>
      <c r="P7" s="1474">
        <f t="shared" si="5"/>
        <v>1.5800000000000002E-2</v>
      </c>
      <c r="Q7" s="1474">
        <f t="shared" si="5"/>
        <v>2.4399999999999998E-2</v>
      </c>
      <c r="R7" s="1475"/>
      <c r="S7" s="1473"/>
      <c r="T7" s="1474"/>
      <c r="U7" s="1474"/>
      <c r="V7" s="1474"/>
      <c r="W7" s="1791"/>
      <c r="X7" s="1789">
        <f>ROUND(SUMPRODUCT(PRODUCT(1+N7:N$23)),4)</f>
        <v>1.4733000000000001</v>
      </c>
      <c r="Y7" s="1789">
        <f>ROUND(SUMPRODUCT(PRODUCT(1+O7:O$23)),4)</f>
        <v>1.3052999999999999</v>
      </c>
      <c r="Z7" s="1789">
        <f>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AE7</f>
        <v>1.6199999999999999E-2</v>
      </c>
      <c r="AG7" s="1790">
        <f>ROUND(AVERAGE(K7:K$24)/100,4)</f>
        <v>2.5899999999999999E-2</v>
      </c>
      <c r="AH7" s="1790">
        <f>ROUND(AVERAGE(L7:L$24)/100,4)</f>
        <v>1.49E-2</v>
      </c>
    </row>
    <row r="8" spans="1:34" s="1467" customFormat="1" ht="13.5" thickBot="1">
      <c r="A8" s="1462" t="s">
        <v>3036</v>
      </c>
      <c r="B8" s="1478">
        <f t="shared" si="2"/>
        <v>446.46299999999997</v>
      </c>
      <c r="C8" s="1478">
        <f t="shared" si="2"/>
        <v>333.27840000000003</v>
      </c>
      <c r="D8" s="1478">
        <f t="shared" si="3"/>
        <v>333.27840000000003</v>
      </c>
      <c r="E8" s="1478">
        <f t="shared" si="4"/>
        <v>637.28279999999995</v>
      </c>
      <c r="F8" s="1478">
        <f t="shared" si="4"/>
        <v>288.68830000000003</v>
      </c>
      <c r="G8" s="2938"/>
      <c r="H8" s="1465">
        <v>1</v>
      </c>
      <c r="I8" s="1465">
        <v>1.7</v>
      </c>
      <c r="J8" s="1465">
        <v>1.92</v>
      </c>
      <c r="K8" s="1465">
        <v>1.64</v>
      </c>
      <c r="L8" s="1479">
        <v>2.0099999999999998</v>
      </c>
      <c r="M8" s="1472"/>
      <c r="N8" s="1473">
        <f t="shared" ref="N8:N13" si="6">I8/100</f>
        <v>1.7000000000000001E-2</v>
      </c>
      <c r="O8" s="1474">
        <f t="shared" ref="O8:Q11" si="7">J8/100</f>
        <v>1.9199999999999998E-2</v>
      </c>
      <c r="P8" s="1474">
        <f t="shared" si="7"/>
        <v>1.6399999999999998E-2</v>
      </c>
      <c r="Q8" s="1474">
        <f t="shared" si="7"/>
        <v>2.0099999999999996E-2</v>
      </c>
      <c r="R8" s="1475"/>
      <c r="S8" s="1473">
        <f>B8/B9-1</f>
        <v>1.6999999999999904E-2</v>
      </c>
      <c r="T8" s="1474">
        <f>C8/C9-1</f>
        <v>1.9200000000000106E-2</v>
      </c>
      <c r="U8" s="1474">
        <f>D8/D9-1</f>
        <v>1.9200000000000106E-2</v>
      </c>
      <c r="V8" s="1474">
        <f>E8/E9-1</f>
        <v>1.639999999999997E-2</v>
      </c>
      <c r="W8" s="1791"/>
      <c r="X8" s="1789">
        <f>ROUND(SUMPRODUCT(PRODUCT(1+N8:N$23)),4)</f>
        <v>1.4517</v>
      </c>
      <c r="Y8" s="1789">
        <f>ROUND(SUMPRODUCT(PRODUCT(1+O8:O$23)),4)</f>
        <v>1.2928999999999999</v>
      </c>
      <c r="Z8" s="1789">
        <f>Y8</f>
        <v>1.2928999999999999</v>
      </c>
      <c r="AA8" s="1789">
        <f>ROUND(SUMPRODUCT(PRODUCT(1+P8:P$23)),4)</f>
        <v>1.5068999999999999</v>
      </c>
      <c r="AB8" s="1789">
        <f>ROUND(SUMPRODUCT(PRODUCT(1+Q8:Q$23)),4)</f>
        <v>1.2557</v>
      </c>
      <c r="AC8" s="1791"/>
      <c r="AD8" s="1790">
        <f>ROUND(AVERAGE(I8:I$24)/100,4)</f>
        <v>2.4E-2</v>
      </c>
      <c r="AE8" s="1790">
        <f>ROUND(AVERAGE(J8:J$24)/100,4)</f>
        <v>1.66E-2</v>
      </c>
      <c r="AF8" s="1790">
        <f>AE8</f>
        <v>1.66E-2</v>
      </c>
      <c r="AG8" s="1790">
        <f>ROUND(AVERAGE(K8:K$24)/100,4)</f>
        <v>2.6499999999999999E-2</v>
      </c>
      <c r="AH8" s="1790">
        <f>ROUND(AVERAGE(L8:L$24)/100,4)</f>
        <v>1.43E-2</v>
      </c>
    </row>
    <row r="9" spans="1:34">
      <c r="A9" s="1462" t="s">
        <v>3033</v>
      </c>
      <c r="B9" s="1470">
        <v>439</v>
      </c>
      <c r="C9" s="1470">
        <v>327</v>
      </c>
      <c r="D9" s="1470">
        <f t="shared" si="3"/>
        <v>327</v>
      </c>
      <c r="E9" s="1470">
        <v>627</v>
      </c>
      <c r="F9" s="1471">
        <v>283</v>
      </c>
      <c r="G9" s="2925">
        <v>2017</v>
      </c>
      <c r="H9" s="1463">
        <v>4</v>
      </c>
      <c r="I9" s="1463">
        <v>1.71</v>
      </c>
      <c r="J9" s="1463">
        <v>1.78</v>
      </c>
      <c r="K9" s="1463">
        <v>1.71</v>
      </c>
      <c r="L9" s="1464">
        <v>1.43</v>
      </c>
      <c r="N9" s="1473">
        <f t="shared" si="6"/>
        <v>1.7100000000000001E-2</v>
      </c>
      <c r="O9" s="1474">
        <f t="shared" si="7"/>
        <v>1.78E-2</v>
      </c>
      <c r="P9" s="1474">
        <f t="shared" si="7"/>
        <v>1.7100000000000001E-2</v>
      </c>
      <c r="Q9" s="1474">
        <f t="shared" si="7"/>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3034</v>
      </c>
      <c r="B10" s="1478">
        <f t="shared" ref="B10:C12" si="8">B11*(1+N10)</f>
        <v>431.80730811680002</v>
      </c>
      <c r="C10" s="1478">
        <f t="shared" si="8"/>
        <v>320.57880516480003</v>
      </c>
      <c r="D10" s="1478">
        <f t="shared" si="3"/>
        <v>320.57880516480003</v>
      </c>
      <c r="E10" s="1478">
        <f t="shared" ref="E10:F12" si="9">E11*(1+P10)</f>
        <v>615.96110553196797</v>
      </c>
      <c r="F10" s="1478">
        <f t="shared" si="9"/>
        <v>279.46777300108801</v>
      </c>
      <c r="G10" s="2921"/>
      <c r="H10" s="1465">
        <v>3</v>
      </c>
      <c r="I10" s="1465">
        <v>2.98</v>
      </c>
      <c r="J10" s="1465">
        <v>2.11</v>
      </c>
      <c r="K10" s="1465">
        <v>3.24</v>
      </c>
      <c r="L10" s="1479">
        <v>1.72</v>
      </c>
      <c r="M10" s="1472"/>
      <c r="N10" s="1473">
        <f t="shared" si="6"/>
        <v>2.98E-2</v>
      </c>
      <c r="O10" s="1474">
        <f t="shared" si="7"/>
        <v>2.1099999999999997E-2</v>
      </c>
      <c r="P10" s="1474">
        <f t="shared" si="7"/>
        <v>3.2400000000000005E-2</v>
      </c>
      <c r="Q10" s="1474">
        <f t="shared" si="7"/>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1386</v>
      </c>
      <c r="B11" s="1478">
        <f t="shared" si="8"/>
        <v>419.31181600000002</v>
      </c>
      <c r="C11" s="1478">
        <f t="shared" si="8"/>
        <v>313.95436800000004</v>
      </c>
      <c r="D11" s="1478">
        <f t="shared" si="3"/>
        <v>313.95436800000004</v>
      </c>
      <c r="E11" s="1478">
        <f t="shared" si="9"/>
        <v>596.63028431999999</v>
      </c>
      <c r="F11" s="1478">
        <f t="shared" si="9"/>
        <v>274.74220703999998</v>
      </c>
      <c r="G11" s="2920"/>
      <c r="H11" s="1466">
        <v>2</v>
      </c>
      <c r="I11" s="1466">
        <v>3.4</v>
      </c>
      <c r="J11" s="1466">
        <v>2</v>
      </c>
      <c r="K11" s="1466">
        <v>3.82</v>
      </c>
      <c r="L11" s="1480">
        <v>1.68</v>
      </c>
      <c r="M11" s="1472"/>
      <c r="N11" s="1473">
        <f t="shared" si="6"/>
        <v>3.4000000000000002E-2</v>
      </c>
      <c r="O11" s="1474">
        <f t="shared" si="7"/>
        <v>0.02</v>
      </c>
      <c r="P11" s="1474">
        <f t="shared" si="7"/>
        <v>3.8199999999999998E-2</v>
      </c>
      <c r="Q11" s="1474">
        <f t="shared" si="7"/>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1161</v>
      </c>
      <c r="B12" s="1478">
        <f t="shared" si="8"/>
        <v>405.524</v>
      </c>
      <c r="C12" s="1478">
        <f t="shared" si="8"/>
        <v>307.79840000000002</v>
      </c>
      <c r="D12" s="1478">
        <f t="shared" si="3"/>
        <v>307.79840000000002</v>
      </c>
      <c r="E12" s="1478">
        <f t="shared" si="9"/>
        <v>574.67759999999998</v>
      </c>
      <c r="F12" s="1478">
        <f t="shared" si="9"/>
        <v>270.20280000000002</v>
      </c>
      <c r="G12" s="2921"/>
      <c r="H12" s="1465">
        <v>1</v>
      </c>
      <c r="I12" s="1465">
        <v>3.45</v>
      </c>
      <c r="J12" s="1465">
        <v>1.92</v>
      </c>
      <c r="K12" s="1465">
        <v>3.92</v>
      </c>
      <c r="L12" s="1479">
        <v>1.58</v>
      </c>
      <c r="M12" s="1472"/>
      <c r="N12" s="1473">
        <f t="shared" si="6"/>
        <v>3.4500000000000003E-2</v>
      </c>
      <c r="O12" s="1474">
        <f t="shared" ref="O12:Q27" si="10">J12/100</f>
        <v>1.9199999999999998E-2</v>
      </c>
      <c r="P12" s="1474">
        <f t="shared" si="10"/>
        <v>3.9199999999999999E-2</v>
      </c>
      <c r="Q12" s="1474">
        <f t="shared" si="10"/>
        <v>1.5800000000000002E-2</v>
      </c>
      <c r="R12" s="1475"/>
      <c r="S12" s="1473">
        <f>B12/B13-1</f>
        <v>3.4499999999999975E-2</v>
      </c>
      <c r="T12" s="1474">
        <f>C12/C13-1</f>
        <v>1.9200000000000106E-2</v>
      </c>
      <c r="U12" s="1474">
        <f>D12/D13-1</f>
        <v>1.9200000000000106E-2</v>
      </c>
      <c r="V12" s="1474">
        <f>E12/E13-1</f>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 t="shared" si="3"/>
        <v>302</v>
      </c>
      <c r="E13" s="1470">
        <v>553</v>
      </c>
      <c r="F13" s="1471">
        <v>266</v>
      </c>
      <c r="G13" s="3313">
        <v>2016</v>
      </c>
      <c r="H13" s="1463">
        <v>4</v>
      </c>
      <c r="I13" s="1463">
        <v>4.5599999999999996</v>
      </c>
      <c r="J13" s="1463">
        <v>2.15</v>
      </c>
      <c r="K13" s="1463">
        <v>5.32</v>
      </c>
      <c r="L13" s="1464">
        <v>1.57</v>
      </c>
      <c r="N13" s="1473">
        <f t="shared" si="6"/>
        <v>4.5599999999999995E-2</v>
      </c>
      <c r="O13" s="1474">
        <f t="shared" si="10"/>
        <v>2.1499999999999998E-2</v>
      </c>
      <c r="P13" s="1474">
        <f t="shared" si="10"/>
        <v>5.3200000000000004E-2</v>
      </c>
      <c r="Q13" s="1474">
        <f t="shared" si="10"/>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11">B13/(1+N13)</f>
        <v>374.90436113236416</v>
      </c>
      <c r="C14" s="1478">
        <f t="shared" si="11"/>
        <v>295.64366128242779</v>
      </c>
      <c r="D14" s="1478">
        <f t="shared" ref="D14:D73" si="12">C14</f>
        <v>295.64366128242779</v>
      </c>
      <c r="E14" s="1478">
        <f t="shared" ref="E14:F16" si="13">E13/(1+P13)</f>
        <v>525.06646410938095</v>
      </c>
      <c r="F14" s="1478">
        <f t="shared" si="13"/>
        <v>261.88835286009646</v>
      </c>
      <c r="G14" s="3308"/>
      <c r="H14" s="1465">
        <v>3</v>
      </c>
      <c r="I14" s="1465">
        <v>4.12</v>
      </c>
      <c r="J14" s="1465">
        <v>2</v>
      </c>
      <c r="K14" s="1465">
        <v>4.79</v>
      </c>
      <c r="L14" s="1479">
        <v>1.97</v>
      </c>
      <c r="N14" s="1473">
        <f t="shared" ref="N14:Q48" si="14">I14/100</f>
        <v>4.1200000000000001E-2</v>
      </c>
      <c r="O14" s="1474">
        <f t="shared" si="10"/>
        <v>0.02</v>
      </c>
      <c r="P14" s="1474">
        <f t="shared" si="10"/>
        <v>4.7899999999999998E-2</v>
      </c>
      <c r="Q14" s="1474">
        <f t="shared" si="10"/>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11"/>
        <v>360.06949782209392</v>
      </c>
      <c r="C15" s="1478">
        <f t="shared" si="11"/>
        <v>289.84672674747821</v>
      </c>
      <c r="D15" s="1478">
        <f t="shared" si="12"/>
        <v>289.84672674747821</v>
      </c>
      <c r="E15" s="1478">
        <f t="shared" si="13"/>
        <v>501.06543001181495</v>
      </c>
      <c r="F15" s="1478">
        <f t="shared" si="13"/>
        <v>256.82882500744967</v>
      </c>
      <c r="G15" s="3308"/>
      <c r="H15" s="1466">
        <v>2</v>
      </c>
      <c r="I15" s="1466">
        <v>3.85</v>
      </c>
      <c r="J15" s="1466">
        <v>1.95</v>
      </c>
      <c r="K15" s="1466">
        <v>4.4800000000000004</v>
      </c>
      <c r="L15" s="1480">
        <v>1.41</v>
      </c>
      <c r="N15" s="1473">
        <f t="shared" si="14"/>
        <v>3.85E-2</v>
      </c>
      <c r="O15" s="1474">
        <f t="shared" si="10"/>
        <v>1.95E-2</v>
      </c>
      <c r="P15" s="1474">
        <f t="shared" si="10"/>
        <v>4.4800000000000006E-2</v>
      </c>
      <c r="Q15" s="1474">
        <f t="shared" si="10"/>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11"/>
        <v>346.720748986128</v>
      </c>
      <c r="C16" s="1478">
        <f t="shared" si="11"/>
        <v>284.30282172386285</v>
      </c>
      <c r="D16" s="1478">
        <f t="shared" si="12"/>
        <v>284.30282172386285</v>
      </c>
      <c r="E16" s="1478">
        <f t="shared" si="13"/>
        <v>479.58023546306947</v>
      </c>
      <c r="F16" s="1478">
        <f t="shared" si="13"/>
        <v>253.25788877571213</v>
      </c>
      <c r="G16" s="3309"/>
      <c r="H16" s="1465">
        <v>1</v>
      </c>
      <c r="I16" s="1465">
        <v>4.09</v>
      </c>
      <c r="J16" s="1465">
        <v>2.93</v>
      </c>
      <c r="K16" s="1465">
        <v>4.54</v>
      </c>
      <c r="L16" s="1479">
        <v>1.48</v>
      </c>
      <c r="N16" s="1473">
        <f t="shared" si="14"/>
        <v>4.0899999999999999E-2</v>
      </c>
      <c r="O16" s="1474">
        <f t="shared" si="10"/>
        <v>2.9300000000000003E-2</v>
      </c>
      <c r="P16" s="1474">
        <f t="shared" si="10"/>
        <v>4.5400000000000003E-2</v>
      </c>
      <c r="Q16" s="1474">
        <f t="shared" si="10"/>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12"/>
        <v>277</v>
      </c>
      <c r="E17" s="1470">
        <v>459</v>
      </c>
      <c r="F17" s="1471">
        <v>249</v>
      </c>
      <c r="G17" s="3307">
        <v>2015</v>
      </c>
      <c r="H17" s="1483">
        <v>4</v>
      </c>
      <c r="I17" s="1483">
        <v>1.63</v>
      </c>
      <c r="J17" s="1483">
        <v>1.1100000000000001</v>
      </c>
      <c r="K17" s="1483">
        <v>1.77</v>
      </c>
      <c r="L17" s="1484">
        <v>1.89</v>
      </c>
      <c r="N17" s="1485">
        <f t="shared" si="14"/>
        <v>1.6299999999999999E-2</v>
      </c>
      <c r="O17" s="1486">
        <f t="shared" si="10"/>
        <v>1.11E-2</v>
      </c>
      <c r="P17" s="1486">
        <f t="shared" si="10"/>
        <v>1.77E-2</v>
      </c>
      <c r="Q17" s="1486">
        <f t="shared" si="10"/>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15">B17/(1+N17)</f>
        <v>327.65915576109415</v>
      </c>
      <c r="C18" s="1478">
        <f t="shared" si="15"/>
        <v>273.95905449510434</v>
      </c>
      <c r="D18" s="1478">
        <f t="shared" si="12"/>
        <v>273.95905449510434</v>
      </c>
      <c r="E18" s="1478">
        <f t="shared" ref="E18:F20" si="16">E17/(1+P17)</f>
        <v>451.01699911565294</v>
      </c>
      <c r="F18" s="1478">
        <f t="shared" si="16"/>
        <v>244.38119540681129</v>
      </c>
      <c r="G18" s="3308"/>
      <c r="H18" s="1488">
        <v>3</v>
      </c>
      <c r="I18" s="1488">
        <v>1.65</v>
      </c>
      <c r="J18" s="1488">
        <v>0.92</v>
      </c>
      <c r="K18" s="1488">
        <v>1.88</v>
      </c>
      <c r="L18" s="1489">
        <v>1.26</v>
      </c>
      <c r="N18" s="1473">
        <f t="shared" si="14"/>
        <v>1.6500000000000001E-2</v>
      </c>
      <c r="O18" s="1490">
        <f t="shared" si="10"/>
        <v>9.1999999999999998E-3</v>
      </c>
      <c r="P18" s="1490">
        <f t="shared" si="10"/>
        <v>1.8799999999999997E-2</v>
      </c>
      <c r="Q18" s="1490">
        <f t="shared" si="10"/>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15"/>
        <v>322.34053690220776</v>
      </c>
      <c r="C19" s="1478">
        <f t="shared" si="15"/>
        <v>271.46160770422546</v>
      </c>
      <c r="D19" s="1478">
        <f t="shared" si="12"/>
        <v>271.46160770422546</v>
      </c>
      <c r="E19" s="1478">
        <f t="shared" si="16"/>
        <v>442.69434542172456</v>
      </c>
      <c r="F19" s="1478">
        <f t="shared" si="16"/>
        <v>241.34030753190925</v>
      </c>
      <c r="G19" s="3308"/>
      <c r="H19" s="1466">
        <v>2</v>
      </c>
      <c r="I19" s="1466">
        <v>0.77</v>
      </c>
      <c r="J19" s="1466">
        <v>0.69</v>
      </c>
      <c r="K19" s="1466">
        <v>0.8</v>
      </c>
      <c r="L19" s="1480">
        <v>0.88</v>
      </c>
      <c r="N19" s="1473">
        <f t="shared" si="14"/>
        <v>7.7000000000000002E-3</v>
      </c>
      <c r="O19" s="1490">
        <f t="shared" si="10"/>
        <v>6.8999999999999999E-3</v>
      </c>
      <c r="P19" s="1490">
        <f t="shared" si="10"/>
        <v>8.0000000000000002E-3</v>
      </c>
      <c r="Q19" s="1490">
        <f t="shared" si="10"/>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15"/>
        <v>319.87748030386797</v>
      </c>
      <c r="C20" s="1478">
        <f t="shared" si="15"/>
        <v>269.60135833173649</v>
      </c>
      <c r="D20" s="1478">
        <f t="shared" si="12"/>
        <v>269.60135833173649</v>
      </c>
      <c r="E20" s="1478">
        <f t="shared" si="16"/>
        <v>439.18089823583784</v>
      </c>
      <c r="F20" s="1478">
        <f t="shared" si="16"/>
        <v>239.23503918706311</v>
      </c>
      <c r="G20" s="3309"/>
      <c r="H20" s="1465">
        <v>1</v>
      </c>
      <c r="I20" s="1465">
        <v>0.51</v>
      </c>
      <c r="J20" s="1465">
        <v>0.54</v>
      </c>
      <c r="K20" s="1465">
        <v>0.48</v>
      </c>
      <c r="L20" s="1479">
        <v>0.93</v>
      </c>
      <c r="N20" s="1481">
        <f t="shared" si="14"/>
        <v>5.1000000000000004E-3</v>
      </c>
      <c r="O20" s="1482">
        <f t="shared" si="10"/>
        <v>5.4000000000000003E-3</v>
      </c>
      <c r="P20" s="1482">
        <f t="shared" si="10"/>
        <v>4.7999999999999996E-3</v>
      </c>
      <c r="Q20" s="1482">
        <f t="shared" si="10"/>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12"/>
        <v>268</v>
      </c>
      <c r="E21" s="1491">
        <v>437</v>
      </c>
      <c r="F21" s="1492">
        <v>237</v>
      </c>
      <c r="G21" s="3307">
        <v>2014</v>
      </c>
      <c r="H21" s="1483">
        <v>4</v>
      </c>
      <c r="I21" s="1483">
        <v>0.21</v>
      </c>
      <c r="J21" s="1483">
        <v>0.41</v>
      </c>
      <c r="K21" s="1483">
        <v>0.12</v>
      </c>
      <c r="L21" s="1484">
        <v>0.89</v>
      </c>
      <c r="N21" s="1473">
        <f t="shared" si="14"/>
        <v>2.0999999999999999E-3</v>
      </c>
      <c r="O21" s="1474">
        <f t="shared" si="10"/>
        <v>4.0999999999999995E-3</v>
      </c>
      <c r="P21" s="1474">
        <f t="shared" si="10"/>
        <v>1.1999999999999999E-3</v>
      </c>
      <c r="Q21" s="1474">
        <f t="shared" si="10"/>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17">B21/(1+N21)</f>
        <v>317.33359944117353</v>
      </c>
      <c r="C22" s="1478">
        <f t="shared" si="17"/>
        <v>266.90568668459315</v>
      </c>
      <c r="D22" s="1478">
        <f t="shared" si="12"/>
        <v>266.90568668459315</v>
      </c>
      <c r="E22" s="1478">
        <f t="shared" ref="E22:F24" si="18">E21/(1+P21)</f>
        <v>436.47622852576905</v>
      </c>
      <c r="F22" s="1478">
        <f t="shared" si="18"/>
        <v>234.90930716622066</v>
      </c>
      <c r="G22" s="3308"/>
      <c r="H22" s="1493">
        <v>3</v>
      </c>
      <c r="I22" s="1493">
        <v>0.83</v>
      </c>
      <c r="J22" s="1493">
        <v>1.47</v>
      </c>
      <c r="K22" s="1493">
        <v>0.65</v>
      </c>
      <c r="L22" s="1494">
        <v>0.72</v>
      </c>
      <c r="N22" s="1473">
        <f t="shared" si="14"/>
        <v>8.3000000000000001E-3</v>
      </c>
      <c r="O22" s="1474">
        <f t="shared" si="10"/>
        <v>1.47E-2</v>
      </c>
      <c r="P22" s="1474">
        <f t="shared" si="10"/>
        <v>6.5000000000000006E-3</v>
      </c>
      <c r="Q22" s="1474">
        <f t="shared" si="10"/>
        <v>7.1999999999999998E-3</v>
      </c>
      <c r="R22" s="1475"/>
      <c r="S22" s="1473"/>
      <c r="T22" s="1474"/>
      <c r="U22" s="1474"/>
      <c r="V22" s="1474"/>
      <c r="X22" s="1460">
        <f>ROUND(SUMPRODUCT(PRODUCT(1+N22:N$23)),4)</f>
        <v>1.0325</v>
      </c>
      <c r="Y22" s="1460">
        <f>ROUND(SUMPRODUCT(PRODUCT(1+O22:O$23)),4)</f>
        <v>1.0353000000000001</v>
      </c>
      <c r="Z22" s="1460">
        <f>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17"/>
        <v>314.72141172386546</v>
      </c>
      <c r="C23" s="1478">
        <f t="shared" si="17"/>
        <v>263.03901319069001</v>
      </c>
      <c r="D23" s="1478">
        <f t="shared" si="12"/>
        <v>263.03901319069001</v>
      </c>
      <c r="E23" s="1478">
        <f t="shared" si="18"/>
        <v>433.65745506782821</v>
      </c>
      <c r="F23" s="1478">
        <f t="shared" si="18"/>
        <v>233.23005080045735</v>
      </c>
      <c r="G23" s="3308"/>
      <c r="H23" s="1483">
        <v>2</v>
      </c>
      <c r="I23" s="1483">
        <v>2.4</v>
      </c>
      <c r="J23" s="1483">
        <v>2.0299999999999998</v>
      </c>
      <c r="K23" s="1483">
        <v>2.59</v>
      </c>
      <c r="L23" s="1484">
        <v>1.52</v>
      </c>
      <c r="N23" s="1473">
        <f t="shared" si="14"/>
        <v>2.4E-2</v>
      </c>
      <c r="O23" s="1474">
        <f t="shared" si="10"/>
        <v>2.0299999999999999E-2</v>
      </c>
      <c r="P23" s="1474">
        <f t="shared" si="10"/>
        <v>2.5899999999999999E-2</v>
      </c>
      <c r="Q23" s="1474">
        <f t="shared" si="10"/>
        <v>1.52E-2</v>
      </c>
      <c r="R23" s="1475"/>
      <c r="S23" s="1473"/>
      <c r="T23" s="1474"/>
      <c r="U23" s="1474"/>
      <c r="V23" s="1474"/>
      <c r="X23" s="1460">
        <f>1+N23</f>
        <v>1.024</v>
      </c>
      <c r="Y23" s="1460">
        <f>1+O23</f>
        <v>1.0203</v>
      </c>
      <c r="Z23" s="1460">
        <f>Y23</f>
        <v>1.0203</v>
      </c>
      <c r="AA23" s="1460">
        <f>1+P23</f>
        <v>1.0259</v>
      </c>
      <c r="AB23" s="1460">
        <f>1+Q23</f>
        <v>1.0152000000000001</v>
      </c>
      <c r="AD23" s="1461">
        <f>ROUND(AVERAGE(I23:I$24)/100,4)</f>
        <v>2.69E-2</v>
      </c>
      <c r="AE23" s="1461">
        <f>ROUND(AVERAGE(J23:J$24)/100,4)</f>
        <v>2.1899999999999999E-2</v>
      </c>
      <c r="AF23" s="1461">
        <f>AE23</f>
        <v>2.1899999999999999E-2</v>
      </c>
      <c r="AG23" s="1461">
        <f>ROUND(AVERAGE(K23:K$24)/100,4)</f>
        <v>2.9399999999999999E-2</v>
      </c>
      <c r="AH23" s="1461">
        <f>ROUND(AVERAGE(L23:L$24)/100,4)</f>
        <v>1.44E-2</v>
      </c>
    </row>
    <row r="24" spans="1:34" s="1499" customFormat="1" ht="13.5" thickBot="1">
      <c r="A24" s="1495" t="s">
        <v>144</v>
      </c>
      <c r="B24" s="1496">
        <f t="shared" si="17"/>
        <v>307.34512863658733</v>
      </c>
      <c r="C24" s="1496">
        <f t="shared" si="17"/>
        <v>257.80556031626975</v>
      </c>
      <c r="D24" s="1496">
        <f t="shared" si="12"/>
        <v>257.80556031626975</v>
      </c>
      <c r="E24" s="1496">
        <f t="shared" si="18"/>
        <v>422.70928459677179</v>
      </c>
      <c r="F24" s="1496">
        <f t="shared" si="18"/>
        <v>229.73803270336617</v>
      </c>
      <c r="G24" s="3309"/>
      <c r="H24" s="1497">
        <v>1</v>
      </c>
      <c r="I24" s="1497">
        <v>2.97</v>
      </c>
      <c r="J24" s="1497">
        <v>2.34</v>
      </c>
      <c r="K24" s="1497">
        <v>3.28</v>
      </c>
      <c r="L24" s="1498">
        <v>1.36</v>
      </c>
      <c r="N24" s="1500">
        <f t="shared" si="14"/>
        <v>2.9700000000000001E-2</v>
      </c>
      <c r="O24" s="1501">
        <f t="shared" si="10"/>
        <v>2.3399999999999997E-2</v>
      </c>
      <c r="P24" s="1501">
        <f t="shared" si="10"/>
        <v>3.2799999999999996E-2</v>
      </c>
      <c r="Q24" s="1501">
        <f t="shared" si="10"/>
        <v>1.3600000000000001E-2</v>
      </c>
      <c r="R24" s="1502"/>
      <c r="S24" s="1503">
        <f>B24/B25-1</f>
        <v>2.7910129219355539E-2</v>
      </c>
      <c r="T24" s="1504">
        <f>C24/C25-1</f>
        <v>2.3037937762975247E-2</v>
      </c>
      <c r="U24" s="1504">
        <f>E24/E25-1</f>
        <v>3.3519033243940788E-2</v>
      </c>
      <c r="V24" s="1504">
        <f>F24/F25-1</f>
        <v>1.2061818076502862E-2</v>
      </c>
      <c r="W24" s="1505" t="s">
        <v>1162</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1163</v>
      </c>
      <c r="B25" s="1470">
        <v>299</v>
      </c>
      <c r="C25" s="1470">
        <v>252</v>
      </c>
      <c r="D25" s="1470">
        <f t="shared" si="12"/>
        <v>252</v>
      </c>
      <c r="E25" s="1470">
        <v>409</v>
      </c>
      <c r="F25" s="1471">
        <v>227</v>
      </c>
      <c r="G25" s="3314">
        <v>2013</v>
      </c>
      <c r="H25" s="1507">
        <v>4</v>
      </c>
      <c r="I25" s="1507">
        <v>1.83</v>
      </c>
      <c r="J25" s="1507">
        <v>1.68</v>
      </c>
      <c r="K25" s="1507">
        <v>1.97</v>
      </c>
      <c r="L25" s="1508">
        <v>0.87</v>
      </c>
      <c r="N25" s="1485">
        <f t="shared" si="14"/>
        <v>1.83E-2</v>
      </c>
      <c r="O25" s="1486">
        <f t="shared" si="10"/>
        <v>1.6799999999999999E-2</v>
      </c>
      <c r="P25" s="1486">
        <f t="shared" si="10"/>
        <v>1.9699999999999999E-2</v>
      </c>
      <c r="Q25" s="1486">
        <f t="shared" si="10"/>
        <v>8.6999999999999994E-3</v>
      </c>
      <c r="R25" s="1475"/>
      <c r="S25" s="1476"/>
      <c r="T25" s="1477"/>
      <c r="U25" s="1477"/>
      <c r="V25" s="1477"/>
      <c r="X25" s="1477"/>
      <c r="Y25" s="1477"/>
      <c r="Z25" s="1477"/>
    </row>
    <row r="26" spans="1:34">
      <c r="A26" s="1462" t="s">
        <v>1164</v>
      </c>
      <c r="B26" s="1478">
        <f t="shared" ref="B26:C28" si="19">B25/(1+N25)</f>
        <v>293.62663262299913</v>
      </c>
      <c r="C26" s="1478">
        <f t="shared" si="19"/>
        <v>247.83634933123525</v>
      </c>
      <c r="D26" s="1478">
        <f t="shared" si="12"/>
        <v>247.83634933123525</v>
      </c>
      <c r="E26" s="1478">
        <f t="shared" ref="E26:F28" si="20">E25/(1+P25)</f>
        <v>401.09836226341076</v>
      </c>
      <c r="F26" s="1478">
        <f t="shared" si="20"/>
        <v>225.04213343908003</v>
      </c>
      <c r="G26" s="3315"/>
      <c r="H26" s="1488">
        <v>3</v>
      </c>
      <c r="I26" s="1488">
        <v>1.86</v>
      </c>
      <c r="J26" s="1488">
        <v>1.72</v>
      </c>
      <c r="K26" s="1488">
        <v>1.98</v>
      </c>
      <c r="L26" s="1489">
        <v>0.88</v>
      </c>
      <c r="N26" s="1473">
        <f t="shared" si="14"/>
        <v>1.8600000000000002E-2</v>
      </c>
      <c r="O26" s="1490">
        <f t="shared" si="10"/>
        <v>1.72E-2</v>
      </c>
      <c r="P26" s="1490">
        <f t="shared" si="10"/>
        <v>1.9799999999999998E-2</v>
      </c>
      <c r="Q26" s="1490">
        <f t="shared" si="10"/>
        <v>8.8000000000000005E-3</v>
      </c>
      <c r="R26" s="1475"/>
      <c r="S26" s="1473"/>
      <c r="T26" s="1474"/>
      <c r="U26" s="1474"/>
      <c r="V26" s="1474"/>
    </row>
    <row r="27" spans="1:34">
      <c r="A27" s="1462" t="s">
        <v>1165</v>
      </c>
      <c r="B27" s="1478">
        <f t="shared" si="19"/>
        <v>288.2649053828776</v>
      </c>
      <c r="C27" s="1478">
        <f t="shared" si="19"/>
        <v>243.64564425013293</v>
      </c>
      <c r="D27" s="1478">
        <f t="shared" si="12"/>
        <v>243.64564425013293</v>
      </c>
      <c r="E27" s="1478">
        <f t="shared" si="20"/>
        <v>393.31080825986544</v>
      </c>
      <c r="F27" s="1478">
        <f t="shared" si="20"/>
        <v>223.07903790551154</v>
      </c>
      <c r="G27" s="3315"/>
      <c r="H27" s="1466">
        <v>2</v>
      </c>
      <c r="I27" s="1466">
        <v>2.04</v>
      </c>
      <c r="J27" s="1466">
        <v>2.33</v>
      </c>
      <c r="K27" s="1466">
        <v>2.0699999999999998</v>
      </c>
      <c r="L27" s="1480">
        <v>0.69</v>
      </c>
      <c r="N27" s="1473">
        <f t="shared" si="14"/>
        <v>2.0400000000000001E-2</v>
      </c>
      <c r="O27" s="1490">
        <f t="shared" si="10"/>
        <v>2.3300000000000001E-2</v>
      </c>
      <c r="P27" s="1490">
        <f t="shared" si="10"/>
        <v>2.07E-2</v>
      </c>
      <c r="Q27" s="1490">
        <f t="shared" si="10"/>
        <v>6.8999999999999999E-3</v>
      </c>
      <c r="R27" s="1475"/>
      <c r="S27" s="1473"/>
      <c r="T27" s="1474"/>
      <c r="U27" s="1474"/>
      <c r="V27" s="1474"/>
      <c r="X27" s="1509"/>
      <c r="Y27" s="1510"/>
    </row>
    <row r="28" spans="1:34">
      <c r="A28" s="1462" t="s">
        <v>1166</v>
      </c>
      <c r="B28" s="1478">
        <f t="shared" si="19"/>
        <v>282.50186729015837</v>
      </c>
      <c r="C28" s="1478">
        <f t="shared" si="19"/>
        <v>238.09796174155468</v>
      </c>
      <c r="D28" s="1478">
        <f t="shared" si="12"/>
        <v>238.09796174155468</v>
      </c>
      <c r="E28" s="1478">
        <f t="shared" si="20"/>
        <v>385.33438646014054</v>
      </c>
      <c r="F28" s="1478">
        <f t="shared" si="20"/>
        <v>221.55034055567739</v>
      </c>
      <c r="G28" s="3316"/>
      <c r="H28" s="1465">
        <v>1</v>
      </c>
      <c r="I28" s="1465">
        <v>1.67</v>
      </c>
      <c r="J28" s="1465">
        <v>1.31</v>
      </c>
      <c r="K28" s="1465">
        <v>1.85</v>
      </c>
      <c r="L28" s="1479">
        <v>0.96</v>
      </c>
      <c r="N28" s="1481">
        <f t="shared" si="14"/>
        <v>1.67E-2</v>
      </c>
      <c r="O28" s="1482">
        <f t="shared" si="14"/>
        <v>1.3100000000000001E-2</v>
      </c>
      <c r="P28" s="1482">
        <f t="shared" si="14"/>
        <v>1.8500000000000003E-2</v>
      </c>
      <c r="Q28" s="1482">
        <f t="shared" si="14"/>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1167</v>
      </c>
      <c r="B29" s="1512">
        <v>278</v>
      </c>
      <c r="C29" s="1512">
        <v>234</v>
      </c>
      <c r="D29" s="1512">
        <f t="shared" si="12"/>
        <v>234</v>
      </c>
      <c r="E29" s="1512">
        <v>379</v>
      </c>
      <c r="F29" s="1513">
        <v>220</v>
      </c>
      <c r="G29" s="3307">
        <v>2012</v>
      </c>
      <c r="H29" s="1483">
        <v>4</v>
      </c>
      <c r="I29" s="1483">
        <v>0.91</v>
      </c>
      <c r="J29" s="1483">
        <v>0.68</v>
      </c>
      <c r="K29" s="1483">
        <v>0.98</v>
      </c>
      <c r="L29" s="1484">
        <v>0.9</v>
      </c>
      <c r="N29" s="1473">
        <f t="shared" si="14"/>
        <v>9.1000000000000004E-3</v>
      </c>
      <c r="O29" s="1474">
        <f t="shared" si="14"/>
        <v>6.8000000000000005E-3</v>
      </c>
      <c r="P29" s="1474">
        <f t="shared" si="14"/>
        <v>9.7999999999999997E-3</v>
      </c>
      <c r="Q29" s="1474">
        <f t="shared" si="14"/>
        <v>9.0000000000000011E-3</v>
      </c>
      <c r="R29" s="1475"/>
      <c r="S29" s="1476"/>
      <c r="T29" s="1477"/>
      <c r="U29" s="1477"/>
      <c r="V29" s="1477"/>
      <c r="X29" s="1477"/>
      <c r="Y29" s="1477"/>
      <c r="Z29" s="1477"/>
    </row>
    <row r="30" spans="1:34">
      <c r="A30" s="1462" t="s">
        <v>1168</v>
      </c>
      <c r="B30" s="1478">
        <f>B29/(1+N29)</f>
        <v>275.49301357645425</v>
      </c>
      <c r="C30" s="1478">
        <f>C29/(1+O29)</f>
        <v>232.41954707985698</v>
      </c>
      <c r="D30" s="1478">
        <f t="shared" si="12"/>
        <v>232.41954707985698</v>
      </c>
      <c r="E30" s="1478">
        <f t="shared" ref="E30:F32" si="21">E29/(1+P29)</f>
        <v>375.32184591008121</v>
      </c>
      <c r="F30" s="1478">
        <f t="shared" si="21"/>
        <v>218.03766105054513</v>
      </c>
      <c r="G30" s="3308"/>
      <c r="H30" s="1488">
        <v>3</v>
      </c>
      <c r="I30" s="1488">
        <v>0.09</v>
      </c>
      <c r="J30" s="1488">
        <v>0.28999999999999998</v>
      </c>
      <c r="K30" s="1488">
        <v>-0.01</v>
      </c>
      <c r="L30" s="1489">
        <v>0.57999999999999996</v>
      </c>
      <c r="N30" s="1473">
        <f t="shared" si="14"/>
        <v>8.9999999999999998E-4</v>
      </c>
      <c r="O30" s="1474">
        <f t="shared" si="14"/>
        <v>2.8999999999999998E-3</v>
      </c>
      <c r="P30" s="1474">
        <f t="shared" si="14"/>
        <v>-1E-4</v>
      </c>
      <c r="Q30" s="1474">
        <f t="shared" si="14"/>
        <v>5.7999999999999996E-3</v>
      </c>
      <c r="R30" s="1475"/>
      <c r="S30" s="1473"/>
      <c r="T30" s="1474"/>
      <c r="U30" s="1474"/>
      <c r="V30" s="1474"/>
    </row>
    <row r="31" spans="1:34">
      <c r="A31" s="1462" t="s">
        <v>1169</v>
      </c>
      <c r="B31" s="1478">
        <f>B30/(1+N30)</f>
        <v>275.24529281292263</v>
      </c>
      <c r="C31" s="1478">
        <f>C30/(1+O30)</f>
        <v>231.74747938962707</v>
      </c>
      <c r="D31" s="1478">
        <f t="shared" si="12"/>
        <v>231.74747938962707</v>
      </c>
      <c r="E31" s="1478">
        <f t="shared" si="21"/>
        <v>375.35938184826603</v>
      </c>
      <c r="F31" s="1478">
        <f t="shared" si="21"/>
        <v>216.78033510692495</v>
      </c>
      <c r="G31" s="3308"/>
      <c r="H31" s="1466">
        <v>2</v>
      </c>
      <c r="I31" s="1466">
        <v>0.02</v>
      </c>
      <c r="J31" s="1466">
        <v>0.12</v>
      </c>
      <c r="K31" s="1466">
        <v>-0.08</v>
      </c>
      <c r="L31" s="1480">
        <v>1.24</v>
      </c>
      <c r="N31" s="1473">
        <f t="shared" si="14"/>
        <v>2.0000000000000001E-4</v>
      </c>
      <c r="O31" s="1474">
        <f t="shared" si="14"/>
        <v>1.1999999999999999E-3</v>
      </c>
      <c r="P31" s="1474">
        <f t="shared" si="14"/>
        <v>-8.0000000000000004E-4</v>
      </c>
      <c r="Q31" s="1474">
        <f t="shared" si="14"/>
        <v>1.24E-2</v>
      </c>
      <c r="R31" s="1475"/>
      <c r="S31" s="1473"/>
      <c r="T31" s="1474"/>
      <c r="U31" s="1474"/>
      <c r="V31" s="1474"/>
    </row>
    <row r="32" spans="1:34" ht="13.5" thickBot="1">
      <c r="A32" s="1462" t="s">
        <v>1170</v>
      </c>
      <c r="B32" s="1478">
        <f>B31/(1+N31)</f>
        <v>275.19025476197027</v>
      </c>
      <c r="C32" s="1514">
        <v>232</v>
      </c>
      <c r="D32" s="1514">
        <f t="shared" si="12"/>
        <v>232</v>
      </c>
      <c r="E32" s="1478">
        <f t="shared" si="21"/>
        <v>375.65990977608692</v>
      </c>
      <c r="F32" s="1478">
        <f t="shared" si="21"/>
        <v>214.12518283971252</v>
      </c>
      <c r="G32" s="3309"/>
      <c r="H32" s="1465">
        <v>1</v>
      </c>
      <c r="I32" s="1465">
        <v>0.02</v>
      </c>
      <c r="J32" s="1465">
        <v>0.13</v>
      </c>
      <c r="K32" s="1465">
        <v>-0.04</v>
      </c>
      <c r="L32" s="1479">
        <v>0.46</v>
      </c>
      <c r="N32" s="1473">
        <f t="shared" si="14"/>
        <v>2.0000000000000001E-4</v>
      </c>
      <c r="O32" s="1474">
        <f t="shared" si="14"/>
        <v>1.2999999999999999E-3</v>
      </c>
      <c r="P32" s="1474">
        <f t="shared" si="14"/>
        <v>-4.0000000000000002E-4</v>
      </c>
      <c r="Q32" s="1474">
        <f t="shared" si="14"/>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1171</v>
      </c>
      <c r="B33" s="1470">
        <v>275</v>
      </c>
      <c r="C33" s="1470">
        <v>232</v>
      </c>
      <c r="D33" s="1470">
        <f t="shared" si="12"/>
        <v>232</v>
      </c>
      <c r="E33" s="1470">
        <v>376</v>
      </c>
      <c r="F33" s="1471">
        <v>213</v>
      </c>
      <c r="G33" s="3307">
        <v>2011</v>
      </c>
      <c r="H33" s="1483">
        <v>4</v>
      </c>
      <c r="I33" s="1483">
        <v>-0.2</v>
      </c>
      <c r="J33" s="1483">
        <v>0.04</v>
      </c>
      <c r="K33" s="1483">
        <v>-0.34</v>
      </c>
      <c r="L33" s="1484">
        <v>0.46</v>
      </c>
      <c r="N33" s="1485">
        <f t="shared" si="14"/>
        <v>-2E-3</v>
      </c>
      <c r="O33" s="1486">
        <f t="shared" si="14"/>
        <v>4.0000000000000002E-4</v>
      </c>
      <c r="P33" s="1486">
        <f t="shared" si="14"/>
        <v>-3.4000000000000002E-3</v>
      </c>
      <c r="Q33" s="1486">
        <f t="shared" si="14"/>
        <v>4.5999999999999999E-3</v>
      </c>
      <c r="R33" s="1475"/>
      <c r="S33" s="1476"/>
      <c r="T33" s="1477"/>
      <c r="U33" s="1477"/>
      <c r="V33" s="1477"/>
      <c r="X33" s="1477"/>
      <c r="Y33" s="1477"/>
      <c r="Z33" s="1477"/>
    </row>
    <row r="34" spans="1:26">
      <c r="A34" s="1462" t="s">
        <v>1172</v>
      </c>
      <c r="B34" s="1478">
        <f t="shared" ref="B34:C36" si="22">B33/(1+N33)</f>
        <v>275.55110220440883</v>
      </c>
      <c r="C34" s="1478">
        <f t="shared" si="22"/>
        <v>231.90723710515795</v>
      </c>
      <c r="D34" s="1478">
        <f t="shared" si="12"/>
        <v>231.90723710515795</v>
      </c>
      <c r="E34" s="1478">
        <f t="shared" ref="E34:F36" si="23">E33/(1+P33)</f>
        <v>377.28276138872161</v>
      </c>
      <c r="F34" s="1478">
        <f t="shared" si="23"/>
        <v>212.02468644236512</v>
      </c>
      <c r="G34" s="3308">
        <v>2011</v>
      </c>
      <c r="H34" s="1488">
        <v>3</v>
      </c>
      <c r="I34" s="1488">
        <v>0.13</v>
      </c>
      <c r="J34" s="1488">
        <v>0.75</v>
      </c>
      <c r="K34" s="1488">
        <v>-0.08</v>
      </c>
      <c r="L34" s="1489">
        <v>0.53</v>
      </c>
      <c r="N34" s="1473">
        <f t="shared" si="14"/>
        <v>1.2999999999999999E-3</v>
      </c>
      <c r="O34" s="1490">
        <f t="shared" si="14"/>
        <v>7.4999999999999997E-3</v>
      </c>
      <c r="P34" s="1490">
        <f t="shared" si="14"/>
        <v>-8.0000000000000004E-4</v>
      </c>
      <c r="Q34" s="1490">
        <f t="shared" si="14"/>
        <v>5.3E-3</v>
      </c>
      <c r="R34" s="1475"/>
      <c r="S34" s="1473"/>
      <c r="T34" s="1474"/>
      <c r="U34" s="1474"/>
      <c r="V34" s="1474"/>
    </row>
    <row r="35" spans="1:26">
      <c r="A35" s="1462" t="s">
        <v>1173</v>
      </c>
      <c r="B35" s="1478">
        <f t="shared" si="22"/>
        <v>275.19335084830601</v>
      </c>
      <c r="C35" s="1478">
        <f t="shared" si="22"/>
        <v>230.18088050139744</v>
      </c>
      <c r="D35" s="1478">
        <f t="shared" si="12"/>
        <v>230.18088050139744</v>
      </c>
      <c r="E35" s="1478">
        <f t="shared" si="23"/>
        <v>377.58482925212331</v>
      </c>
      <c r="F35" s="1478">
        <f t="shared" si="23"/>
        <v>210.90687997847917</v>
      </c>
      <c r="G35" s="3308">
        <v>2011</v>
      </c>
      <c r="H35" s="1466">
        <v>2</v>
      </c>
      <c r="I35" s="1466">
        <v>-0.4</v>
      </c>
      <c r="J35" s="1466">
        <v>0.17</v>
      </c>
      <c r="K35" s="1466">
        <v>-0.57999999999999996</v>
      </c>
      <c r="L35" s="1480">
        <v>-0.2</v>
      </c>
      <c r="N35" s="1473">
        <f t="shared" si="14"/>
        <v>-4.0000000000000001E-3</v>
      </c>
      <c r="O35" s="1490">
        <f t="shared" si="14"/>
        <v>1.7000000000000001E-3</v>
      </c>
      <c r="P35" s="1490">
        <f t="shared" si="14"/>
        <v>-5.7999999999999996E-3</v>
      </c>
      <c r="Q35" s="1490">
        <f t="shared" si="14"/>
        <v>-2E-3</v>
      </c>
      <c r="R35" s="1475"/>
      <c r="S35" s="1473"/>
      <c r="T35" s="1474"/>
      <c r="U35" s="1474"/>
      <c r="V35" s="1474"/>
    </row>
    <row r="36" spans="1:26" ht="13.5" thickBot="1">
      <c r="A36" s="1462" t="s">
        <v>1174</v>
      </c>
      <c r="B36" s="1478">
        <f t="shared" si="22"/>
        <v>276.29854502841971</v>
      </c>
      <c r="C36" s="1478">
        <f t="shared" si="22"/>
        <v>229.79023709833027</v>
      </c>
      <c r="D36" s="1478">
        <f t="shared" si="12"/>
        <v>229.79023709833027</v>
      </c>
      <c r="E36" s="1478">
        <f t="shared" si="23"/>
        <v>379.78759731655936</v>
      </c>
      <c r="F36" s="1478">
        <f t="shared" si="23"/>
        <v>211.32953905659235</v>
      </c>
      <c r="G36" s="3309">
        <v>2011</v>
      </c>
      <c r="H36" s="1465">
        <v>1</v>
      </c>
      <c r="I36" s="1465">
        <v>2.65</v>
      </c>
      <c r="J36" s="1465">
        <v>3.76</v>
      </c>
      <c r="K36" s="1465">
        <v>1.89</v>
      </c>
      <c r="L36" s="1479">
        <v>7.95</v>
      </c>
      <c r="N36" s="1481">
        <f t="shared" si="14"/>
        <v>2.6499999999999999E-2</v>
      </c>
      <c r="O36" s="1482">
        <f t="shared" si="14"/>
        <v>3.7599999999999995E-2</v>
      </c>
      <c r="P36" s="1482">
        <f t="shared" si="14"/>
        <v>1.89E-2</v>
      </c>
      <c r="Q36" s="1482">
        <f t="shared" si="14"/>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1175</v>
      </c>
      <c r="B37" s="1470">
        <v>269</v>
      </c>
      <c r="C37" s="1470">
        <v>221</v>
      </c>
      <c r="D37" s="1470">
        <f t="shared" si="12"/>
        <v>221</v>
      </c>
      <c r="E37" s="1470">
        <v>373</v>
      </c>
      <c r="F37" s="1471">
        <v>196</v>
      </c>
      <c r="G37" s="3307">
        <v>2010</v>
      </c>
      <c r="H37" s="1483">
        <v>4</v>
      </c>
      <c r="I37" s="1483">
        <v>5.72</v>
      </c>
      <c r="J37" s="1483">
        <v>6.57</v>
      </c>
      <c r="K37" s="1483">
        <v>5.72</v>
      </c>
      <c r="L37" s="1484">
        <v>2.72</v>
      </c>
      <c r="N37" s="1473">
        <f t="shared" si="14"/>
        <v>5.7200000000000001E-2</v>
      </c>
      <c r="O37" s="1474">
        <f t="shared" si="14"/>
        <v>6.5700000000000008E-2</v>
      </c>
      <c r="P37" s="1474">
        <f t="shared" si="14"/>
        <v>5.7200000000000001E-2</v>
      </c>
      <c r="Q37" s="1474">
        <f t="shared" si="14"/>
        <v>2.7200000000000002E-2</v>
      </c>
      <c r="R37" s="1475"/>
      <c r="S37" s="1476"/>
      <c r="T37" s="1477"/>
      <c r="U37" s="1477"/>
      <c r="V37" s="1477"/>
      <c r="X37" s="1477"/>
      <c r="Y37" s="1477"/>
      <c r="Z37" s="1477"/>
    </row>
    <row r="38" spans="1:26">
      <c r="A38" s="1462" t="s">
        <v>1176</v>
      </c>
      <c r="B38" s="1478">
        <f t="shared" ref="B38:C40" si="24">B37/(1+N37)</f>
        <v>254.44570563753314</v>
      </c>
      <c r="C38" s="1478">
        <f t="shared" si="24"/>
        <v>207.37543398705074</v>
      </c>
      <c r="D38" s="1478">
        <f t="shared" si="12"/>
        <v>207.37543398705074</v>
      </c>
      <c r="E38" s="1478">
        <f t="shared" ref="E38:F40" si="25">E37/(1+P37)</f>
        <v>352.81876655315932</v>
      </c>
      <c r="F38" s="1478">
        <f t="shared" si="25"/>
        <v>190.809968847352</v>
      </c>
      <c r="G38" s="3308">
        <v>2010</v>
      </c>
      <c r="H38" s="1488">
        <v>3</v>
      </c>
      <c r="I38" s="1488">
        <v>4.7300000000000004</v>
      </c>
      <c r="J38" s="1488">
        <v>3.9</v>
      </c>
      <c r="K38" s="1488">
        <v>5.03</v>
      </c>
      <c r="L38" s="1489">
        <v>4.21</v>
      </c>
      <c r="N38" s="1473">
        <f t="shared" si="14"/>
        <v>4.7300000000000002E-2</v>
      </c>
      <c r="O38" s="1474">
        <f t="shared" si="14"/>
        <v>3.9E-2</v>
      </c>
      <c r="P38" s="1474">
        <f t="shared" si="14"/>
        <v>5.0300000000000004E-2</v>
      </c>
      <c r="Q38" s="1474">
        <f t="shared" si="14"/>
        <v>4.2099999999999999E-2</v>
      </c>
      <c r="R38" s="1475"/>
      <c r="S38" s="1473"/>
      <c r="T38" s="1474"/>
      <c r="U38" s="1474"/>
      <c r="V38" s="1474"/>
    </row>
    <row r="39" spans="1:26">
      <c r="A39" s="1462" t="s">
        <v>1177</v>
      </c>
      <c r="B39" s="1478">
        <f t="shared" si="24"/>
        <v>242.95398227588385</v>
      </c>
      <c r="C39" s="1478">
        <f t="shared" si="24"/>
        <v>199.59137053614126</v>
      </c>
      <c r="D39" s="1478">
        <f t="shared" si="12"/>
        <v>199.59137053614126</v>
      </c>
      <c r="E39" s="1478">
        <f t="shared" si="25"/>
        <v>335.92189522342125</v>
      </c>
      <c r="F39" s="1478">
        <f t="shared" si="25"/>
        <v>183.10139991109489</v>
      </c>
      <c r="G39" s="3308">
        <v>2010</v>
      </c>
      <c r="H39" s="1466">
        <v>2</v>
      </c>
      <c r="I39" s="1466">
        <v>4.6900000000000004</v>
      </c>
      <c r="J39" s="1466">
        <v>3.55</v>
      </c>
      <c r="K39" s="1466">
        <v>5.07</v>
      </c>
      <c r="L39" s="1480">
        <v>4.2300000000000004</v>
      </c>
      <c r="N39" s="1473">
        <f t="shared" si="14"/>
        <v>4.6900000000000004E-2</v>
      </c>
      <c r="O39" s="1474">
        <f t="shared" si="14"/>
        <v>3.5499999999999997E-2</v>
      </c>
      <c r="P39" s="1474">
        <f t="shared" si="14"/>
        <v>5.0700000000000002E-2</v>
      </c>
      <c r="Q39" s="1474">
        <f t="shared" si="14"/>
        <v>4.2300000000000004E-2</v>
      </c>
      <c r="R39" s="1475"/>
      <c r="S39" s="1473"/>
      <c r="T39" s="1474"/>
      <c r="U39" s="1474"/>
      <c r="V39" s="1474"/>
    </row>
    <row r="40" spans="1:26" ht="13.5" thickBot="1">
      <c r="A40" s="1462" t="s">
        <v>1178</v>
      </c>
      <c r="B40" s="1478">
        <f t="shared" si="24"/>
        <v>232.06990378821649</v>
      </c>
      <c r="C40" s="1478">
        <f t="shared" si="24"/>
        <v>192.74878854286936</v>
      </c>
      <c r="D40" s="1478">
        <f t="shared" si="12"/>
        <v>192.74878854286936</v>
      </c>
      <c r="E40" s="1478">
        <f t="shared" si="25"/>
        <v>319.71247284992984</v>
      </c>
      <c r="F40" s="1478">
        <f t="shared" si="25"/>
        <v>175.67053622862409</v>
      </c>
      <c r="G40" s="3309">
        <v>2010</v>
      </c>
      <c r="H40" s="1465">
        <v>1</v>
      </c>
      <c r="I40" s="1465">
        <v>5.4</v>
      </c>
      <c r="J40" s="1465">
        <v>3.2</v>
      </c>
      <c r="K40" s="1465">
        <v>6.16</v>
      </c>
      <c r="L40" s="1479">
        <v>4.51</v>
      </c>
      <c r="N40" s="1473">
        <f t="shared" si="14"/>
        <v>5.4000000000000006E-2</v>
      </c>
      <c r="O40" s="1474">
        <f t="shared" si="14"/>
        <v>3.2000000000000001E-2</v>
      </c>
      <c r="P40" s="1474">
        <f t="shared" si="14"/>
        <v>6.1600000000000002E-2</v>
      </c>
      <c r="Q40" s="1474">
        <f t="shared" si="14"/>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1179</v>
      </c>
      <c r="B41" s="1470">
        <v>220</v>
      </c>
      <c r="C41" s="1470">
        <v>187</v>
      </c>
      <c r="D41" s="1470">
        <f t="shared" si="12"/>
        <v>187</v>
      </c>
      <c r="E41" s="1470">
        <v>301</v>
      </c>
      <c r="F41" s="1471">
        <v>168</v>
      </c>
      <c r="G41" s="3307">
        <v>2009</v>
      </c>
      <c r="H41" s="1483">
        <v>4</v>
      </c>
      <c r="I41" s="1483">
        <v>2.2999999999999998</v>
      </c>
      <c r="J41" s="1483">
        <v>1.04</v>
      </c>
      <c r="K41" s="1483">
        <v>2.84</v>
      </c>
      <c r="L41" s="1484">
        <v>0.67</v>
      </c>
      <c r="N41" s="1485">
        <f t="shared" si="14"/>
        <v>2.3E-2</v>
      </c>
      <c r="O41" s="1486">
        <f t="shared" si="14"/>
        <v>1.04E-2</v>
      </c>
      <c r="P41" s="1486">
        <f t="shared" si="14"/>
        <v>2.8399999999999998E-2</v>
      </c>
      <c r="Q41" s="1486">
        <f t="shared" si="14"/>
        <v>6.7000000000000002E-3</v>
      </c>
      <c r="R41" s="1475"/>
      <c r="S41" s="1476"/>
      <c r="T41" s="1477"/>
      <c r="U41" s="1477"/>
      <c r="V41" s="1477"/>
      <c r="X41" s="1477"/>
      <c r="Y41" s="1477"/>
      <c r="Z41" s="1477"/>
    </row>
    <row r="42" spans="1:26">
      <c r="A42" s="1462" t="s">
        <v>1180</v>
      </c>
      <c r="B42" s="1478">
        <f t="shared" ref="B42:C44" si="26">B41/(1+N41)</f>
        <v>215.05376344086022</v>
      </c>
      <c r="C42" s="1478">
        <f t="shared" si="26"/>
        <v>185.0752177355503</v>
      </c>
      <c r="D42" s="1478">
        <f t="shared" si="12"/>
        <v>185.0752177355503</v>
      </c>
      <c r="E42" s="1478">
        <f t="shared" ref="E42:F44" si="27">E41/(1+P41)</f>
        <v>292.68767016725008</v>
      </c>
      <c r="F42" s="1478">
        <f t="shared" si="27"/>
        <v>166.88189132810174</v>
      </c>
      <c r="G42" s="3308">
        <v>2009</v>
      </c>
      <c r="H42" s="1488">
        <v>3</v>
      </c>
      <c r="I42" s="1488">
        <v>2.1</v>
      </c>
      <c r="J42" s="1488">
        <v>1.86</v>
      </c>
      <c r="K42" s="1488">
        <v>2.29</v>
      </c>
      <c r="L42" s="1489">
        <v>0.85</v>
      </c>
      <c r="N42" s="1473">
        <f t="shared" si="14"/>
        <v>2.1000000000000001E-2</v>
      </c>
      <c r="O42" s="1490">
        <f t="shared" si="14"/>
        <v>1.8600000000000002E-2</v>
      </c>
      <c r="P42" s="1490">
        <f t="shared" si="14"/>
        <v>2.29E-2</v>
      </c>
      <c r="Q42" s="1490">
        <f t="shared" si="14"/>
        <v>8.5000000000000006E-3</v>
      </c>
      <c r="R42" s="1475"/>
      <c r="S42" s="1473"/>
      <c r="T42" s="1474"/>
      <c r="U42" s="1474"/>
      <c r="V42" s="1474"/>
    </row>
    <row r="43" spans="1:26">
      <c r="A43" s="1462" t="s">
        <v>1181</v>
      </c>
      <c r="B43" s="1478">
        <f t="shared" si="26"/>
        <v>210.630522469011</v>
      </c>
      <c r="C43" s="1478">
        <f t="shared" si="26"/>
        <v>181.69567812247232</v>
      </c>
      <c r="D43" s="1478">
        <f t="shared" si="12"/>
        <v>181.69567812247232</v>
      </c>
      <c r="E43" s="1478">
        <f t="shared" si="27"/>
        <v>286.13517466736738</v>
      </c>
      <c r="F43" s="1478">
        <f t="shared" si="27"/>
        <v>165.47535084591149</v>
      </c>
      <c r="G43" s="3308">
        <v>2009</v>
      </c>
      <c r="H43" s="1466">
        <v>2</v>
      </c>
      <c r="I43" s="1466">
        <v>0.86</v>
      </c>
      <c r="J43" s="1466">
        <v>-1.1299999999999999</v>
      </c>
      <c r="K43" s="1466">
        <v>1.79</v>
      </c>
      <c r="L43" s="1480">
        <v>-2.0699999999999998</v>
      </c>
      <c r="N43" s="1473">
        <f t="shared" si="14"/>
        <v>8.6E-3</v>
      </c>
      <c r="O43" s="1490">
        <f t="shared" si="14"/>
        <v>-1.1299999999999999E-2</v>
      </c>
      <c r="P43" s="1490">
        <f t="shared" si="14"/>
        <v>1.7899999999999999E-2</v>
      </c>
      <c r="Q43" s="1490">
        <f t="shared" si="14"/>
        <v>-2.07E-2</v>
      </c>
      <c r="R43" s="1475"/>
      <c r="S43" s="1473"/>
      <c r="T43" s="1474"/>
      <c r="U43" s="1474"/>
      <c r="V43" s="1474"/>
    </row>
    <row r="44" spans="1:26">
      <c r="A44" s="1462" t="s">
        <v>1182</v>
      </c>
      <c r="B44" s="1478">
        <f t="shared" si="26"/>
        <v>208.83454537875372</v>
      </c>
      <c r="C44" s="1478">
        <f t="shared" si="26"/>
        <v>183.77230517090351</v>
      </c>
      <c r="D44" s="1478">
        <f t="shared" si="12"/>
        <v>183.77230517090351</v>
      </c>
      <c r="E44" s="1478">
        <f t="shared" si="27"/>
        <v>281.10342338870947</v>
      </c>
      <c r="F44" s="1478">
        <f t="shared" si="27"/>
        <v>168.97309388942256</v>
      </c>
      <c r="G44" s="3309">
        <v>2009</v>
      </c>
      <c r="H44" s="1465">
        <v>1</v>
      </c>
      <c r="I44" s="1465">
        <v>-2.64</v>
      </c>
      <c r="J44" s="1465">
        <v>-2.5299999999999998</v>
      </c>
      <c r="K44" s="1465">
        <v>-3.02</v>
      </c>
      <c r="L44" s="1479">
        <v>1.52</v>
      </c>
      <c r="N44" s="1481">
        <f t="shared" si="14"/>
        <v>-2.64E-2</v>
      </c>
      <c r="O44" s="1482">
        <f t="shared" si="14"/>
        <v>-2.53E-2</v>
      </c>
      <c r="P44" s="1482">
        <f t="shared" si="14"/>
        <v>-3.0200000000000001E-2</v>
      </c>
      <c r="Q44" s="1482">
        <f t="shared" si="14"/>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1183</v>
      </c>
      <c r="B45" s="1512">
        <v>214</v>
      </c>
      <c r="C45" s="1512">
        <v>188</v>
      </c>
      <c r="D45" s="1512">
        <f t="shared" si="12"/>
        <v>188</v>
      </c>
      <c r="E45" s="1512">
        <v>289</v>
      </c>
      <c r="F45" s="1513">
        <v>166</v>
      </c>
      <c r="G45" s="3307">
        <v>2008</v>
      </c>
      <c r="H45" s="1483">
        <v>4</v>
      </c>
      <c r="I45" s="1483">
        <v>1.73</v>
      </c>
      <c r="J45" s="1483">
        <v>0.03</v>
      </c>
      <c r="K45" s="1483">
        <v>2.59</v>
      </c>
      <c r="L45" s="1484">
        <v>-1.66</v>
      </c>
      <c r="N45" s="1473">
        <f t="shared" si="14"/>
        <v>1.7299999999999999E-2</v>
      </c>
      <c r="O45" s="1474">
        <f t="shared" si="14"/>
        <v>2.9999999999999997E-4</v>
      </c>
      <c r="P45" s="1474">
        <f t="shared" si="14"/>
        <v>2.5899999999999999E-2</v>
      </c>
      <c r="Q45" s="1474">
        <f t="shared" si="14"/>
        <v>-1.66E-2</v>
      </c>
      <c r="R45" s="1475"/>
      <c r="S45" s="1476"/>
      <c r="T45" s="1477"/>
      <c r="U45" s="1477"/>
      <c r="V45" s="1477"/>
      <c r="X45" s="1477"/>
      <c r="Y45" s="1477"/>
      <c r="Z45" s="1477"/>
    </row>
    <row r="46" spans="1:26">
      <c r="A46" s="1462" t="s">
        <v>1184</v>
      </c>
      <c r="B46" s="1478">
        <f t="shared" ref="B46:C48" si="28">B45/(1+N45)</f>
        <v>210.36075887152265</v>
      </c>
      <c r="C46" s="1478">
        <f t="shared" si="28"/>
        <v>187.94361691492554</v>
      </c>
      <c r="D46" s="1478">
        <f t="shared" si="12"/>
        <v>187.94361691492554</v>
      </c>
      <c r="E46" s="1478">
        <f t="shared" ref="E46:F48" si="29">E45/(1+P45)</f>
        <v>281.70386977288234</v>
      </c>
      <c r="F46" s="1478">
        <f t="shared" si="29"/>
        <v>168.80211511083994</v>
      </c>
      <c r="G46" s="3308">
        <v>2008</v>
      </c>
      <c r="H46" s="1488">
        <v>3</v>
      </c>
      <c r="I46" s="1488">
        <v>1.96</v>
      </c>
      <c r="J46" s="1488">
        <v>2.36</v>
      </c>
      <c r="K46" s="1488">
        <v>1.82</v>
      </c>
      <c r="L46" s="1489">
        <v>2.2200000000000002</v>
      </c>
      <c r="N46" s="1473">
        <f t="shared" si="14"/>
        <v>1.9599999999999999E-2</v>
      </c>
      <c r="O46" s="1474">
        <f t="shared" si="14"/>
        <v>2.3599999999999999E-2</v>
      </c>
      <c r="P46" s="1474">
        <f t="shared" si="14"/>
        <v>1.8200000000000001E-2</v>
      </c>
      <c r="Q46" s="1474">
        <f t="shared" si="14"/>
        <v>2.2200000000000001E-2</v>
      </c>
      <c r="R46" s="1475"/>
      <c r="S46" s="1473"/>
      <c r="T46" s="1474"/>
      <c r="U46" s="1474"/>
      <c r="V46" s="1474"/>
    </row>
    <row r="47" spans="1:26">
      <c r="A47" s="1462" t="s">
        <v>1185</v>
      </c>
      <c r="B47" s="1478">
        <f t="shared" si="28"/>
        <v>206.31694671589116</v>
      </c>
      <c r="C47" s="1478">
        <f t="shared" si="28"/>
        <v>183.61041121036101</v>
      </c>
      <c r="D47" s="1478">
        <f t="shared" si="12"/>
        <v>183.61041121036101</v>
      </c>
      <c r="E47" s="1478">
        <f t="shared" si="29"/>
        <v>276.66850301795557</v>
      </c>
      <c r="F47" s="1478">
        <f t="shared" si="29"/>
        <v>165.1360938278614</v>
      </c>
      <c r="G47" s="3308">
        <v>2008</v>
      </c>
      <c r="H47" s="1466">
        <v>2</v>
      </c>
      <c r="I47" s="1466">
        <v>4.93</v>
      </c>
      <c r="J47" s="1466">
        <v>7.38</v>
      </c>
      <c r="K47" s="1466">
        <v>3.98</v>
      </c>
      <c r="L47" s="1480">
        <v>6.86</v>
      </c>
      <c r="N47" s="1473">
        <f t="shared" si="14"/>
        <v>4.9299999999999997E-2</v>
      </c>
      <c r="O47" s="1474">
        <f t="shared" si="14"/>
        <v>7.3800000000000004E-2</v>
      </c>
      <c r="P47" s="1474">
        <f t="shared" si="14"/>
        <v>3.9800000000000002E-2</v>
      </c>
      <c r="Q47" s="1474">
        <f t="shared" si="14"/>
        <v>6.8600000000000008E-2</v>
      </c>
      <c r="R47" s="1475"/>
      <c r="S47" s="1473"/>
      <c r="T47" s="1474"/>
      <c r="U47" s="1474"/>
      <c r="V47" s="1474"/>
    </row>
    <row r="48" spans="1:26" s="1518" customFormat="1" ht="13.5" thickBot="1">
      <c r="A48" s="1462" t="s">
        <v>1186</v>
      </c>
      <c r="B48" s="1515">
        <f t="shared" si="28"/>
        <v>196.62341248059772</v>
      </c>
      <c r="C48" s="1515">
        <f t="shared" si="28"/>
        <v>170.99125648199012</v>
      </c>
      <c r="D48" s="1515">
        <f t="shared" si="12"/>
        <v>170.99125648199012</v>
      </c>
      <c r="E48" s="1515">
        <f t="shared" si="29"/>
        <v>266.07857570490052</v>
      </c>
      <c r="F48" s="1515">
        <f t="shared" si="29"/>
        <v>154.53499328828505</v>
      </c>
      <c r="G48" s="3309">
        <v>2008</v>
      </c>
      <c r="H48" s="1516">
        <v>1</v>
      </c>
      <c r="I48" s="1516">
        <v>4.1399999999999997</v>
      </c>
      <c r="J48" s="1516">
        <v>3.45</v>
      </c>
      <c r="K48" s="1516">
        <v>4.95</v>
      </c>
      <c r="L48" s="1517">
        <v>4.82</v>
      </c>
      <c r="N48" s="1519">
        <f t="shared" si="14"/>
        <v>4.1399999999999999E-2</v>
      </c>
      <c r="O48" s="1520">
        <f t="shared" si="14"/>
        <v>3.4500000000000003E-2</v>
      </c>
      <c r="P48" s="1520">
        <f t="shared" si="14"/>
        <v>4.9500000000000002E-2</v>
      </c>
      <c r="Q48" s="1520">
        <f t="shared" si="14"/>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1187</v>
      </c>
      <c r="B49" s="1470">
        <v>188</v>
      </c>
      <c r="C49" s="1470">
        <v>165</v>
      </c>
      <c r="D49" s="1470">
        <f t="shared" si="12"/>
        <v>165</v>
      </c>
      <c r="E49" s="1470">
        <v>254</v>
      </c>
      <c r="F49" s="1471">
        <v>148</v>
      </c>
      <c r="G49" s="3307">
        <v>2007</v>
      </c>
      <c r="H49" s="1523">
        <v>4</v>
      </c>
      <c r="I49" s="1523">
        <v>5.51</v>
      </c>
      <c r="J49" s="1523">
        <v>4.8899999999999997</v>
      </c>
      <c r="K49" s="1523">
        <v>6.43</v>
      </c>
      <c r="L49" s="1524">
        <v>5.36</v>
      </c>
      <c r="N49" s="1525">
        <f t="shared" ref="N49:O52" si="30">B49/B50-1</f>
        <v>4.1339718365245526E-2</v>
      </c>
      <c r="O49" s="1526">
        <f t="shared" si="30"/>
        <v>4.0324492593776018E-2</v>
      </c>
      <c r="P49" s="1526">
        <f t="shared" ref="P49:Q52" si="31">E49/E50-1</f>
        <v>6.1625555347990968E-2</v>
      </c>
      <c r="Q49" s="1526">
        <f t="shared" si="31"/>
        <v>4.6757569250590603E-2</v>
      </c>
      <c r="R49" s="1475"/>
      <c r="S49" s="1476"/>
      <c r="T49" s="1477"/>
      <c r="U49" s="1477"/>
      <c r="V49" s="1477"/>
      <c r="X49" s="1477"/>
      <c r="Y49" s="1477"/>
      <c r="Z49" s="1477"/>
    </row>
    <row r="50" spans="1:26">
      <c r="A50" s="1462" t="s">
        <v>1188</v>
      </c>
      <c r="B50" s="1478">
        <f t="shared" ref="B50:C52" si="32">B51+(B$49-B$53)*I50/SUM(I$49:I$52)</f>
        <v>180.5366651097618</v>
      </c>
      <c r="C50" s="1478">
        <f t="shared" si="32"/>
        <v>158.60435967302453</v>
      </c>
      <c r="D50" s="1478">
        <f t="shared" si="12"/>
        <v>158.60435967302453</v>
      </c>
      <c r="E50" s="1478">
        <f t="shared" ref="E50:F52" si="33">E51+(E$49-E$53)*K50/SUM(K$49:K$52)</f>
        <v>239.25573260785075</v>
      </c>
      <c r="F50" s="1478">
        <f t="shared" si="33"/>
        <v>141.38899430740037</v>
      </c>
      <c r="G50" s="3308">
        <v>2007</v>
      </c>
      <c r="H50" s="1488">
        <v>3</v>
      </c>
      <c r="I50" s="1488">
        <v>8.65</v>
      </c>
      <c r="J50" s="1488">
        <v>8.06</v>
      </c>
      <c r="K50" s="1488">
        <v>9.94</v>
      </c>
      <c r="L50" s="1489">
        <v>5.8</v>
      </c>
      <c r="N50" s="1525">
        <f t="shared" si="30"/>
        <v>6.940217571740015E-2</v>
      </c>
      <c r="O50" s="1526">
        <f t="shared" si="30"/>
        <v>7.1197482471153428E-2</v>
      </c>
      <c r="P50" s="1526">
        <f t="shared" si="31"/>
        <v>0.10529679922579582</v>
      </c>
      <c r="Q50" s="1526">
        <f t="shared" si="31"/>
        <v>5.3292245059512133E-2</v>
      </c>
      <c r="R50" s="1475"/>
      <c r="S50" s="1473"/>
      <c r="T50" s="1474"/>
      <c r="U50" s="1474"/>
      <c r="V50" s="1474"/>
      <c r="X50" s="1527"/>
      <c r="Y50" s="1527"/>
      <c r="Z50" s="1527"/>
    </row>
    <row r="51" spans="1:26">
      <c r="A51" s="1462" t="s">
        <v>1189</v>
      </c>
      <c r="B51" s="1478">
        <f t="shared" si="32"/>
        <v>168.82017748715555</v>
      </c>
      <c r="C51" s="1478">
        <f t="shared" si="32"/>
        <v>148.06267029972753</v>
      </c>
      <c r="D51" s="1478">
        <f t="shared" si="12"/>
        <v>148.06267029972753</v>
      </c>
      <c r="E51" s="1478">
        <f t="shared" si="33"/>
        <v>216.46288379323747</v>
      </c>
      <c r="F51" s="1478">
        <f t="shared" si="33"/>
        <v>134.23529411764704</v>
      </c>
      <c r="G51" s="3308">
        <v>2007</v>
      </c>
      <c r="H51" s="1466">
        <v>2</v>
      </c>
      <c r="I51" s="1466">
        <v>3.67</v>
      </c>
      <c r="J51" s="1466">
        <v>2.3199999999999998</v>
      </c>
      <c r="K51" s="1466">
        <v>5.0199999999999996</v>
      </c>
      <c r="L51" s="1480">
        <v>6.71</v>
      </c>
      <c r="N51" s="1525">
        <f t="shared" si="30"/>
        <v>3.0339138143848032E-2</v>
      </c>
      <c r="O51" s="1526">
        <f t="shared" si="30"/>
        <v>2.0922341588790472E-2</v>
      </c>
      <c r="P51" s="1526">
        <f t="shared" si="31"/>
        <v>5.6164796592717003E-2</v>
      </c>
      <c r="Q51" s="1526">
        <f t="shared" si="31"/>
        <v>6.5704536723887319E-2</v>
      </c>
      <c r="R51" s="1475"/>
      <c r="S51" s="1473"/>
      <c r="T51" s="1474"/>
      <c r="U51" s="1474"/>
      <c r="V51" s="1474"/>
      <c r="X51" s="1527"/>
      <c r="Y51" s="1527"/>
      <c r="Z51" s="1527"/>
    </row>
    <row r="52" spans="1:26">
      <c r="A52" s="1462" t="s">
        <v>1190</v>
      </c>
      <c r="B52" s="1478">
        <f t="shared" si="32"/>
        <v>163.84913591779542</v>
      </c>
      <c r="C52" s="1478">
        <f t="shared" si="32"/>
        <v>145.0283378746594</v>
      </c>
      <c r="D52" s="1478">
        <f t="shared" si="12"/>
        <v>145.0283378746594</v>
      </c>
      <c r="E52" s="1478">
        <f t="shared" si="33"/>
        <v>204.95180722891567</v>
      </c>
      <c r="F52" s="1478">
        <f t="shared" si="33"/>
        <v>125.95920303605313</v>
      </c>
      <c r="G52" s="3309">
        <v>2007</v>
      </c>
      <c r="H52" s="1465">
        <v>1</v>
      </c>
      <c r="I52" s="1465">
        <v>3.58</v>
      </c>
      <c r="J52" s="1465">
        <v>3.08</v>
      </c>
      <c r="K52" s="1465">
        <v>4.34</v>
      </c>
      <c r="L52" s="1479">
        <v>3.21</v>
      </c>
      <c r="N52" s="1528">
        <f t="shared" si="30"/>
        <v>3.0497710174814063E-2</v>
      </c>
      <c r="O52" s="1529">
        <f t="shared" si="30"/>
        <v>2.8569772160704998E-2</v>
      </c>
      <c r="P52" s="1529">
        <f t="shared" si="31"/>
        <v>5.1034908866234296E-2</v>
      </c>
      <c r="Q52" s="1529">
        <f t="shared" si="31"/>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1191</v>
      </c>
      <c r="B53" s="1491">
        <v>159</v>
      </c>
      <c r="C53" s="1491">
        <v>141</v>
      </c>
      <c r="D53" s="1491">
        <f t="shared" si="12"/>
        <v>141</v>
      </c>
      <c r="E53" s="1491">
        <v>195</v>
      </c>
      <c r="F53" s="1492">
        <v>122</v>
      </c>
      <c r="G53" s="3307">
        <v>2006</v>
      </c>
      <c r="H53" s="1483">
        <v>4</v>
      </c>
      <c r="I53" s="1483">
        <v>3.79</v>
      </c>
      <c r="J53" s="1483">
        <v>2.21</v>
      </c>
      <c r="K53" s="1483">
        <v>5.65</v>
      </c>
      <c r="L53" s="1484">
        <v>5.41</v>
      </c>
      <c r="N53" s="1525">
        <f t="shared" ref="N53:O56" si="34">I53/SUM(I$53:I$56)*(B$53/B$57-1)</f>
        <v>7.245466462748526E-2</v>
      </c>
      <c r="O53" s="1526">
        <f t="shared" si="34"/>
        <v>2.3237230038062766E-2</v>
      </c>
      <c r="P53" s="1526">
        <f t="shared" ref="P53:Q56" si="35">K53/SUM(K$53:K$56)*(E$53/E$57-1)</f>
        <v>0.16146893866323722</v>
      </c>
      <c r="Q53" s="1526">
        <f t="shared" si="35"/>
        <v>5.0755230321793784E-2</v>
      </c>
      <c r="R53" s="1475"/>
      <c r="S53" s="1476"/>
      <c r="T53" s="1477"/>
      <c r="U53" s="1477"/>
      <c r="V53" s="1477"/>
      <c r="X53" s="1527"/>
      <c r="Y53" s="1527"/>
      <c r="Z53" s="1527"/>
    </row>
    <row r="54" spans="1:26">
      <c r="A54" s="1462" t="s">
        <v>1192</v>
      </c>
      <c r="B54" s="1478">
        <f t="shared" ref="B54:C56" si="36">B55+(B$53-B$57)*I54/SUM(I$53:I$56)</f>
        <v>149.00125628140702</v>
      </c>
      <c r="C54" s="1478">
        <f t="shared" si="36"/>
        <v>137.95592286501378</v>
      </c>
      <c r="D54" s="1478">
        <f t="shared" si="12"/>
        <v>137.95592286501378</v>
      </c>
      <c r="E54" s="1478">
        <f t="shared" ref="E54:F56" si="37">E55+(E$53-E$57)*K54/SUM(K$53:K$56)</f>
        <v>169.97231450719823</v>
      </c>
      <c r="F54" s="1478">
        <f t="shared" si="37"/>
        <v>116.21390374331551</v>
      </c>
      <c r="G54" s="3308">
        <v>2006</v>
      </c>
      <c r="H54" s="1488">
        <v>3</v>
      </c>
      <c r="I54" s="1488">
        <v>0.92</v>
      </c>
      <c r="J54" s="1488">
        <v>1.08</v>
      </c>
      <c r="K54" s="1488">
        <v>0.73</v>
      </c>
      <c r="L54" s="1489">
        <v>1.08</v>
      </c>
      <c r="N54" s="1525">
        <f t="shared" si="34"/>
        <v>1.7587939698492462E-2</v>
      </c>
      <c r="O54" s="1526">
        <f t="shared" si="34"/>
        <v>1.1355750425840628E-2</v>
      </c>
      <c r="P54" s="1526">
        <f t="shared" si="35"/>
        <v>2.0862358446754544E-2</v>
      </c>
      <c r="Q54" s="1526">
        <f t="shared" si="35"/>
        <v>1.0132282578103011E-2</v>
      </c>
      <c r="R54" s="1475"/>
      <c r="S54" s="1473"/>
      <c r="T54" s="1474"/>
      <c r="U54" s="1474"/>
      <c r="V54" s="1474"/>
      <c r="X54" s="1527"/>
      <c r="Y54" s="1527"/>
      <c r="Z54" s="1527"/>
    </row>
    <row r="55" spans="1:26">
      <c r="A55" s="1462" t="s">
        <v>1193</v>
      </c>
      <c r="B55" s="1478">
        <f t="shared" si="36"/>
        <v>146.57412060301507</v>
      </c>
      <c r="C55" s="1478">
        <f t="shared" si="36"/>
        <v>136.46831955922866</v>
      </c>
      <c r="D55" s="1478">
        <f t="shared" si="12"/>
        <v>136.46831955922866</v>
      </c>
      <c r="E55" s="1478">
        <f t="shared" si="37"/>
        <v>166.73864894795128</v>
      </c>
      <c r="F55" s="1478">
        <f t="shared" si="37"/>
        <v>115.05882352941177</v>
      </c>
      <c r="G55" s="3308">
        <v>2006</v>
      </c>
      <c r="H55" s="1466">
        <v>2</v>
      </c>
      <c r="I55" s="1466">
        <v>0.96</v>
      </c>
      <c r="J55" s="1466">
        <v>0.25</v>
      </c>
      <c r="K55" s="1466">
        <v>1.9</v>
      </c>
      <c r="L55" s="1480">
        <v>0.95</v>
      </c>
      <c r="N55" s="1525">
        <f t="shared" si="34"/>
        <v>1.8352632728861701E-2</v>
      </c>
      <c r="O55" s="1526">
        <f t="shared" si="34"/>
        <v>2.6286459319075526E-3</v>
      </c>
      <c r="P55" s="1526">
        <f t="shared" si="35"/>
        <v>5.4299289107991269E-2</v>
      </c>
      <c r="Q55" s="1526">
        <f t="shared" si="35"/>
        <v>8.9126559714794995E-3</v>
      </c>
      <c r="R55" s="1475"/>
      <c r="S55" s="1473"/>
      <c r="T55" s="1474"/>
      <c r="U55" s="1474"/>
      <c r="V55" s="1474"/>
      <c r="X55" s="1527"/>
      <c r="Y55" s="1527"/>
      <c r="Z55" s="1527"/>
    </row>
    <row r="56" spans="1:26">
      <c r="A56" s="1462" t="s">
        <v>1194</v>
      </c>
      <c r="B56" s="1478">
        <f t="shared" si="36"/>
        <v>144.04145728643215</v>
      </c>
      <c r="C56" s="1478">
        <f t="shared" si="36"/>
        <v>136.12396694214877</v>
      </c>
      <c r="D56" s="1478">
        <f t="shared" si="12"/>
        <v>136.12396694214877</v>
      </c>
      <c r="E56" s="1478">
        <f t="shared" si="37"/>
        <v>158.32225913621264</v>
      </c>
      <c r="F56" s="1478">
        <f t="shared" si="37"/>
        <v>114.04278074866311</v>
      </c>
      <c r="G56" s="3309">
        <v>2006</v>
      </c>
      <c r="H56" s="1465">
        <v>1</v>
      </c>
      <c r="I56" s="1465">
        <v>2.29</v>
      </c>
      <c r="J56" s="1465">
        <v>3.72</v>
      </c>
      <c r="K56" s="1465">
        <v>0.75</v>
      </c>
      <c r="L56" s="1479">
        <v>0.04</v>
      </c>
      <c r="N56" s="1528">
        <f t="shared" si="34"/>
        <v>4.3778675988638847E-2</v>
      </c>
      <c r="O56" s="1529">
        <f t="shared" si="34"/>
        <v>3.9114251466784385E-2</v>
      </c>
      <c r="P56" s="1529">
        <f t="shared" si="35"/>
        <v>2.1433929911049188E-2</v>
      </c>
      <c r="Q56" s="1529">
        <f t="shared" si="35"/>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1195</v>
      </c>
      <c r="B57" s="1491">
        <v>138</v>
      </c>
      <c r="C57" s="1491">
        <v>131</v>
      </c>
      <c r="D57" s="1491">
        <f t="shared" si="12"/>
        <v>131</v>
      </c>
      <c r="E57" s="1491">
        <v>155</v>
      </c>
      <c r="F57" s="1492">
        <v>114</v>
      </c>
      <c r="G57" s="3307">
        <v>2005</v>
      </c>
      <c r="H57" s="1483">
        <v>4</v>
      </c>
      <c r="I57" s="1483">
        <v>3.29</v>
      </c>
      <c r="J57" s="1483">
        <v>1.44</v>
      </c>
      <c r="K57" s="1483">
        <v>0.66</v>
      </c>
      <c r="L57" s="1484">
        <v>7.78</v>
      </c>
      <c r="N57" s="1525">
        <f t="shared" ref="N57:O60" si="38">I57/SUM(I$57:I$60)*(B$57/B$61-1)</f>
        <v>9.9404603216919935E-2</v>
      </c>
      <c r="O57" s="1526">
        <f t="shared" si="38"/>
        <v>4.7636550760861554E-2</v>
      </c>
      <c r="P57" s="1526">
        <f t="shared" ref="P57:Q60" si="39">K57/SUM(K$57:K$60)*(E$57/E$61-1)</f>
        <v>8.3756345177664976E-2</v>
      </c>
      <c r="Q57" s="1526">
        <f t="shared" si="39"/>
        <v>5.2148766661559584E-2</v>
      </c>
      <c r="R57" s="1475"/>
      <c r="S57" s="1476"/>
      <c r="T57" s="1477"/>
      <c r="U57" s="1477"/>
      <c r="V57" s="1477"/>
      <c r="X57" s="1527"/>
      <c r="Y57" s="1527"/>
      <c r="Z57" s="1527"/>
    </row>
    <row r="58" spans="1:26">
      <c r="A58" s="1462" t="s">
        <v>1196</v>
      </c>
      <c r="B58" s="1478">
        <f t="shared" ref="B58:C60" si="40">B59+(B$57-B$61)*I58/SUM(I$57:I$60)</f>
        <v>125.9720430107527</v>
      </c>
      <c r="C58" s="1478">
        <f t="shared" si="40"/>
        <v>125.1883408071749</v>
      </c>
      <c r="D58" s="1478">
        <f t="shared" si="12"/>
        <v>125.1883408071749</v>
      </c>
      <c r="E58" s="1478">
        <f t="shared" ref="E58:F60" si="41">E59+(E$57-E$61)*K58/SUM(K$57:K$60)</f>
        <v>144.61421319796952</v>
      </c>
      <c r="F58" s="1478">
        <f t="shared" si="41"/>
        <v>108.42008196721311</v>
      </c>
      <c r="G58" s="3308">
        <v>2005</v>
      </c>
      <c r="H58" s="1488">
        <v>3</v>
      </c>
      <c r="I58" s="1488">
        <v>0.46</v>
      </c>
      <c r="J58" s="1488">
        <v>0.32</v>
      </c>
      <c r="K58" s="1488">
        <v>0.42</v>
      </c>
      <c r="L58" s="1489">
        <v>0.64</v>
      </c>
      <c r="N58" s="1525">
        <f t="shared" si="38"/>
        <v>1.3898515951301874E-2</v>
      </c>
      <c r="O58" s="1526">
        <f t="shared" si="38"/>
        <v>1.0585900169080346E-2</v>
      </c>
      <c r="P58" s="1526">
        <f t="shared" si="39"/>
        <v>5.3299492385786795E-2</v>
      </c>
      <c r="Q58" s="1526">
        <f t="shared" si="39"/>
        <v>4.2898728359123568E-3</v>
      </c>
      <c r="R58" s="1475"/>
      <c r="S58" s="1473"/>
      <c r="T58" s="1474"/>
      <c r="U58" s="1474"/>
      <c r="V58" s="1474"/>
      <c r="X58" s="1527"/>
      <c r="Y58" s="1527"/>
      <c r="Z58" s="1527"/>
    </row>
    <row r="59" spans="1:26">
      <c r="A59" s="1462" t="s">
        <v>1197</v>
      </c>
      <c r="B59" s="1478">
        <f t="shared" si="40"/>
        <v>124.29032258064517</v>
      </c>
      <c r="C59" s="1478">
        <f t="shared" si="40"/>
        <v>123.8968609865471</v>
      </c>
      <c r="D59" s="1478">
        <f t="shared" si="12"/>
        <v>123.8968609865471</v>
      </c>
      <c r="E59" s="1478">
        <f t="shared" si="41"/>
        <v>138.00507614213197</v>
      </c>
      <c r="F59" s="1478">
        <f t="shared" si="41"/>
        <v>107.96106557377048</v>
      </c>
      <c r="G59" s="3308">
        <v>2005</v>
      </c>
      <c r="H59" s="1466">
        <v>2</v>
      </c>
      <c r="I59" s="1466">
        <v>0.47</v>
      </c>
      <c r="J59" s="1466">
        <v>0.1</v>
      </c>
      <c r="K59" s="1466">
        <v>0.52</v>
      </c>
      <c r="L59" s="1480">
        <v>0.79</v>
      </c>
      <c r="N59" s="1525">
        <f t="shared" si="38"/>
        <v>1.420065760241713E-2</v>
      </c>
      <c r="O59" s="1526">
        <f t="shared" si="38"/>
        <v>3.3080938028376083E-3</v>
      </c>
      <c r="P59" s="1526">
        <f t="shared" si="39"/>
        <v>6.598984771573603E-2</v>
      </c>
      <c r="Q59" s="1526">
        <f t="shared" si="39"/>
        <v>5.2953117818293153E-3</v>
      </c>
      <c r="R59" s="1475"/>
      <c r="S59" s="1473"/>
      <c r="T59" s="1474"/>
      <c r="U59" s="1474"/>
      <c r="V59" s="1474"/>
      <c r="X59" s="1527"/>
      <c r="Y59" s="1527"/>
      <c r="Z59" s="1527"/>
    </row>
    <row r="60" spans="1:26">
      <c r="A60" s="1462" t="s">
        <v>1198</v>
      </c>
      <c r="B60" s="1478">
        <f t="shared" si="40"/>
        <v>122.57204301075269</v>
      </c>
      <c r="C60" s="1478">
        <f t="shared" si="40"/>
        <v>123.4932735426009</v>
      </c>
      <c r="D60" s="1478">
        <f t="shared" si="12"/>
        <v>123.4932735426009</v>
      </c>
      <c r="E60" s="1478">
        <f t="shared" si="41"/>
        <v>129.82233502538071</v>
      </c>
      <c r="F60" s="1478">
        <f t="shared" si="41"/>
        <v>107.39446721311475</v>
      </c>
      <c r="G60" s="3309">
        <v>2005</v>
      </c>
      <c r="H60" s="1465">
        <v>1</v>
      </c>
      <c r="I60" s="1465">
        <v>0.43</v>
      </c>
      <c r="J60" s="1465">
        <v>0.37</v>
      </c>
      <c r="K60" s="1465">
        <v>0.37</v>
      </c>
      <c r="L60" s="1479">
        <v>0.55000000000000004</v>
      </c>
      <c r="N60" s="1528">
        <f t="shared" si="38"/>
        <v>1.2992090997956099E-2</v>
      </c>
      <c r="O60" s="1529">
        <f t="shared" si="38"/>
        <v>1.2239947070499151E-2</v>
      </c>
      <c r="P60" s="1529">
        <f t="shared" si="39"/>
        <v>4.6954314720812178E-2</v>
      </c>
      <c r="Q60" s="1529">
        <f t="shared" si="39"/>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1199</v>
      </c>
      <c r="B61" s="1512">
        <v>121</v>
      </c>
      <c r="C61" s="1512">
        <v>122</v>
      </c>
      <c r="D61" s="1512">
        <f t="shared" si="12"/>
        <v>122</v>
      </c>
      <c r="E61" s="1512">
        <v>124</v>
      </c>
      <c r="F61" s="1513">
        <v>107</v>
      </c>
      <c r="G61" s="3307">
        <v>2004</v>
      </c>
      <c r="H61" s="1483">
        <v>4</v>
      </c>
      <c r="I61" s="1483">
        <v>0.33</v>
      </c>
      <c r="J61" s="1483">
        <v>0.5</v>
      </c>
      <c r="K61" s="1483">
        <v>0.5</v>
      </c>
      <c r="L61" s="1484">
        <v>0</v>
      </c>
      <c r="N61" s="1525">
        <f t="shared" ref="N61:O64" si="42">I61/SUM(I$61:I$64)*(B$61/B$65-1)</f>
        <v>1.3391770148526898E-2</v>
      </c>
      <c r="O61" s="1526">
        <f t="shared" si="42"/>
        <v>1.063264221158958E-2</v>
      </c>
      <c r="P61" s="1526">
        <f t="shared" ref="P61:Q64" si="43">K61/SUM(K$61:K$64)*(E$61/E$65-1)</f>
        <v>2.2244466688911134E-2</v>
      </c>
      <c r="Q61" s="1526">
        <f t="shared" si="43"/>
        <v>0</v>
      </c>
      <c r="R61" s="1475"/>
      <c r="S61" s="1476"/>
      <c r="T61" s="1477"/>
      <c r="U61" s="1477"/>
      <c r="V61" s="1477"/>
      <c r="X61" s="1527"/>
      <c r="Y61" s="1527"/>
      <c r="Z61" s="1527"/>
    </row>
    <row r="62" spans="1:26">
      <c r="A62" s="1462" t="s">
        <v>1200</v>
      </c>
      <c r="B62" s="1478">
        <f t="shared" ref="B62:C64" si="44">B63+(B$61-B$65)*I62/SUM(I$61:I$64)</f>
        <v>119.51351351351352</v>
      </c>
      <c r="C62" s="1478">
        <f t="shared" si="44"/>
        <v>120.7878787878788</v>
      </c>
      <c r="D62" s="1478">
        <f t="shared" si="12"/>
        <v>120.7878787878788</v>
      </c>
      <c r="E62" s="1478">
        <f t="shared" ref="E62:F64" si="45">E63+(E$61-E$65)*K62/SUM(K$61:K$64)</f>
        <v>121.5975975975976</v>
      </c>
      <c r="F62" s="1478">
        <f t="shared" si="45"/>
        <v>107</v>
      </c>
      <c r="G62" s="3308">
        <v>2004</v>
      </c>
      <c r="H62" s="1488">
        <v>3</v>
      </c>
      <c r="I62" s="1488">
        <v>0.56000000000000005</v>
      </c>
      <c r="J62" s="1488">
        <v>0.8</v>
      </c>
      <c r="K62" s="1488">
        <v>0.83</v>
      </c>
      <c r="L62" s="1489">
        <v>0.06</v>
      </c>
      <c r="N62" s="1525">
        <f t="shared" si="42"/>
        <v>2.2725428130833527E-2</v>
      </c>
      <c r="O62" s="1526">
        <f t="shared" si="42"/>
        <v>1.7012227538543329E-2</v>
      </c>
      <c r="P62" s="1526">
        <f t="shared" si="43"/>
        <v>3.6925814703592477E-2</v>
      </c>
      <c r="Q62" s="1526">
        <f t="shared" si="43"/>
        <v>2.8846153846153744E-2</v>
      </c>
      <c r="R62" s="1475"/>
      <c r="S62" s="1473"/>
      <c r="T62" s="1474"/>
      <c r="U62" s="1474"/>
      <c r="V62" s="1474"/>
      <c r="X62" s="1527"/>
      <c r="Y62" s="1527"/>
      <c r="Z62" s="1527"/>
    </row>
    <row r="63" spans="1:26">
      <c r="A63" s="1462" t="s">
        <v>1201</v>
      </c>
      <c r="B63" s="1478">
        <f t="shared" si="44"/>
        <v>116.99099099099099</v>
      </c>
      <c r="C63" s="1478">
        <f t="shared" si="44"/>
        <v>118.84848484848486</v>
      </c>
      <c r="D63" s="1478">
        <f t="shared" si="12"/>
        <v>118.84848484848486</v>
      </c>
      <c r="E63" s="1478">
        <f t="shared" si="45"/>
        <v>117.60960960960961</v>
      </c>
      <c r="F63" s="1478">
        <f t="shared" si="45"/>
        <v>104</v>
      </c>
      <c r="G63" s="3308">
        <v>2004</v>
      </c>
      <c r="H63" s="1466">
        <v>2</v>
      </c>
      <c r="I63" s="1466">
        <v>1</v>
      </c>
      <c r="J63" s="1466">
        <v>1.5</v>
      </c>
      <c r="K63" s="1466">
        <v>1.5</v>
      </c>
      <c r="L63" s="1480">
        <v>0</v>
      </c>
      <c r="N63" s="1525">
        <f t="shared" si="42"/>
        <v>4.0581121662202721E-2</v>
      </c>
      <c r="O63" s="1526">
        <f t="shared" si="42"/>
        <v>3.1897926634768738E-2</v>
      </c>
      <c r="P63" s="1526">
        <f t="shared" si="43"/>
        <v>6.6733400066733395E-2</v>
      </c>
      <c r="Q63" s="1526">
        <f t="shared" si="43"/>
        <v>0</v>
      </c>
      <c r="R63" s="1475"/>
      <c r="S63" s="1473"/>
      <c r="T63" s="1474"/>
      <c r="U63" s="1474"/>
      <c r="V63" s="1474"/>
      <c r="X63" s="1527"/>
      <c r="Y63" s="1527"/>
      <c r="Z63" s="1527"/>
    </row>
    <row r="64" spans="1:26" s="1518" customFormat="1" ht="13.5" thickBot="1">
      <c r="A64" s="1462" t="s">
        <v>1202</v>
      </c>
      <c r="B64" s="1515">
        <f t="shared" si="44"/>
        <v>112.48648648648648</v>
      </c>
      <c r="C64" s="1515">
        <f t="shared" si="44"/>
        <v>115.21212121212122</v>
      </c>
      <c r="D64" s="1515">
        <f t="shared" si="12"/>
        <v>115.21212121212122</v>
      </c>
      <c r="E64" s="1515">
        <f t="shared" si="45"/>
        <v>110.4024024024024</v>
      </c>
      <c r="F64" s="1515">
        <f t="shared" si="45"/>
        <v>104</v>
      </c>
      <c r="G64" s="3309">
        <v>2004</v>
      </c>
      <c r="H64" s="1516">
        <v>1</v>
      </c>
      <c r="I64" s="1516">
        <v>0.33</v>
      </c>
      <c r="J64" s="1516">
        <v>0.5</v>
      </c>
      <c r="K64" s="1516">
        <v>0.5</v>
      </c>
      <c r="L64" s="1517">
        <v>0</v>
      </c>
      <c r="N64" s="1530">
        <f t="shared" si="42"/>
        <v>1.3391770148526898E-2</v>
      </c>
      <c r="O64" s="1531">
        <f t="shared" si="42"/>
        <v>1.063264221158958E-2</v>
      </c>
      <c r="P64" s="1531">
        <f t="shared" si="43"/>
        <v>2.2244466688911134E-2</v>
      </c>
      <c r="Q64" s="1531">
        <f t="shared" si="43"/>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1203</v>
      </c>
      <c r="B65" s="1533">
        <v>111</v>
      </c>
      <c r="C65" s="1533">
        <v>114</v>
      </c>
      <c r="D65" s="1533">
        <f t="shared" si="12"/>
        <v>114</v>
      </c>
      <c r="E65" s="1533">
        <v>108</v>
      </c>
      <c r="F65" s="1534">
        <v>104</v>
      </c>
      <c r="G65" s="3307">
        <v>2003</v>
      </c>
      <c r="H65" s="1523">
        <v>4</v>
      </c>
      <c r="I65" s="1535"/>
      <c r="J65" s="1535"/>
      <c r="K65" s="1535"/>
      <c r="L65" s="1535"/>
      <c r="N65" s="1536"/>
      <c r="O65" s="1535"/>
      <c r="P65" s="1535"/>
      <c r="Q65" s="1535"/>
      <c r="S65" s="1536"/>
      <c r="T65" s="1535"/>
      <c r="U65" s="1535"/>
      <c r="V65" s="1535"/>
      <c r="X65" s="1527"/>
      <c r="Y65" s="1527"/>
      <c r="Z65" s="1527"/>
    </row>
    <row r="66" spans="1:26">
      <c r="A66" s="1462" t="s">
        <v>1204</v>
      </c>
      <c r="B66" s="1537">
        <f t="shared" ref="B66:C68" si="46">B67+(B$65-B$69)/4</f>
        <v>109.75</v>
      </c>
      <c r="C66" s="1537">
        <f t="shared" si="46"/>
        <v>112.25</v>
      </c>
      <c r="D66" s="1537">
        <f t="shared" si="12"/>
        <v>112.25</v>
      </c>
      <c r="E66" s="1537">
        <f t="shared" ref="E66:F68" si="47">E67+(E$65-E$69)/4</f>
        <v>107.25</v>
      </c>
      <c r="F66" s="1537">
        <f t="shared" si="47"/>
        <v>103.5</v>
      </c>
      <c r="G66" s="3308">
        <v>2003</v>
      </c>
      <c r="H66" s="1488">
        <v>3</v>
      </c>
      <c r="I66" s="1535"/>
      <c r="J66" s="1535"/>
      <c r="K66" s="1535"/>
      <c r="L66" s="1535"/>
      <c r="X66" s="1527"/>
      <c r="Y66" s="1527"/>
      <c r="Z66" s="1527"/>
    </row>
    <row r="67" spans="1:26">
      <c r="A67" s="1462" t="s">
        <v>1205</v>
      </c>
      <c r="B67" s="1537">
        <f t="shared" si="46"/>
        <v>108.5</v>
      </c>
      <c r="C67" s="1537">
        <f t="shared" si="46"/>
        <v>110.5</v>
      </c>
      <c r="D67" s="1537">
        <f t="shared" si="12"/>
        <v>110.5</v>
      </c>
      <c r="E67" s="1537">
        <f t="shared" si="47"/>
        <v>106.5</v>
      </c>
      <c r="F67" s="1537">
        <f t="shared" si="47"/>
        <v>103</v>
      </c>
      <c r="G67" s="3308">
        <v>2003</v>
      </c>
      <c r="H67" s="1466">
        <v>2</v>
      </c>
      <c r="I67" s="1535"/>
      <c r="J67" s="1535"/>
      <c r="K67" s="1535"/>
      <c r="L67" s="1535"/>
      <c r="X67" s="1527"/>
      <c r="Y67" s="1527"/>
      <c r="Z67" s="1527"/>
    </row>
    <row r="68" spans="1:26" ht="13.5" thickBot="1">
      <c r="A68" s="1462" t="s">
        <v>1206</v>
      </c>
      <c r="B68" s="1537">
        <f t="shared" si="46"/>
        <v>107.25</v>
      </c>
      <c r="C68" s="1537">
        <f t="shared" si="46"/>
        <v>108.75</v>
      </c>
      <c r="D68" s="1537">
        <f t="shared" si="12"/>
        <v>108.75</v>
      </c>
      <c r="E68" s="1537">
        <f t="shared" si="47"/>
        <v>105.75</v>
      </c>
      <c r="F68" s="1537">
        <f t="shared" si="47"/>
        <v>102.5</v>
      </c>
      <c r="G68" s="3309">
        <v>2003</v>
      </c>
      <c r="H68" s="1538">
        <v>1</v>
      </c>
      <c r="I68" s="1535"/>
      <c r="J68" s="1535"/>
      <c r="K68" s="1535"/>
      <c r="L68" s="1535"/>
      <c r="S68" s="1473"/>
      <c r="T68" s="1474"/>
      <c r="U68" s="1474"/>
      <c r="X68" s="1527"/>
      <c r="Y68" s="1527"/>
      <c r="Z68" s="1527"/>
    </row>
    <row r="69" spans="1:26" ht="13.5" thickBot="1">
      <c r="A69" s="1462" t="s">
        <v>1207</v>
      </c>
      <c r="B69" s="1539">
        <v>106</v>
      </c>
      <c r="C69" s="1539">
        <v>107</v>
      </c>
      <c r="D69" s="1539">
        <f t="shared" si="12"/>
        <v>107</v>
      </c>
      <c r="E69" s="1539">
        <v>105</v>
      </c>
      <c r="F69" s="1540">
        <v>102</v>
      </c>
      <c r="G69" s="3307">
        <v>2002</v>
      </c>
      <c r="H69" s="1483">
        <v>4</v>
      </c>
      <c r="I69" s="1535"/>
      <c r="J69" s="1535"/>
      <c r="K69" s="1535"/>
      <c r="L69" s="1535"/>
      <c r="N69" s="1536"/>
      <c r="O69" s="1535"/>
      <c r="P69" s="1535"/>
      <c r="Q69" s="1535"/>
      <c r="S69" s="1536"/>
      <c r="T69" s="1535"/>
      <c r="U69" s="1535"/>
      <c r="V69" s="1535"/>
      <c r="X69" s="1527"/>
      <c r="Y69" s="1527"/>
      <c r="Z69" s="1527"/>
    </row>
    <row r="70" spans="1:26">
      <c r="A70" s="1462" t="s">
        <v>1208</v>
      </c>
      <c r="B70" s="1537">
        <f t="shared" ref="B70:C72" si="48">B71+(B$69-B$73)/4</f>
        <v>105</v>
      </c>
      <c r="C70" s="1537">
        <f t="shared" si="48"/>
        <v>106</v>
      </c>
      <c r="D70" s="1537">
        <f t="shared" si="12"/>
        <v>106</v>
      </c>
      <c r="E70" s="1537">
        <f t="shared" ref="E70:F72" si="49">E71+(E$69-E$73)/4</f>
        <v>104.5</v>
      </c>
      <c r="F70" s="1537">
        <f t="shared" si="49"/>
        <v>101.5</v>
      </c>
      <c r="G70" s="3308">
        <v>2002</v>
      </c>
      <c r="H70" s="1488">
        <v>3</v>
      </c>
      <c r="I70" s="1535"/>
      <c r="J70" s="1535"/>
      <c r="K70" s="1535"/>
      <c r="L70" s="1535"/>
      <c r="X70" s="1527"/>
      <c r="Y70" s="1527"/>
      <c r="Z70" s="1527"/>
    </row>
    <row r="71" spans="1:26">
      <c r="A71" s="1462" t="s">
        <v>1209</v>
      </c>
      <c r="B71" s="1537">
        <f t="shared" si="48"/>
        <v>104</v>
      </c>
      <c r="C71" s="1537">
        <f t="shared" si="48"/>
        <v>105</v>
      </c>
      <c r="D71" s="1537">
        <f t="shared" si="12"/>
        <v>105</v>
      </c>
      <c r="E71" s="1537">
        <f t="shared" si="49"/>
        <v>104</v>
      </c>
      <c r="F71" s="1537">
        <f t="shared" si="49"/>
        <v>101</v>
      </c>
      <c r="G71" s="3308">
        <v>2002</v>
      </c>
      <c r="H71" s="1466">
        <v>2</v>
      </c>
      <c r="I71" s="1535"/>
      <c r="J71" s="1535"/>
      <c r="K71" s="1535"/>
      <c r="L71" s="1535"/>
      <c r="X71" s="1527"/>
      <c r="Y71" s="1527"/>
      <c r="Z71" s="1527"/>
    </row>
    <row r="72" spans="1:26" s="1499" customFormat="1" ht="13.5" thickBot="1">
      <c r="A72" s="1495" t="s">
        <v>1210</v>
      </c>
      <c r="B72" s="1541">
        <f t="shared" si="48"/>
        <v>103</v>
      </c>
      <c r="C72" s="1541">
        <f t="shared" si="48"/>
        <v>104</v>
      </c>
      <c r="D72" s="1541">
        <f t="shared" si="12"/>
        <v>104</v>
      </c>
      <c r="E72" s="1541">
        <f t="shared" si="49"/>
        <v>103.5</v>
      </c>
      <c r="F72" s="1541">
        <f t="shared" si="49"/>
        <v>100.5</v>
      </c>
      <c r="G72" s="3309">
        <v>2002</v>
      </c>
      <c r="H72" s="1542">
        <v>1</v>
      </c>
      <c r="I72" s="1543"/>
      <c r="J72" s="1543"/>
      <c r="K72" s="1543"/>
      <c r="L72" s="1543"/>
      <c r="N72" s="1544"/>
      <c r="S72" s="1544"/>
      <c r="X72" s="1545"/>
      <c r="Y72" s="1545"/>
      <c r="Z72" s="1545"/>
    </row>
    <row r="73" spans="1:26" ht="13.5" thickBot="1">
      <c r="B73" s="1546">
        <v>102</v>
      </c>
      <c r="C73" s="1547">
        <v>103</v>
      </c>
      <c r="D73" s="1547">
        <f t="shared" si="12"/>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1211</v>
      </c>
      <c r="G75" s="1551"/>
      <c r="N75" s="1551"/>
      <c r="S75" s="1551"/>
    </row>
    <row r="76" spans="1:26" s="1550" customFormat="1">
      <c r="A76" s="1550" t="s">
        <v>1212</v>
      </c>
      <c r="G76" s="1551"/>
      <c r="N76" s="1551"/>
      <c r="S76" s="1551"/>
    </row>
    <row r="77" spans="1:26" s="1550" customFormat="1">
      <c r="A77" s="1550" t="s">
        <v>1213</v>
      </c>
      <c r="G77" s="1551"/>
      <c r="I77" s="1552"/>
      <c r="J77" s="1552"/>
      <c r="K77" s="1552"/>
      <c r="L77" s="1552"/>
      <c r="N77" s="1553"/>
      <c r="O77" s="1552"/>
      <c r="P77" s="1552"/>
      <c r="Q77" s="1552"/>
      <c r="S77" s="1553"/>
      <c r="T77" s="1552"/>
      <c r="U77" s="1552"/>
      <c r="V77" s="1552"/>
    </row>
    <row r="78" spans="1:26" s="1550" customFormat="1">
      <c r="A78" s="1550" t="s">
        <v>1214</v>
      </c>
      <c r="G78" s="1551"/>
      <c r="N78" s="1551"/>
      <c r="S78" s="1551"/>
    </row>
    <row r="85" spans="7:22" ht="13.5" thickBot="1"/>
    <row r="86" spans="7:22">
      <c r="G86" s="1472"/>
      <c r="S86" s="1554" t="s">
        <v>1215</v>
      </c>
      <c r="T86" s="1555" t="s">
        <v>1216</v>
      </c>
      <c r="U86" s="1555" t="s">
        <v>1217</v>
      </c>
      <c r="V86" s="1555" t="s">
        <v>1218</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3004</v>
      </c>
      <c r="C1" s="3318" t="s">
        <v>3005</v>
      </c>
      <c r="D1" s="3319"/>
      <c r="E1" s="3319"/>
      <c r="F1" s="3319"/>
      <c r="G1" s="3319"/>
      <c r="H1" s="3319"/>
      <c r="I1" s="3319"/>
      <c r="J1" s="3319"/>
      <c r="K1" s="3319"/>
      <c r="L1" s="3319"/>
      <c r="M1" s="3319"/>
      <c r="N1" s="3319"/>
      <c r="O1" s="3319"/>
      <c r="P1" s="3319"/>
      <c r="Q1" s="3319"/>
      <c r="R1" s="3319"/>
      <c r="S1" s="3320"/>
      <c r="T1" s="1206" t="s">
        <v>3006</v>
      </c>
    </row>
    <row r="2" spans="1:45" s="706" customFormat="1">
      <c r="A2" s="1207"/>
      <c r="B2" s="702" t="s">
        <v>3007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R2" si="1">M3&amp;"(含)"&amp;"-"&amp;N3</f>
        <v>(含)-</v>
      </c>
      <c r="N2" s="704" t="str">
        <f t="shared" si="1"/>
        <v>(含)-</v>
      </c>
      <c r="O2" s="704" t="str">
        <f t="shared" si="1"/>
        <v>(含)-</v>
      </c>
      <c r="P2" s="704" t="str">
        <f t="shared" si="1"/>
        <v>(含)-</v>
      </c>
      <c r="Q2" s="704" t="str">
        <f t="shared" si="1"/>
        <v>(含)-</v>
      </c>
      <c r="R2" s="704" t="str">
        <f t="shared" si="1"/>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3008</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2">D6-$T5</f>
        <v>100</v>
      </c>
      <c r="F6" s="1716">
        <f t="shared" si="2"/>
        <v>100</v>
      </c>
      <c r="G6" s="1716">
        <f t="shared" si="2"/>
        <v>100</v>
      </c>
      <c r="H6" s="1716">
        <f t="shared" si="2"/>
        <v>100</v>
      </c>
      <c r="I6" s="1716">
        <f t="shared" si="2"/>
        <v>100</v>
      </c>
      <c r="J6" s="1716">
        <f t="shared" si="2"/>
        <v>100</v>
      </c>
      <c r="K6" s="1716">
        <f t="shared" si="2"/>
        <v>100</v>
      </c>
      <c r="L6" s="1716">
        <f t="shared" si="2"/>
        <v>100</v>
      </c>
      <c r="M6" s="1716">
        <f t="shared" si="2"/>
        <v>100</v>
      </c>
      <c r="N6" s="1716">
        <f t="shared" si="2"/>
        <v>100</v>
      </c>
      <c r="O6" s="1716">
        <f t="shared" si="2"/>
        <v>100</v>
      </c>
      <c r="P6" s="1716">
        <f t="shared" si="2"/>
        <v>100</v>
      </c>
      <c r="Q6" s="1716">
        <f t="shared" si="2"/>
        <v>100</v>
      </c>
      <c r="R6" s="1716">
        <f t="shared" si="2"/>
        <v>100</v>
      </c>
      <c r="S6" s="1716">
        <f t="shared" si="2"/>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3009</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3">D8-$T7</f>
        <v>100</v>
      </c>
      <c r="F8" s="1716">
        <f t="shared" si="3"/>
        <v>100</v>
      </c>
      <c r="G8" s="1716">
        <f t="shared" si="3"/>
        <v>100</v>
      </c>
      <c r="H8" s="1716">
        <f t="shared" si="3"/>
        <v>100</v>
      </c>
      <c r="I8" s="1716">
        <f t="shared" si="3"/>
        <v>100</v>
      </c>
      <c r="J8" s="1716">
        <f t="shared" si="3"/>
        <v>100</v>
      </c>
      <c r="K8" s="1716">
        <f t="shared" si="3"/>
        <v>100</v>
      </c>
      <c r="L8" s="1716">
        <f t="shared" si="3"/>
        <v>100</v>
      </c>
      <c r="M8" s="1716">
        <f t="shared" si="3"/>
        <v>100</v>
      </c>
      <c r="N8" s="1716">
        <f t="shared" si="3"/>
        <v>100</v>
      </c>
      <c r="O8" s="1716">
        <f t="shared" si="3"/>
        <v>100</v>
      </c>
      <c r="P8" s="1716">
        <f t="shared" si="3"/>
        <v>100</v>
      </c>
      <c r="Q8" s="1716">
        <f t="shared" si="3"/>
        <v>100</v>
      </c>
      <c r="R8" s="1716">
        <f t="shared" si="3"/>
        <v>100</v>
      </c>
      <c r="S8" s="1716">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3010</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4">D10-$T9</f>
        <v>100</v>
      </c>
      <c r="F10" s="1726">
        <f t="shared" si="4"/>
        <v>100</v>
      </c>
      <c r="G10" s="1726">
        <f t="shared" si="4"/>
        <v>100</v>
      </c>
      <c r="H10" s="1726">
        <f t="shared" si="4"/>
        <v>100</v>
      </c>
      <c r="I10" s="1726">
        <f t="shared" si="4"/>
        <v>100</v>
      </c>
      <c r="J10" s="1726">
        <f t="shared" si="4"/>
        <v>100</v>
      </c>
      <c r="K10" s="1726">
        <f t="shared" si="4"/>
        <v>100</v>
      </c>
      <c r="L10" s="1726">
        <f t="shared" si="4"/>
        <v>100</v>
      </c>
      <c r="M10" s="1726">
        <f t="shared" si="4"/>
        <v>100</v>
      </c>
      <c r="N10" s="1726">
        <f t="shared" si="4"/>
        <v>100</v>
      </c>
      <c r="O10" s="1726">
        <f t="shared" si="4"/>
        <v>100</v>
      </c>
      <c r="P10" s="1726">
        <f t="shared" si="4"/>
        <v>100</v>
      </c>
      <c r="Q10" s="1726">
        <f t="shared" si="4"/>
        <v>100</v>
      </c>
      <c r="R10" s="1726">
        <f t="shared" si="4"/>
        <v>100</v>
      </c>
      <c r="S10" s="1726">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3014</v>
      </c>
      <c r="B17" s="2916" t="s">
        <v>3015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7" t="s">
        <v>3016</v>
      </c>
      <c r="E19" s="1793"/>
      <c r="F19" s="1793"/>
      <c r="G19" s="1793"/>
      <c r="H19" s="1281"/>
      <c r="I19" s="168"/>
      <c r="J19" s="168"/>
      <c r="K19" s="168"/>
      <c r="L19" s="168"/>
      <c r="M19" s="168"/>
      <c r="N19" s="168"/>
      <c r="O19" s="168"/>
      <c r="P19" s="168"/>
      <c r="Q19" s="168"/>
      <c r="R19" s="787"/>
      <c r="S19" s="138"/>
    </row>
    <row r="20" spans="1:45" ht="16.5" thickBot="1">
      <c r="A20" s="714" t="s">
        <v>3017</v>
      </c>
      <c r="B20" s="338" t="e">
        <f ca="1">IF(D20="——",S22,S22-F20)</f>
        <v>#REF!</v>
      </c>
      <c r="C20" s="168"/>
      <c r="D20" s="2918" t="s">
        <v>3018</v>
      </c>
      <c r="E20" s="1794"/>
      <c r="F20" s="1206" t="e">
        <f ca="1">SUMIF(INDIRECT("'"&amp;H20&amp;"'"&amp;"!A:A"),"承租人权益价值",INDIRECT("'"&amp;H20&amp;"'"&amp;"!c:c"))</f>
        <v>#REF!</v>
      </c>
      <c r="G20" s="1206" t="s">
        <v>3019</v>
      </c>
      <c r="H20" s="2919"/>
      <c r="I20" s="168"/>
      <c r="J20" s="168"/>
      <c r="K20" s="168"/>
      <c r="L20" s="168"/>
      <c r="M20" s="168"/>
      <c r="N20" s="168"/>
      <c r="O20" s="168"/>
      <c r="P20" s="168"/>
      <c r="Q20" s="168"/>
      <c r="R20" s="787"/>
      <c r="S20" s="138"/>
    </row>
    <row r="21" spans="1:45" ht="15.75">
      <c r="A21" s="714" t="s">
        <v>3020</v>
      </c>
      <c r="B21" s="338">
        <f>R22</f>
        <v>10000</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100</v>
      </c>
      <c r="C22" s="3179" t="s">
        <v>33</v>
      </c>
      <c r="D22" s="3180"/>
      <c r="E22" s="3180"/>
      <c r="F22" s="3180"/>
      <c r="G22" s="3180"/>
      <c r="H22" s="3180"/>
      <c r="I22" s="3180"/>
      <c r="J22" s="3180"/>
      <c r="K22" s="3180"/>
      <c r="L22" s="3180"/>
      <c r="M22" s="3180"/>
      <c r="N22" s="3180"/>
      <c r="O22" s="3180"/>
      <c r="P22" s="3180"/>
      <c r="Q22" s="3317"/>
      <c r="R22" s="715">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6"/>
        <v>0</v>
      </c>
    </row>
    <row r="26" spans="1:45">
      <c r="A26" s="159"/>
      <c r="B26" s="59"/>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c r="Q26" s="24">
        <f t="shared" ref="Q26:Q89" si="14">(SUMIF($17:$17,P26,$18:$18)-SUMIF($17:$17,$P$24,$18:$18)+100)/100</f>
        <v>1</v>
      </c>
      <c r="R26" s="715">
        <f t="shared" ref="R26:R89" si="15">IF(B26="",0,ROUND($R$24*C26*E26*G26*I26*K26*M26*O26*Q26,0))</f>
        <v>0</v>
      </c>
      <c r="S26" s="361">
        <f t="shared" si="6"/>
        <v>0</v>
      </c>
    </row>
    <row r="27" spans="1:45">
      <c r="A27" s="159"/>
      <c r="B27" s="59"/>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c r="Q27" s="24">
        <f t="shared" si="14"/>
        <v>1</v>
      </c>
      <c r="R27" s="715">
        <f t="shared" si="15"/>
        <v>0</v>
      </c>
      <c r="S27" s="361">
        <f t="shared" si="6"/>
        <v>0</v>
      </c>
    </row>
    <row r="28" spans="1:45">
      <c r="A28" s="159"/>
      <c r="B28" s="59"/>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c r="Q28" s="24">
        <f t="shared" si="14"/>
        <v>1</v>
      </c>
      <c r="R28" s="715">
        <f t="shared" si="15"/>
        <v>0</v>
      </c>
      <c r="S28" s="361">
        <f t="shared" si="6"/>
        <v>0</v>
      </c>
    </row>
    <row r="29" spans="1:45">
      <c r="A29" s="159"/>
      <c r="B29" s="59"/>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c r="Q29" s="24">
        <f t="shared" si="14"/>
        <v>1</v>
      </c>
      <c r="R29" s="715">
        <f t="shared" si="15"/>
        <v>0</v>
      </c>
      <c r="S29" s="361">
        <f t="shared" si="6"/>
        <v>0</v>
      </c>
    </row>
    <row r="30" spans="1:45">
      <c r="A30" s="159"/>
      <c r="B30" s="59"/>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c r="Q30" s="24">
        <f t="shared" si="14"/>
        <v>1</v>
      </c>
      <c r="R30" s="715">
        <f t="shared" si="15"/>
        <v>0</v>
      </c>
      <c r="S30" s="361">
        <f t="shared" si="6"/>
        <v>0</v>
      </c>
    </row>
    <row r="31" spans="1:45">
      <c r="A31" s="159"/>
      <c r="B31" s="59"/>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c r="Q31" s="24">
        <f t="shared" si="14"/>
        <v>1</v>
      </c>
      <c r="R31" s="715">
        <f t="shared" si="15"/>
        <v>0</v>
      </c>
      <c r="S31" s="361">
        <f t="shared" si="6"/>
        <v>0</v>
      </c>
    </row>
    <row r="32" spans="1:45">
      <c r="A32" s="159"/>
      <c r="B32" s="59"/>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c r="Q32" s="24">
        <f t="shared" si="14"/>
        <v>1</v>
      </c>
      <c r="R32" s="715">
        <f t="shared" si="15"/>
        <v>0</v>
      </c>
      <c r="S32" s="361">
        <f t="shared" si="6"/>
        <v>0</v>
      </c>
    </row>
    <row r="33" spans="1:19">
      <c r="A33" s="159"/>
      <c r="B33" s="59"/>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719"/>
      <c r="Q33" s="24">
        <f t="shared" si="14"/>
        <v>1</v>
      </c>
      <c r="R33" s="715">
        <f t="shared" si="15"/>
        <v>0</v>
      </c>
      <c r="S33" s="361">
        <f t="shared" si="6"/>
        <v>0</v>
      </c>
    </row>
    <row r="34" spans="1:19">
      <c r="A34" s="159"/>
      <c r="B34" s="59"/>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c r="Q34" s="24">
        <f t="shared" si="14"/>
        <v>1</v>
      </c>
      <c r="R34" s="715">
        <f t="shared" si="15"/>
        <v>0</v>
      </c>
      <c r="S34" s="361">
        <f t="shared" si="6"/>
        <v>0</v>
      </c>
    </row>
    <row r="35" spans="1:19">
      <c r="A35" s="159"/>
      <c r="B35" s="59"/>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c r="Q35" s="24">
        <f t="shared" si="14"/>
        <v>1</v>
      </c>
      <c r="R35" s="715">
        <f t="shared" si="15"/>
        <v>0</v>
      </c>
      <c r="S35" s="361">
        <f t="shared" si="6"/>
        <v>0</v>
      </c>
    </row>
    <row r="36" spans="1:19">
      <c r="A36" s="159"/>
      <c r="B36" s="59"/>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c r="Q36" s="24">
        <f t="shared" si="14"/>
        <v>1</v>
      </c>
      <c r="R36" s="715">
        <f t="shared" si="15"/>
        <v>0</v>
      </c>
      <c r="S36" s="361">
        <f t="shared" si="6"/>
        <v>0</v>
      </c>
    </row>
    <row r="37" spans="1:19">
      <c r="A37" s="159"/>
      <c r="B37" s="59"/>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c r="Q37" s="24">
        <f t="shared" si="14"/>
        <v>1</v>
      </c>
      <c r="R37" s="715">
        <f t="shared" si="15"/>
        <v>0</v>
      </c>
      <c r="S37" s="361">
        <f t="shared" si="6"/>
        <v>0</v>
      </c>
    </row>
    <row r="38" spans="1:19">
      <c r="A38" s="159"/>
      <c r="B38" s="59"/>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c r="Q38" s="24">
        <f t="shared" si="14"/>
        <v>1</v>
      </c>
      <c r="R38" s="715">
        <f t="shared" si="15"/>
        <v>0</v>
      </c>
      <c r="S38" s="361">
        <f t="shared" si="6"/>
        <v>0</v>
      </c>
    </row>
    <row r="39" spans="1:19">
      <c r="A39" s="159"/>
      <c r="B39" s="59"/>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c r="Q39" s="24">
        <f t="shared" si="14"/>
        <v>1</v>
      </c>
      <c r="R39" s="715">
        <f t="shared" si="15"/>
        <v>0</v>
      </c>
      <c r="S39" s="361">
        <f t="shared" si="6"/>
        <v>0</v>
      </c>
    </row>
    <row r="40" spans="1:19">
      <c r="A40" s="159"/>
      <c r="B40" s="59"/>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c r="Q40" s="24">
        <f t="shared" si="14"/>
        <v>1</v>
      </c>
      <c r="R40" s="715">
        <f t="shared" si="15"/>
        <v>0</v>
      </c>
      <c r="S40" s="361">
        <f t="shared" si="6"/>
        <v>0</v>
      </c>
    </row>
    <row r="41" spans="1:19">
      <c r="A41" s="159"/>
      <c r="B41" s="59"/>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c r="Q41" s="24">
        <f t="shared" si="14"/>
        <v>1</v>
      </c>
      <c r="R41" s="715">
        <f t="shared" si="15"/>
        <v>0</v>
      </c>
      <c r="S41" s="361">
        <f t="shared" si="6"/>
        <v>0</v>
      </c>
    </row>
    <row r="42" spans="1:19">
      <c r="A42" s="159"/>
      <c r="B42" s="59"/>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c r="Q42" s="24">
        <f t="shared" si="14"/>
        <v>1</v>
      </c>
      <c r="R42" s="715">
        <f t="shared" si="15"/>
        <v>0</v>
      </c>
      <c r="S42" s="361">
        <f t="shared" si="6"/>
        <v>0</v>
      </c>
    </row>
    <row r="43" spans="1:19">
      <c r="A43" s="159"/>
      <c r="B43" s="59"/>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c r="Q43" s="24">
        <f t="shared" si="14"/>
        <v>1</v>
      </c>
      <c r="R43" s="715">
        <f t="shared" si="15"/>
        <v>0</v>
      </c>
      <c r="S43" s="361">
        <f t="shared" si="6"/>
        <v>0</v>
      </c>
    </row>
    <row r="44" spans="1:19">
      <c r="A44" s="159"/>
      <c r="B44" s="59"/>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c r="Q44" s="24">
        <f t="shared" si="14"/>
        <v>1</v>
      </c>
      <c r="R44" s="715">
        <f t="shared" si="15"/>
        <v>0</v>
      </c>
      <c r="S44" s="361">
        <f t="shared" si="6"/>
        <v>0</v>
      </c>
    </row>
    <row r="45" spans="1:19">
      <c r="A45" s="159"/>
      <c r="B45" s="59"/>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c r="Q45" s="24">
        <f t="shared" si="14"/>
        <v>1</v>
      </c>
      <c r="R45" s="715">
        <f t="shared" si="15"/>
        <v>0</v>
      </c>
      <c r="S45" s="361">
        <f t="shared" si="6"/>
        <v>0</v>
      </c>
    </row>
    <row r="46" spans="1:19">
      <c r="A46" s="159"/>
      <c r="B46" s="59"/>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c r="Q46" s="24">
        <f t="shared" si="14"/>
        <v>1</v>
      </c>
      <c r="R46" s="715">
        <f t="shared" si="15"/>
        <v>0</v>
      </c>
      <c r="S46" s="361">
        <f t="shared" si="6"/>
        <v>0</v>
      </c>
    </row>
    <row r="47" spans="1:19">
      <c r="A47" s="159"/>
      <c r="B47" s="59"/>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c r="Q47" s="24">
        <f t="shared" si="14"/>
        <v>1</v>
      </c>
      <c r="R47" s="715">
        <f t="shared" si="15"/>
        <v>0</v>
      </c>
      <c r="S47" s="361">
        <f t="shared" si="6"/>
        <v>0</v>
      </c>
    </row>
    <row r="48" spans="1:19">
      <c r="A48" s="159"/>
      <c r="B48" s="59"/>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1</v>
      </c>
      <c r="R48" s="715">
        <f t="shared" si="15"/>
        <v>0</v>
      </c>
      <c r="S48" s="361">
        <f t="shared" si="6"/>
        <v>0</v>
      </c>
    </row>
    <row r="49" spans="1:19">
      <c r="A49" s="159"/>
      <c r="B49" s="59"/>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1</v>
      </c>
      <c r="R49" s="715">
        <f t="shared" si="15"/>
        <v>0</v>
      </c>
      <c r="S49" s="361">
        <f t="shared" si="6"/>
        <v>0</v>
      </c>
    </row>
    <row r="50" spans="1:19">
      <c r="A50" s="159"/>
      <c r="B50" s="59"/>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1</v>
      </c>
      <c r="R50" s="715">
        <f t="shared" si="15"/>
        <v>0</v>
      </c>
      <c r="S50" s="361">
        <f t="shared" si="6"/>
        <v>0</v>
      </c>
    </row>
    <row r="51" spans="1:19">
      <c r="A51" s="159"/>
      <c r="B51" s="59"/>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1</v>
      </c>
      <c r="R51" s="715">
        <f t="shared" si="15"/>
        <v>0</v>
      </c>
      <c r="S51" s="361">
        <f t="shared" si="6"/>
        <v>0</v>
      </c>
    </row>
    <row r="52" spans="1:19">
      <c r="A52" s="159"/>
      <c r="B52" s="59"/>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1</v>
      </c>
      <c r="R52" s="715">
        <f t="shared" si="15"/>
        <v>0</v>
      </c>
      <c r="S52" s="361">
        <f t="shared" si="6"/>
        <v>0</v>
      </c>
    </row>
    <row r="53" spans="1:19">
      <c r="A53" s="159"/>
      <c r="B53" s="59"/>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1</v>
      </c>
      <c r="R53" s="715">
        <f t="shared" si="15"/>
        <v>0</v>
      </c>
      <c r="S53" s="361">
        <f t="shared" si="6"/>
        <v>0</v>
      </c>
    </row>
    <row r="54" spans="1:19">
      <c r="A54" s="159"/>
      <c r="B54" s="59"/>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1</v>
      </c>
      <c r="R54" s="715">
        <f t="shared" si="15"/>
        <v>0</v>
      </c>
      <c r="S54" s="361">
        <f t="shared" si="6"/>
        <v>0</v>
      </c>
    </row>
    <row r="55" spans="1:19">
      <c r="A55" s="159"/>
      <c r="B55" s="59"/>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1</v>
      </c>
      <c r="R55" s="715">
        <f t="shared" si="15"/>
        <v>0</v>
      </c>
      <c r="S55" s="361">
        <f t="shared" ref="S55:S77" si="16">ROUND(R55*B55/10000,0)</f>
        <v>0</v>
      </c>
    </row>
    <row r="56" spans="1:19">
      <c r="A56" s="159"/>
      <c r="B56" s="59"/>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1</v>
      </c>
      <c r="R56" s="715">
        <f t="shared" si="15"/>
        <v>0</v>
      </c>
      <c r="S56" s="361">
        <f t="shared" si="16"/>
        <v>0</v>
      </c>
    </row>
    <row r="57" spans="1:19">
      <c r="A57" s="159"/>
      <c r="B57" s="59"/>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1</v>
      </c>
      <c r="R57" s="715">
        <f t="shared" si="15"/>
        <v>0</v>
      </c>
      <c r="S57" s="361">
        <f t="shared" si="16"/>
        <v>0</v>
      </c>
    </row>
    <row r="58" spans="1:19">
      <c r="A58" s="159"/>
      <c r="B58" s="59"/>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1</v>
      </c>
      <c r="R58" s="715">
        <f t="shared" si="15"/>
        <v>0</v>
      </c>
      <c r="S58" s="361">
        <f t="shared" si="16"/>
        <v>0</v>
      </c>
    </row>
    <row r="59" spans="1:19">
      <c r="A59" s="159"/>
      <c r="B59" s="59"/>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1</v>
      </c>
      <c r="R59" s="715">
        <f t="shared" si="15"/>
        <v>0</v>
      </c>
      <c r="S59" s="361">
        <f t="shared" si="16"/>
        <v>0</v>
      </c>
    </row>
    <row r="60" spans="1:19">
      <c r="A60" s="159"/>
      <c r="B60" s="59"/>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1</v>
      </c>
      <c r="R60" s="715">
        <f t="shared" si="15"/>
        <v>0</v>
      </c>
      <c r="S60" s="361">
        <f t="shared" si="16"/>
        <v>0</v>
      </c>
    </row>
    <row r="61" spans="1:19">
      <c r="A61" s="159"/>
      <c r="B61" s="59"/>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1</v>
      </c>
      <c r="R61" s="715">
        <f t="shared" si="15"/>
        <v>0</v>
      </c>
      <c r="S61" s="361">
        <f t="shared" si="16"/>
        <v>0</v>
      </c>
    </row>
    <row r="62" spans="1:19">
      <c r="A62" s="159"/>
      <c r="B62" s="59"/>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1</v>
      </c>
      <c r="R62" s="715">
        <f t="shared" si="15"/>
        <v>0</v>
      </c>
      <c r="S62" s="361">
        <f t="shared" si="16"/>
        <v>0</v>
      </c>
    </row>
    <row r="63" spans="1:19">
      <c r="A63" s="159"/>
      <c r="B63" s="59"/>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1</v>
      </c>
      <c r="R63" s="715">
        <f t="shared" si="15"/>
        <v>0</v>
      </c>
      <c r="S63" s="361">
        <f t="shared" si="16"/>
        <v>0</v>
      </c>
    </row>
    <row r="64" spans="1:19">
      <c r="A64" s="159"/>
      <c r="B64" s="59"/>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1</v>
      </c>
      <c r="R64" s="715">
        <f t="shared" si="15"/>
        <v>0</v>
      </c>
      <c r="S64" s="361">
        <f t="shared" si="16"/>
        <v>0</v>
      </c>
    </row>
    <row r="65" spans="1:19">
      <c r="A65" s="159"/>
      <c r="B65" s="59"/>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1</v>
      </c>
      <c r="R65" s="715">
        <f t="shared" si="15"/>
        <v>0</v>
      </c>
      <c r="S65" s="361">
        <f t="shared" si="16"/>
        <v>0</v>
      </c>
    </row>
    <row r="66" spans="1:19">
      <c r="A66" s="159"/>
      <c r="B66" s="59"/>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1</v>
      </c>
      <c r="R66" s="715">
        <f t="shared" si="15"/>
        <v>0</v>
      </c>
      <c r="S66" s="361">
        <f t="shared" si="16"/>
        <v>0</v>
      </c>
    </row>
    <row r="67" spans="1:19">
      <c r="A67" s="159"/>
      <c r="B67" s="59"/>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1</v>
      </c>
      <c r="R67" s="715">
        <f t="shared" si="15"/>
        <v>0</v>
      </c>
      <c r="S67" s="361">
        <f t="shared" si="16"/>
        <v>0</v>
      </c>
    </row>
    <row r="68" spans="1:19">
      <c r="A68" s="159"/>
      <c r="B68" s="59"/>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1</v>
      </c>
      <c r="R68" s="715">
        <f t="shared" si="15"/>
        <v>0</v>
      </c>
      <c r="S68" s="361">
        <f t="shared" si="16"/>
        <v>0</v>
      </c>
    </row>
    <row r="69" spans="1:19">
      <c r="A69" s="159"/>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1</v>
      </c>
      <c r="R69" s="715">
        <f t="shared" si="15"/>
        <v>0</v>
      </c>
      <c r="S69" s="361">
        <f t="shared" si="16"/>
        <v>0</v>
      </c>
    </row>
    <row r="70" spans="1:19">
      <c r="A70" s="159"/>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1</v>
      </c>
      <c r="R70" s="715">
        <f t="shared" si="15"/>
        <v>0</v>
      </c>
      <c r="S70" s="361">
        <f t="shared" si="16"/>
        <v>0</v>
      </c>
    </row>
    <row r="71" spans="1:19">
      <c r="A71" s="159"/>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1</v>
      </c>
      <c r="R71" s="715">
        <f t="shared" si="15"/>
        <v>0</v>
      </c>
      <c r="S71" s="361">
        <f t="shared" si="16"/>
        <v>0</v>
      </c>
    </row>
    <row r="72" spans="1:19">
      <c r="A72" s="159"/>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1</v>
      </c>
      <c r="R72" s="715">
        <f t="shared" si="15"/>
        <v>0</v>
      </c>
      <c r="S72" s="361">
        <f t="shared" si="16"/>
        <v>0</v>
      </c>
    </row>
    <row r="73" spans="1:19">
      <c r="A73" s="159"/>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1</v>
      </c>
      <c r="R73" s="715">
        <f t="shared" si="15"/>
        <v>0</v>
      </c>
      <c r="S73" s="361">
        <f t="shared" si="16"/>
        <v>0</v>
      </c>
    </row>
    <row r="74" spans="1:19">
      <c r="A74" s="159"/>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1</v>
      </c>
      <c r="R74" s="715">
        <f t="shared" si="15"/>
        <v>0</v>
      </c>
      <c r="S74" s="361">
        <f t="shared" si="16"/>
        <v>0</v>
      </c>
    </row>
    <row r="75" spans="1:19">
      <c r="A75" s="159"/>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1</v>
      </c>
      <c r="R75" s="715">
        <f t="shared" si="15"/>
        <v>0</v>
      </c>
      <c r="S75" s="361">
        <f t="shared" si="16"/>
        <v>0</v>
      </c>
    </row>
    <row r="76" spans="1:19">
      <c r="A76" s="159"/>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1</v>
      </c>
      <c r="R76" s="715">
        <f t="shared" si="15"/>
        <v>0</v>
      </c>
      <c r="S76" s="361">
        <f t="shared" si="16"/>
        <v>0</v>
      </c>
    </row>
    <row r="77" spans="1:19">
      <c r="A77" s="159"/>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1</v>
      </c>
      <c r="R77" s="715">
        <f t="shared" si="15"/>
        <v>0</v>
      </c>
      <c r="S77" s="361">
        <f t="shared" si="16"/>
        <v>0</v>
      </c>
    </row>
    <row r="78" spans="1:19">
      <c r="A78" s="159"/>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1</v>
      </c>
      <c r="R78" s="715">
        <f t="shared" si="15"/>
        <v>0</v>
      </c>
      <c r="S78" s="361">
        <f t="shared" ref="S78:S122" si="17">ROUND(R78*B78/10000,0)</f>
        <v>0</v>
      </c>
    </row>
    <row r="79" spans="1:19">
      <c r="A79" s="159"/>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1</v>
      </c>
      <c r="R79" s="715">
        <f t="shared" si="15"/>
        <v>0</v>
      </c>
      <c r="S79" s="361">
        <f t="shared" si="17"/>
        <v>0</v>
      </c>
    </row>
    <row r="80" spans="1:19">
      <c r="A80" s="159"/>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1</v>
      </c>
      <c r="R80" s="715">
        <f t="shared" si="15"/>
        <v>0</v>
      </c>
      <c r="S80" s="361">
        <f t="shared" si="17"/>
        <v>0</v>
      </c>
    </row>
    <row r="81" spans="1:19">
      <c r="A81" s="159"/>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1</v>
      </c>
      <c r="R81" s="715">
        <f t="shared" si="15"/>
        <v>0</v>
      </c>
      <c r="S81" s="361">
        <f t="shared" si="17"/>
        <v>0</v>
      </c>
    </row>
    <row r="82" spans="1:19">
      <c r="A82" s="159"/>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1</v>
      </c>
      <c r="R82" s="715">
        <f t="shared" si="15"/>
        <v>0</v>
      </c>
      <c r="S82" s="361">
        <f t="shared" si="17"/>
        <v>0</v>
      </c>
    </row>
    <row r="83" spans="1:19">
      <c r="A83" s="159"/>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1</v>
      </c>
      <c r="R83" s="715">
        <f t="shared" si="15"/>
        <v>0</v>
      </c>
      <c r="S83" s="361">
        <f t="shared" si="17"/>
        <v>0</v>
      </c>
    </row>
    <row r="84" spans="1:19">
      <c r="A84" s="159"/>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1</v>
      </c>
      <c r="R84" s="715">
        <f t="shared" si="15"/>
        <v>0</v>
      </c>
      <c r="S84" s="361">
        <f t="shared" si="17"/>
        <v>0</v>
      </c>
    </row>
    <row r="85" spans="1:19">
      <c r="A85" s="159"/>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1</v>
      </c>
      <c r="R85" s="715">
        <f t="shared" si="15"/>
        <v>0</v>
      </c>
      <c r="S85" s="361">
        <f t="shared" si="17"/>
        <v>0</v>
      </c>
    </row>
    <row r="86" spans="1:19">
      <c r="A86" s="159"/>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1</v>
      </c>
      <c r="R86" s="715">
        <f t="shared" si="15"/>
        <v>0</v>
      </c>
      <c r="S86" s="361">
        <f t="shared" si="17"/>
        <v>0</v>
      </c>
    </row>
    <row r="87" spans="1:19">
      <c r="A87" s="159"/>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1</v>
      </c>
      <c r="R87" s="715">
        <f t="shared" si="15"/>
        <v>0</v>
      </c>
      <c r="S87" s="361">
        <f t="shared" si="17"/>
        <v>0</v>
      </c>
    </row>
    <row r="88" spans="1:19">
      <c r="A88" s="159"/>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1</v>
      </c>
      <c r="R88" s="715">
        <f t="shared" si="15"/>
        <v>0</v>
      </c>
      <c r="S88" s="361">
        <f t="shared" si="17"/>
        <v>0</v>
      </c>
    </row>
    <row r="89" spans="1:19">
      <c r="A89" s="159"/>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1</v>
      </c>
      <c r="R89" s="715">
        <f t="shared" si="15"/>
        <v>0</v>
      </c>
      <c r="S89" s="361">
        <f t="shared" si="17"/>
        <v>0</v>
      </c>
    </row>
    <row r="90" spans="1:19">
      <c r="A90" s="159"/>
      <c r="B90" s="59"/>
      <c r="C90" s="24">
        <f t="shared" ref="C90:C153" si="18">IF(B90="",1,(LOOKUP(B90,$3:$3,$4:$4)-LOOKUP($B$24,$3:$3,$4:$4)+100)/100)</f>
        <v>1</v>
      </c>
      <c r="D90" s="719"/>
      <c r="E90" s="24">
        <f t="shared" ref="E90:E153" si="19">(SUMIF($5:$5,D90,$6:$6)-SUMIF($5:$5,$D$24,$6:$6)+100)/100</f>
        <v>1</v>
      </c>
      <c r="F90" s="719"/>
      <c r="G90" s="24">
        <f t="shared" ref="G90:G153" si="20">(SUMIF($7:$7,F90,$8:$8)-SUMIF($7:$7,$F$24,$8:$8)+100)/100</f>
        <v>1</v>
      </c>
      <c r="H90" s="719"/>
      <c r="I90" s="24">
        <f t="shared" ref="I90:I153" si="21">(SUMIF($9:$9,H90,$10:$10)-SUMIF($9:$9,$H$24,$10:$10)+100)/100</f>
        <v>1</v>
      </c>
      <c r="J90" s="719"/>
      <c r="K90" s="24">
        <f t="shared" ref="K90:K153" si="22">(SUMIF($11:$11,J90,$12:$12)-SUMIF($11:$11,$J$24,$12:$12)+100)/100</f>
        <v>1</v>
      </c>
      <c r="L90" s="719"/>
      <c r="M90" s="24">
        <f t="shared" ref="M90:M153" si="23">(SUMIF($13:$13,L90,$14:$14)-SUMIF($13:$13,$L$24,$14:$14)+100)/100</f>
        <v>1</v>
      </c>
      <c r="N90" s="719"/>
      <c r="O90" s="24">
        <f t="shared" ref="O90:O153" si="24">(SUMIF($15:$15,N90,$16:$16)-SUMIF($15:$15,$N$24,$16:$16)+100)/100</f>
        <v>1</v>
      </c>
      <c r="P90" s="719"/>
      <c r="Q90" s="24">
        <f t="shared" ref="Q90:Q153" si="25">(SUMIF($17:$17,P90,$18:$18)-SUMIF($17:$17,$P$24,$18:$18)+100)/100</f>
        <v>1</v>
      </c>
      <c r="R90" s="715">
        <f t="shared" ref="R90:R153" si="26">IF(B90="",0,ROUND($R$24*C90*E90*G90*I90*K90*M90*O90*Q90,0))</f>
        <v>0</v>
      </c>
      <c r="S90" s="361">
        <f t="shared" si="17"/>
        <v>0</v>
      </c>
    </row>
    <row r="91" spans="1:19">
      <c r="A91" s="159"/>
      <c r="B91" s="59"/>
      <c r="C91" s="24">
        <f t="shared" si="18"/>
        <v>1</v>
      </c>
      <c r="D91" s="719"/>
      <c r="E91" s="24">
        <f t="shared" si="19"/>
        <v>1</v>
      </c>
      <c r="F91" s="719"/>
      <c r="G91" s="24">
        <f t="shared" si="20"/>
        <v>1</v>
      </c>
      <c r="H91" s="719"/>
      <c r="I91" s="24">
        <f t="shared" si="21"/>
        <v>1</v>
      </c>
      <c r="J91" s="719"/>
      <c r="K91" s="24">
        <f t="shared" si="22"/>
        <v>1</v>
      </c>
      <c r="L91" s="719"/>
      <c r="M91" s="24">
        <f t="shared" si="23"/>
        <v>1</v>
      </c>
      <c r="N91" s="719"/>
      <c r="O91" s="24">
        <f t="shared" si="24"/>
        <v>1</v>
      </c>
      <c r="P91" s="719"/>
      <c r="Q91" s="24">
        <f t="shared" si="25"/>
        <v>1</v>
      </c>
      <c r="R91" s="715">
        <f t="shared" si="26"/>
        <v>0</v>
      </c>
      <c r="S91" s="361">
        <f t="shared" si="17"/>
        <v>0</v>
      </c>
    </row>
    <row r="92" spans="1:19">
      <c r="A92" s="159"/>
      <c r="B92" s="59"/>
      <c r="C92" s="24">
        <f t="shared" si="18"/>
        <v>1</v>
      </c>
      <c r="D92" s="719"/>
      <c r="E92" s="24">
        <f t="shared" si="19"/>
        <v>1</v>
      </c>
      <c r="F92" s="719"/>
      <c r="G92" s="24">
        <f t="shared" si="20"/>
        <v>1</v>
      </c>
      <c r="H92" s="719"/>
      <c r="I92" s="24">
        <f t="shared" si="21"/>
        <v>1</v>
      </c>
      <c r="J92" s="719"/>
      <c r="K92" s="24">
        <f t="shared" si="22"/>
        <v>1</v>
      </c>
      <c r="L92" s="719"/>
      <c r="M92" s="24">
        <f t="shared" si="23"/>
        <v>1</v>
      </c>
      <c r="N92" s="719"/>
      <c r="O92" s="24">
        <f t="shared" si="24"/>
        <v>1</v>
      </c>
      <c r="P92" s="719"/>
      <c r="Q92" s="24">
        <f t="shared" si="25"/>
        <v>1</v>
      </c>
      <c r="R92" s="715">
        <f t="shared" si="26"/>
        <v>0</v>
      </c>
      <c r="S92" s="361">
        <f t="shared" si="17"/>
        <v>0</v>
      </c>
    </row>
    <row r="93" spans="1:19">
      <c r="A93" s="159"/>
      <c r="B93" s="59"/>
      <c r="C93" s="24">
        <f t="shared" si="18"/>
        <v>1</v>
      </c>
      <c r="D93" s="719"/>
      <c r="E93" s="24">
        <f t="shared" si="19"/>
        <v>1</v>
      </c>
      <c r="F93" s="719"/>
      <c r="G93" s="24">
        <f t="shared" si="20"/>
        <v>1</v>
      </c>
      <c r="H93" s="719"/>
      <c r="I93" s="24">
        <f t="shared" si="21"/>
        <v>1</v>
      </c>
      <c r="J93" s="719"/>
      <c r="K93" s="24">
        <f t="shared" si="22"/>
        <v>1</v>
      </c>
      <c r="L93" s="719"/>
      <c r="M93" s="24">
        <f t="shared" si="23"/>
        <v>1</v>
      </c>
      <c r="N93" s="719"/>
      <c r="O93" s="24">
        <f t="shared" si="24"/>
        <v>1</v>
      </c>
      <c r="P93" s="719"/>
      <c r="Q93" s="24">
        <f t="shared" si="25"/>
        <v>1</v>
      </c>
      <c r="R93" s="715">
        <f t="shared" si="26"/>
        <v>0</v>
      </c>
      <c r="S93" s="361">
        <f t="shared" si="17"/>
        <v>0</v>
      </c>
    </row>
    <row r="94" spans="1:19">
      <c r="A94" s="159"/>
      <c r="B94" s="59"/>
      <c r="C94" s="24">
        <f t="shared" si="18"/>
        <v>1</v>
      </c>
      <c r="D94" s="719"/>
      <c r="E94" s="24">
        <f t="shared" si="19"/>
        <v>1</v>
      </c>
      <c r="F94" s="719"/>
      <c r="G94" s="24">
        <f t="shared" si="20"/>
        <v>1</v>
      </c>
      <c r="H94" s="719"/>
      <c r="I94" s="24">
        <f t="shared" si="21"/>
        <v>1</v>
      </c>
      <c r="J94" s="719"/>
      <c r="K94" s="24">
        <f t="shared" si="22"/>
        <v>1</v>
      </c>
      <c r="L94" s="719"/>
      <c r="M94" s="24">
        <f t="shared" si="23"/>
        <v>1</v>
      </c>
      <c r="N94" s="719"/>
      <c r="O94" s="24">
        <f t="shared" si="24"/>
        <v>1</v>
      </c>
      <c r="P94" s="719"/>
      <c r="Q94" s="24">
        <f t="shared" si="25"/>
        <v>1</v>
      </c>
      <c r="R94" s="715">
        <f t="shared" si="26"/>
        <v>0</v>
      </c>
      <c r="S94" s="361">
        <f t="shared" si="17"/>
        <v>0</v>
      </c>
    </row>
    <row r="95" spans="1:19">
      <c r="A95" s="159"/>
      <c r="B95" s="59"/>
      <c r="C95" s="24">
        <f t="shared" si="18"/>
        <v>1</v>
      </c>
      <c r="D95" s="719"/>
      <c r="E95" s="24">
        <f t="shared" si="19"/>
        <v>1</v>
      </c>
      <c r="F95" s="719"/>
      <c r="G95" s="24">
        <f t="shared" si="20"/>
        <v>1</v>
      </c>
      <c r="H95" s="719"/>
      <c r="I95" s="24">
        <f t="shared" si="21"/>
        <v>1</v>
      </c>
      <c r="J95" s="719"/>
      <c r="K95" s="24">
        <f t="shared" si="22"/>
        <v>1</v>
      </c>
      <c r="L95" s="719"/>
      <c r="M95" s="24">
        <f t="shared" si="23"/>
        <v>1</v>
      </c>
      <c r="N95" s="719"/>
      <c r="O95" s="24">
        <f t="shared" si="24"/>
        <v>1</v>
      </c>
      <c r="P95" s="719"/>
      <c r="Q95" s="24">
        <f t="shared" si="25"/>
        <v>1</v>
      </c>
      <c r="R95" s="715">
        <f t="shared" si="26"/>
        <v>0</v>
      </c>
      <c r="S95" s="361">
        <f t="shared" si="17"/>
        <v>0</v>
      </c>
    </row>
    <row r="96" spans="1:19">
      <c r="A96" s="159"/>
      <c r="B96" s="59"/>
      <c r="C96" s="24">
        <f t="shared" si="18"/>
        <v>1</v>
      </c>
      <c r="D96" s="719"/>
      <c r="E96" s="24">
        <f t="shared" si="19"/>
        <v>1</v>
      </c>
      <c r="F96" s="719"/>
      <c r="G96" s="24">
        <f t="shared" si="20"/>
        <v>1</v>
      </c>
      <c r="H96" s="719"/>
      <c r="I96" s="24">
        <f t="shared" si="21"/>
        <v>1</v>
      </c>
      <c r="J96" s="719"/>
      <c r="K96" s="24">
        <f t="shared" si="22"/>
        <v>1</v>
      </c>
      <c r="L96" s="719"/>
      <c r="M96" s="24">
        <f t="shared" si="23"/>
        <v>1</v>
      </c>
      <c r="N96" s="719"/>
      <c r="O96" s="24">
        <f t="shared" si="24"/>
        <v>1</v>
      </c>
      <c r="P96" s="719"/>
      <c r="Q96" s="24">
        <f t="shared" si="25"/>
        <v>1</v>
      </c>
      <c r="R96" s="715">
        <f t="shared" si="26"/>
        <v>0</v>
      </c>
      <c r="S96" s="361">
        <f t="shared" si="17"/>
        <v>0</v>
      </c>
    </row>
    <row r="97" spans="1:19">
      <c r="A97" s="159"/>
      <c r="B97" s="59"/>
      <c r="C97" s="24">
        <f t="shared" si="18"/>
        <v>1</v>
      </c>
      <c r="D97" s="719"/>
      <c r="E97" s="24">
        <f t="shared" si="19"/>
        <v>1</v>
      </c>
      <c r="F97" s="719"/>
      <c r="G97" s="24">
        <f t="shared" si="20"/>
        <v>1</v>
      </c>
      <c r="H97" s="719"/>
      <c r="I97" s="24">
        <f t="shared" si="21"/>
        <v>1</v>
      </c>
      <c r="J97" s="719"/>
      <c r="K97" s="24">
        <f t="shared" si="22"/>
        <v>1</v>
      </c>
      <c r="L97" s="719"/>
      <c r="M97" s="24">
        <f t="shared" si="23"/>
        <v>1</v>
      </c>
      <c r="N97" s="719"/>
      <c r="O97" s="24">
        <f t="shared" si="24"/>
        <v>1</v>
      </c>
      <c r="P97" s="719"/>
      <c r="Q97" s="24">
        <f t="shared" si="25"/>
        <v>1</v>
      </c>
      <c r="R97" s="715">
        <f t="shared" si="26"/>
        <v>0</v>
      </c>
      <c r="S97" s="361">
        <f t="shared" si="17"/>
        <v>0</v>
      </c>
    </row>
    <row r="98" spans="1:19">
      <c r="A98" s="159"/>
      <c r="B98" s="59"/>
      <c r="C98" s="24">
        <f t="shared" si="18"/>
        <v>1</v>
      </c>
      <c r="D98" s="719"/>
      <c r="E98" s="24">
        <f t="shared" si="19"/>
        <v>1</v>
      </c>
      <c r="F98" s="719"/>
      <c r="G98" s="24">
        <f t="shared" si="20"/>
        <v>1</v>
      </c>
      <c r="H98" s="719"/>
      <c r="I98" s="24">
        <f t="shared" si="21"/>
        <v>1</v>
      </c>
      <c r="J98" s="719"/>
      <c r="K98" s="24">
        <f t="shared" si="22"/>
        <v>1</v>
      </c>
      <c r="L98" s="719"/>
      <c r="M98" s="24">
        <f t="shared" si="23"/>
        <v>1</v>
      </c>
      <c r="N98" s="719"/>
      <c r="O98" s="24">
        <f t="shared" si="24"/>
        <v>1</v>
      </c>
      <c r="P98" s="719"/>
      <c r="Q98" s="24">
        <f t="shared" si="25"/>
        <v>1</v>
      </c>
      <c r="R98" s="715">
        <f t="shared" si="26"/>
        <v>0</v>
      </c>
      <c r="S98" s="361">
        <f t="shared" si="17"/>
        <v>0</v>
      </c>
    </row>
    <row r="99" spans="1:19">
      <c r="A99" s="159"/>
      <c r="B99" s="59"/>
      <c r="C99" s="24">
        <f t="shared" si="18"/>
        <v>1</v>
      </c>
      <c r="D99" s="719"/>
      <c r="E99" s="24">
        <f t="shared" si="19"/>
        <v>1</v>
      </c>
      <c r="F99" s="719"/>
      <c r="G99" s="24">
        <f t="shared" si="20"/>
        <v>1</v>
      </c>
      <c r="H99" s="719"/>
      <c r="I99" s="24">
        <f t="shared" si="21"/>
        <v>1</v>
      </c>
      <c r="J99" s="719"/>
      <c r="K99" s="24">
        <f t="shared" si="22"/>
        <v>1</v>
      </c>
      <c r="L99" s="719"/>
      <c r="M99" s="24">
        <f t="shared" si="23"/>
        <v>1</v>
      </c>
      <c r="N99" s="719"/>
      <c r="O99" s="24">
        <f t="shared" si="24"/>
        <v>1</v>
      </c>
      <c r="P99" s="719"/>
      <c r="Q99" s="24">
        <f t="shared" si="25"/>
        <v>1</v>
      </c>
      <c r="R99" s="715">
        <f t="shared" si="26"/>
        <v>0</v>
      </c>
      <c r="S99" s="361">
        <f t="shared" si="17"/>
        <v>0</v>
      </c>
    </row>
    <row r="100" spans="1:19">
      <c r="A100" s="159"/>
      <c r="B100" s="59"/>
      <c r="C100" s="24">
        <f t="shared" si="18"/>
        <v>1</v>
      </c>
      <c r="D100" s="719"/>
      <c r="E100" s="24">
        <f t="shared" si="19"/>
        <v>1</v>
      </c>
      <c r="F100" s="719"/>
      <c r="G100" s="24">
        <f t="shared" si="20"/>
        <v>1</v>
      </c>
      <c r="H100" s="719"/>
      <c r="I100" s="24">
        <f t="shared" si="21"/>
        <v>1</v>
      </c>
      <c r="J100" s="719"/>
      <c r="K100" s="24">
        <f t="shared" si="22"/>
        <v>1</v>
      </c>
      <c r="L100" s="719"/>
      <c r="M100" s="24">
        <f t="shared" si="23"/>
        <v>1</v>
      </c>
      <c r="N100" s="719"/>
      <c r="O100" s="24">
        <f t="shared" si="24"/>
        <v>1</v>
      </c>
      <c r="P100" s="719"/>
      <c r="Q100" s="24">
        <f t="shared" si="25"/>
        <v>1</v>
      </c>
      <c r="R100" s="715">
        <f t="shared" si="26"/>
        <v>0</v>
      </c>
      <c r="S100" s="361">
        <f t="shared" si="17"/>
        <v>0</v>
      </c>
    </row>
    <row r="101" spans="1:19">
      <c r="A101" s="159"/>
      <c r="B101" s="59"/>
      <c r="C101" s="24">
        <f t="shared" si="18"/>
        <v>1</v>
      </c>
      <c r="D101" s="719"/>
      <c r="E101" s="24">
        <f t="shared" si="19"/>
        <v>1</v>
      </c>
      <c r="F101" s="719"/>
      <c r="G101" s="24">
        <f t="shared" si="20"/>
        <v>1</v>
      </c>
      <c r="H101" s="719"/>
      <c r="I101" s="24">
        <f t="shared" si="21"/>
        <v>1</v>
      </c>
      <c r="J101" s="719"/>
      <c r="K101" s="24">
        <f t="shared" si="22"/>
        <v>1</v>
      </c>
      <c r="L101" s="719"/>
      <c r="M101" s="24">
        <f t="shared" si="23"/>
        <v>1</v>
      </c>
      <c r="N101" s="719"/>
      <c r="O101" s="24">
        <f t="shared" si="24"/>
        <v>1</v>
      </c>
      <c r="P101" s="719"/>
      <c r="Q101" s="24">
        <f t="shared" si="25"/>
        <v>1</v>
      </c>
      <c r="R101" s="715">
        <f t="shared" si="26"/>
        <v>0</v>
      </c>
      <c r="S101" s="361">
        <f t="shared" si="17"/>
        <v>0</v>
      </c>
    </row>
    <row r="102" spans="1:19">
      <c r="A102" s="159"/>
      <c r="B102" s="59"/>
      <c r="C102" s="24">
        <f t="shared" si="18"/>
        <v>1</v>
      </c>
      <c r="D102" s="719"/>
      <c r="E102" s="24">
        <f t="shared" si="19"/>
        <v>1</v>
      </c>
      <c r="F102" s="719"/>
      <c r="G102" s="24">
        <f t="shared" si="20"/>
        <v>1</v>
      </c>
      <c r="H102" s="719"/>
      <c r="I102" s="24">
        <f t="shared" si="21"/>
        <v>1</v>
      </c>
      <c r="J102" s="719"/>
      <c r="K102" s="24">
        <f t="shared" si="22"/>
        <v>1</v>
      </c>
      <c r="L102" s="719"/>
      <c r="M102" s="24">
        <f t="shared" si="23"/>
        <v>1</v>
      </c>
      <c r="N102" s="719"/>
      <c r="O102" s="24">
        <f t="shared" si="24"/>
        <v>1</v>
      </c>
      <c r="P102" s="719"/>
      <c r="Q102" s="24">
        <f t="shared" si="25"/>
        <v>1</v>
      </c>
      <c r="R102" s="715">
        <f t="shared" si="26"/>
        <v>0</v>
      </c>
      <c r="S102" s="361">
        <f t="shared" si="17"/>
        <v>0</v>
      </c>
    </row>
    <row r="103" spans="1:19">
      <c r="A103" s="159"/>
      <c r="B103" s="59"/>
      <c r="C103" s="24">
        <f t="shared" si="18"/>
        <v>1</v>
      </c>
      <c r="D103" s="719"/>
      <c r="E103" s="24">
        <f t="shared" si="19"/>
        <v>1</v>
      </c>
      <c r="F103" s="719"/>
      <c r="G103" s="24">
        <f t="shared" si="20"/>
        <v>1</v>
      </c>
      <c r="H103" s="719"/>
      <c r="I103" s="24">
        <f t="shared" si="21"/>
        <v>1</v>
      </c>
      <c r="J103" s="719"/>
      <c r="K103" s="24">
        <f t="shared" si="22"/>
        <v>1</v>
      </c>
      <c r="L103" s="719"/>
      <c r="M103" s="24">
        <f t="shared" si="23"/>
        <v>1</v>
      </c>
      <c r="N103" s="719"/>
      <c r="O103" s="24">
        <f t="shared" si="24"/>
        <v>1</v>
      </c>
      <c r="P103" s="719"/>
      <c r="Q103" s="24">
        <f t="shared" si="25"/>
        <v>1</v>
      </c>
      <c r="R103" s="715">
        <f t="shared" si="26"/>
        <v>0</v>
      </c>
      <c r="S103" s="361">
        <f t="shared" si="17"/>
        <v>0</v>
      </c>
    </row>
    <row r="104" spans="1:19">
      <c r="A104" s="159"/>
      <c r="B104" s="59"/>
      <c r="C104" s="24">
        <f t="shared" si="18"/>
        <v>1</v>
      </c>
      <c r="D104" s="719"/>
      <c r="E104" s="24">
        <f t="shared" si="19"/>
        <v>1</v>
      </c>
      <c r="F104" s="719"/>
      <c r="G104" s="24">
        <f t="shared" si="20"/>
        <v>1</v>
      </c>
      <c r="H104" s="719"/>
      <c r="I104" s="24">
        <f t="shared" si="21"/>
        <v>1</v>
      </c>
      <c r="J104" s="719"/>
      <c r="K104" s="24">
        <f t="shared" si="22"/>
        <v>1</v>
      </c>
      <c r="L104" s="719"/>
      <c r="M104" s="24">
        <f t="shared" si="23"/>
        <v>1</v>
      </c>
      <c r="N104" s="719"/>
      <c r="O104" s="24">
        <f t="shared" si="24"/>
        <v>1</v>
      </c>
      <c r="P104" s="719"/>
      <c r="Q104" s="24">
        <f t="shared" si="25"/>
        <v>1</v>
      </c>
      <c r="R104" s="715">
        <f t="shared" si="26"/>
        <v>0</v>
      </c>
      <c r="S104" s="361">
        <f t="shared" si="17"/>
        <v>0</v>
      </c>
    </row>
    <row r="105" spans="1:19">
      <c r="A105" s="159"/>
      <c r="B105" s="59"/>
      <c r="C105" s="24">
        <f t="shared" si="18"/>
        <v>1</v>
      </c>
      <c r="D105" s="719"/>
      <c r="E105" s="24">
        <f t="shared" si="19"/>
        <v>1</v>
      </c>
      <c r="F105" s="719"/>
      <c r="G105" s="24">
        <f t="shared" si="20"/>
        <v>1</v>
      </c>
      <c r="H105" s="719"/>
      <c r="I105" s="24">
        <f t="shared" si="21"/>
        <v>1</v>
      </c>
      <c r="J105" s="719"/>
      <c r="K105" s="24">
        <f t="shared" si="22"/>
        <v>1</v>
      </c>
      <c r="L105" s="719"/>
      <c r="M105" s="24">
        <f t="shared" si="23"/>
        <v>1</v>
      </c>
      <c r="N105" s="719"/>
      <c r="O105" s="24">
        <f t="shared" si="24"/>
        <v>1</v>
      </c>
      <c r="P105" s="719"/>
      <c r="Q105" s="24">
        <f t="shared" si="25"/>
        <v>1</v>
      </c>
      <c r="R105" s="715">
        <f t="shared" si="26"/>
        <v>0</v>
      </c>
      <c r="S105" s="361">
        <f t="shared" si="17"/>
        <v>0</v>
      </c>
    </row>
    <row r="106" spans="1:19">
      <c r="A106" s="159"/>
      <c r="B106" s="59"/>
      <c r="C106" s="24">
        <f t="shared" si="18"/>
        <v>1</v>
      </c>
      <c r="D106" s="719"/>
      <c r="E106" s="24">
        <f t="shared" si="19"/>
        <v>1</v>
      </c>
      <c r="F106" s="719"/>
      <c r="G106" s="24">
        <f t="shared" si="20"/>
        <v>1</v>
      </c>
      <c r="H106" s="719"/>
      <c r="I106" s="24">
        <f t="shared" si="21"/>
        <v>1</v>
      </c>
      <c r="J106" s="719"/>
      <c r="K106" s="24">
        <f t="shared" si="22"/>
        <v>1</v>
      </c>
      <c r="L106" s="719"/>
      <c r="M106" s="24">
        <f t="shared" si="23"/>
        <v>1</v>
      </c>
      <c r="N106" s="719"/>
      <c r="O106" s="24">
        <f t="shared" si="24"/>
        <v>1</v>
      </c>
      <c r="P106" s="719"/>
      <c r="Q106" s="24">
        <f t="shared" si="25"/>
        <v>1</v>
      </c>
      <c r="R106" s="715">
        <f t="shared" si="26"/>
        <v>0</v>
      </c>
      <c r="S106" s="361">
        <f t="shared" si="17"/>
        <v>0</v>
      </c>
    </row>
    <row r="107" spans="1:19">
      <c r="A107" s="159"/>
      <c r="B107" s="59"/>
      <c r="C107" s="24">
        <f t="shared" si="18"/>
        <v>1</v>
      </c>
      <c r="D107" s="719"/>
      <c r="E107" s="24">
        <f t="shared" si="19"/>
        <v>1</v>
      </c>
      <c r="F107" s="719"/>
      <c r="G107" s="24">
        <f t="shared" si="20"/>
        <v>1</v>
      </c>
      <c r="H107" s="719"/>
      <c r="I107" s="24">
        <f t="shared" si="21"/>
        <v>1</v>
      </c>
      <c r="J107" s="719"/>
      <c r="K107" s="24">
        <f t="shared" si="22"/>
        <v>1</v>
      </c>
      <c r="L107" s="719"/>
      <c r="M107" s="24">
        <f t="shared" si="23"/>
        <v>1</v>
      </c>
      <c r="N107" s="719"/>
      <c r="O107" s="24">
        <f t="shared" si="24"/>
        <v>1</v>
      </c>
      <c r="P107" s="719"/>
      <c r="Q107" s="24">
        <f t="shared" si="25"/>
        <v>1</v>
      </c>
      <c r="R107" s="715">
        <f t="shared" si="26"/>
        <v>0</v>
      </c>
      <c r="S107" s="361">
        <f t="shared" si="17"/>
        <v>0</v>
      </c>
    </row>
    <row r="108" spans="1:19">
      <c r="A108" s="159"/>
      <c r="B108" s="59"/>
      <c r="C108" s="24">
        <f t="shared" si="18"/>
        <v>1</v>
      </c>
      <c r="D108" s="719"/>
      <c r="E108" s="24">
        <f t="shared" si="19"/>
        <v>1</v>
      </c>
      <c r="F108" s="719"/>
      <c r="G108" s="24">
        <f t="shared" si="20"/>
        <v>1</v>
      </c>
      <c r="H108" s="719"/>
      <c r="I108" s="24">
        <f t="shared" si="21"/>
        <v>1</v>
      </c>
      <c r="J108" s="719"/>
      <c r="K108" s="24">
        <f t="shared" si="22"/>
        <v>1</v>
      </c>
      <c r="L108" s="719"/>
      <c r="M108" s="24">
        <f t="shared" si="23"/>
        <v>1</v>
      </c>
      <c r="N108" s="719"/>
      <c r="O108" s="24">
        <f t="shared" si="24"/>
        <v>1</v>
      </c>
      <c r="P108" s="719"/>
      <c r="Q108" s="24">
        <f t="shared" si="25"/>
        <v>1</v>
      </c>
      <c r="R108" s="715">
        <f t="shared" si="26"/>
        <v>0</v>
      </c>
      <c r="S108" s="361">
        <f t="shared" si="17"/>
        <v>0</v>
      </c>
    </row>
    <row r="109" spans="1:19">
      <c r="A109" s="159"/>
      <c r="B109" s="59"/>
      <c r="C109" s="24">
        <f t="shared" si="18"/>
        <v>1</v>
      </c>
      <c r="D109" s="719"/>
      <c r="E109" s="24">
        <f t="shared" si="19"/>
        <v>1</v>
      </c>
      <c r="F109" s="719"/>
      <c r="G109" s="24">
        <f t="shared" si="20"/>
        <v>1</v>
      </c>
      <c r="H109" s="719"/>
      <c r="I109" s="24">
        <f t="shared" si="21"/>
        <v>1</v>
      </c>
      <c r="J109" s="719"/>
      <c r="K109" s="24">
        <f t="shared" si="22"/>
        <v>1</v>
      </c>
      <c r="L109" s="719"/>
      <c r="M109" s="24">
        <f t="shared" si="23"/>
        <v>1</v>
      </c>
      <c r="N109" s="719"/>
      <c r="O109" s="24">
        <f t="shared" si="24"/>
        <v>1</v>
      </c>
      <c r="P109" s="719"/>
      <c r="Q109" s="24">
        <f t="shared" si="25"/>
        <v>1</v>
      </c>
      <c r="R109" s="715">
        <f t="shared" si="26"/>
        <v>0</v>
      </c>
      <c r="S109" s="361">
        <f t="shared" si="17"/>
        <v>0</v>
      </c>
    </row>
    <row r="110" spans="1:19">
      <c r="A110" s="159"/>
      <c r="B110" s="59"/>
      <c r="C110" s="24">
        <f t="shared" si="18"/>
        <v>1</v>
      </c>
      <c r="D110" s="719"/>
      <c r="E110" s="24">
        <f t="shared" si="19"/>
        <v>1</v>
      </c>
      <c r="F110" s="719"/>
      <c r="G110" s="24">
        <f t="shared" si="20"/>
        <v>1</v>
      </c>
      <c r="H110" s="719"/>
      <c r="I110" s="24">
        <f t="shared" si="21"/>
        <v>1</v>
      </c>
      <c r="J110" s="719"/>
      <c r="K110" s="24">
        <f t="shared" si="22"/>
        <v>1</v>
      </c>
      <c r="L110" s="719"/>
      <c r="M110" s="24">
        <f t="shared" si="23"/>
        <v>1</v>
      </c>
      <c r="N110" s="719"/>
      <c r="O110" s="24">
        <f t="shared" si="24"/>
        <v>1</v>
      </c>
      <c r="P110" s="719"/>
      <c r="Q110" s="24">
        <f t="shared" si="25"/>
        <v>1</v>
      </c>
      <c r="R110" s="715">
        <f t="shared" si="26"/>
        <v>0</v>
      </c>
      <c r="S110" s="361">
        <f t="shared" si="17"/>
        <v>0</v>
      </c>
    </row>
    <row r="111" spans="1:19">
      <c r="A111" s="159"/>
      <c r="B111" s="59"/>
      <c r="C111" s="24">
        <f t="shared" si="18"/>
        <v>1</v>
      </c>
      <c r="D111" s="719"/>
      <c r="E111" s="24">
        <f t="shared" si="19"/>
        <v>1</v>
      </c>
      <c r="F111" s="719"/>
      <c r="G111" s="24">
        <f t="shared" si="20"/>
        <v>1</v>
      </c>
      <c r="H111" s="719"/>
      <c r="I111" s="24">
        <f t="shared" si="21"/>
        <v>1</v>
      </c>
      <c r="J111" s="719"/>
      <c r="K111" s="24">
        <f t="shared" si="22"/>
        <v>1</v>
      </c>
      <c r="L111" s="719"/>
      <c r="M111" s="24">
        <f t="shared" si="23"/>
        <v>1</v>
      </c>
      <c r="N111" s="719"/>
      <c r="O111" s="24">
        <f t="shared" si="24"/>
        <v>1</v>
      </c>
      <c r="P111" s="719"/>
      <c r="Q111" s="24">
        <f t="shared" si="25"/>
        <v>1</v>
      </c>
      <c r="R111" s="715">
        <f t="shared" si="26"/>
        <v>0</v>
      </c>
      <c r="S111" s="361">
        <f t="shared" si="17"/>
        <v>0</v>
      </c>
    </row>
    <row r="112" spans="1:19">
      <c r="A112" s="159"/>
      <c r="B112" s="59"/>
      <c r="C112" s="24">
        <f t="shared" si="18"/>
        <v>1</v>
      </c>
      <c r="D112" s="719"/>
      <c r="E112" s="24">
        <f t="shared" si="19"/>
        <v>1</v>
      </c>
      <c r="F112" s="719"/>
      <c r="G112" s="24">
        <f t="shared" si="20"/>
        <v>1</v>
      </c>
      <c r="H112" s="719"/>
      <c r="I112" s="24">
        <f t="shared" si="21"/>
        <v>1</v>
      </c>
      <c r="J112" s="719"/>
      <c r="K112" s="24">
        <f t="shared" si="22"/>
        <v>1</v>
      </c>
      <c r="L112" s="719"/>
      <c r="M112" s="24">
        <f t="shared" si="23"/>
        <v>1</v>
      </c>
      <c r="N112" s="719"/>
      <c r="O112" s="24">
        <f t="shared" si="24"/>
        <v>1</v>
      </c>
      <c r="P112" s="719"/>
      <c r="Q112" s="24">
        <f t="shared" si="25"/>
        <v>1</v>
      </c>
      <c r="R112" s="715">
        <f t="shared" si="26"/>
        <v>0</v>
      </c>
      <c r="S112" s="361">
        <f t="shared" si="17"/>
        <v>0</v>
      </c>
    </row>
    <row r="113" spans="1:19">
      <c r="A113" s="159"/>
      <c r="B113" s="59"/>
      <c r="C113" s="24">
        <f t="shared" si="18"/>
        <v>1</v>
      </c>
      <c r="D113" s="719"/>
      <c r="E113" s="24">
        <f t="shared" si="19"/>
        <v>1</v>
      </c>
      <c r="F113" s="719"/>
      <c r="G113" s="24">
        <f t="shared" si="20"/>
        <v>1</v>
      </c>
      <c r="H113" s="719"/>
      <c r="I113" s="24">
        <f t="shared" si="21"/>
        <v>1</v>
      </c>
      <c r="J113" s="719"/>
      <c r="K113" s="24">
        <f t="shared" si="22"/>
        <v>1</v>
      </c>
      <c r="L113" s="719"/>
      <c r="M113" s="24">
        <f t="shared" si="23"/>
        <v>1</v>
      </c>
      <c r="N113" s="719"/>
      <c r="O113" s="24">
        <f t="shared" si="24"/>
        <v>1</v>
      </c>
      <c r="P113" s="719"/>
      <c r="Q113" s="24">
        <f t="shared" si="25"/>
        <v>1</v>
      </c>
      <c r="R113" s="715">
        <f t="shared" si="26"/>
        <v>0</v>
      </c>
      <c r="S113" s="361">
        <f t="shared" si="17"/>
        <v>0</v>
      </c>
    </row>
    <row r="114" spans="1:19">
      <c r="A114" s="159"/>
      <c r="B114" s="59"/>
      <c r="C114" s="24">
        <f t="shared" si="18"/>
        <v>1</v>
      </c>
      <c r="D114" s="719"/>
      <c r="E114" s="24">
        <f t="shared" si="19"/>
        <v>1</v>
      </c>
      <c r="F114" s="719"/>
      <c r="G114" s="24">
        <f t="shared" si="20"/>
        <v>1</v>
      </c>
      <c r="H114" s="719"/>
      <c r="I114" s="24">
        <f t="shared" si="21"/>
        <v>1</v>
      </c>
      <c r="J114" s="719"/>
      <c r="K114" s="24">
        <f t="shared" si="22"/>
        <v>1</v>
      </c>
      <c r="L114" s="719"/>
      <c r="M114" s="24">
        <f t="shared" si="23"/>
        <v>1</v>
      </c>
      <c r="N114" s="719"/>
      <c r="O114" s="24">
        <f t="shared" si="24"/>
        <v>1</v>
      </c>
      <c r="P114" s="719"/>
      <c r="Q114" s="24">
        <f t="shared" si="25"/>
        <v>1</v>
      </c>
      <c r="R114" s="715">
        <f t="shared" si="26"/>
        <v>0</v>
      </c>
      <c r="S114" s="361">
        <f t="shared" si="17"/>
        <v>0</v>
      </c>
    </row>
    <row r="115" spans="1:19">
      <c r="A115" s="159"/>
      <c r="B115" s="59"/>
      <c r="C115" s="24">
        <f t="shared" si="18"/>
        <v>1</v>
      </c>
      <c r="D115" s="719"/>
      <c r="E115" s="24">
        <f t="shared" si="19"/>
        <v>1</v>
      </c>
      <c r="F115" s="719"/>
      <c r="G115" s="24">
        <f t="shared" si="20"/>
        <v>1</v>
      </c>
      <c r="H115" s="719"/>
      <c r="I115" s="24">
        <f t="shared" si="21"/>
        <v>1</v>
      </c>
      <c r="J115" s="719"/>
      <c r="K115" s="24">
        <f t="shared" si="22"/>
        <v>1</v>
      </c>
      <c r="L115" s="719"/>
      <c r="M115" s="24">
        <f t="shared" si="23"/>
        <v>1</v>
      </c>
      <c r="N115" s="719"/>
      <c r="O115" s="24">
        <f t="shared" si="24"/>
        <v>1</v>
      </c>
      <c r="P115" s="719"/>
      <c r="Q115" s="24">
        <f t="shared" si="25"/>
        <v>1</v>
      </c>
      <c r="R115" s="715">
        <f t="shared" si="26"/>
        <v>0</v>
      </c>
      <c r="S115" s="361">
        <f t="shared" si="17"/>
        <v>0</v>
      </c>
    </row>
    <row r="116" spans="1:19">
      <c r="A116" s="159"/>
      <c r="B116" s="59"/>
      <c r="C116" s="24">
        <f t="shared" si="18"/>
        <v>1</v>
      </c>
      <c r="D116" s="719"/>
      <c r="E116" s="24">
        <f t="shared" si="19"/>
        <v>1</v>
      </c>
      <c r="F116" s="719"/>
      <c r="G116" s="24">
        <f t="shared" si="20"/>
        <v>1</v>
      </c>
      <c r="H116" s="719"/>
      <c r="I116" s="24">
        <f t="shared" si="21"/>
        <v>1</v>
      </c>
      <c r="J116" s="719"/>
      <c r="K116" s="24">
        <f t="shared" si="22"/>
        <v>1</v>
      </c>
      <c r="L116" s="719"/>
      <c r="M116" s="24">
        <f t="shared" si="23"/>
        <v>1</v>
      </c>
      <c r="N116" s="719"/>
      <c r="O116" s="24">
        <f t="shared" si="24"/>
        <v>1</v>
      </c>
      <c r="P116" s="719"/>
      <c r="Q116" s="24">
        <f t="shared" si="25"/>
        <v>1</v>
      </c>
      <c r="R116" s="715">
        <f t="shared" si="26"/>
        <v>0</v>
      </c>
      <c r="S116" s="361">
        <f t="shared" si="17"/>
        <v>0</v>
      </c>
    </row>
    <row r="117" spans="1:19">
      <c r="A117" s="159"/>
      <c r="B117" s="59"/>
      <c r="C117" s="24">
        <f t="shared" si="18"/>
        <v>1</v>
      </c>
      <c r="D117" s="719"/>
      <c r="E117" s="24">
        <f t="shared" si="19"/>
        <v>1</v>
      </c>
      <c r="F117" s="719"/>
      <c r="G117" s="24">
        <f t="shared" si="20"/>
        <v>1</v>
      </c>
      <c r="H117" s="719"/>
      <c r="I117" s="24">
        <f t="shared" si="21"/>
        <v>1</v>
      </c>
      <c r="J117" s="719"/>
      <c r="K117" s="24">
        <f t="shared" si="22"/>
        <v>1</v>
      </c>
      <c r="L117" s="719"/>
      <c r="M117" s="24">
        <f t="shared" si="23"/>
        <v>1</v>
      </c>
      <c r="N117" s="719"/>
      <c r="O117" s="24">
        <f t="shared" si="24"/>
        <v>1</v>
      </c>
      <c r="P117" s="719"/>
      <c r="Q117" s="24">
        <f t="shared" si="25"/>
        <v>1</v>
      </c>
      <c r="R117" s="715">
        <f t="shared" si="26"/>
        <v>0</v>
      </c>
      <c r="S117" s="361">
        <f t="shared" si="17"/>
        <v>0</v>
      </c>
    </row>
    <row r="118" spans="1:19">
      <c r="A118" s="159"/>
      <c r="B118" s="59"/>
      <c r="C118" s="24">
        <f t="shared" si="18"/>
        <v>1</v>
      </c>
      <c r="D118" s="719"/>
      <c r="E118" s="24">
        <f t="shared" si="19"/>
        <v>1</v>
      </c>
      <c r="F118" s="719"/>
      <c r="G118" s="24">
        <f t="shared" si="20"/>
        <v>1</v>
      </c>
      <c r="H118" s="719"/>
      <c r="I118" s="24">
        <f t="shared" si="21"/>
        <v>1</v>
      </c>
      <c r="J118" s="719"/>
      <c r="K118" s="24">
        <f t="shared" si="22"/>
        <v>1</v>
      </c>
      <c r="L118" s="719"/>
      <c r="M118" s="24">
        <f t="shared" si="23"/>
        <v>1</v>
      </c>
      <c r="N118" s="719"/>
      <c r="O118" s="24">
        <f t="shared" si="24"/>
        <v>1</v>
      </c>
      <c r="P118" s="719"/>
      <c r="Q118" s="24">
        <f t="shared" si="25"/>
        <v>1</v>
      </c>
      <c r="R118" s="715">
        <f t="shared" si="26"/>
        <v>0</v>
      </c>
      <c r="S118" s="361">
        <f t="shared" si="17"/>
        <v>0</v>
      </c>
    </row>
    <row r="119" spans="1:19">
      <c r="A119" s="159"/>
      <c r="B119" s="59"/>
      <c r="C119" s="24">
        <f t="shared" si="18"/>
        <v>1</v>
      </c>
      <c r="D119" s="719"/>
      <c r="E119" s="24">
        <f t="shared" si="19"/>
        <v>1</v>
      </c>
      <c r="F119" s="719"/>
      <c r="G119" s="24">
        <f t="shared" si="20"/>
        <v>1</v>
      </c>
      <c r="H119" s="719"/>
      <c r="I119" s="24">
        <f t="shared" si="21"/>
        <v>1</v>
      </c>
      <c r="J119" s="719"/>
      <c r="K119" s="24">
        <f t="shared" si="22"/>
        <v>1</v>
      </c>
      <c r="L119" s="719"/>
      <c r="M119" s="24">
        <f t="shared" si="23"/>
        <v>1</v>
      </c>
      <c r="N119" s="719"/>
      <c r="O119" s="24">
        <f t="shared" si="24"/>
        <v>1</v>
      </c>
      <c r="P119" s="719"/>
      <c r="Q119" s="24">
        <f t="shared" si="25"/>
        <v>1</v>
      </c>
      <c r="R119" s="715">
        <f t="shared" si="26"/>
        <v>0</v>
      </c>
      <c r="S119" s="361">
        <f t="shared" si="17"/>
        <v>0</v>
      </c>
    </row>
    <row r="120" spans="1:19">
      <c r="A120" s="159"/>
      <c r="B120" s="59"/>
      <c r="C120" s="24">
        <f t="shared" si="18"/>
        <v>1</v>
      </c>
      <c r="D120" s="719"/>
      <c r="E120" s="24">
        <f t="shared" si="19"/>
        <v>1</v>
      </c>
      <c r="F120" s="719"/>
      <c r="G120" s="24">
        <f t="shared" si="20"/>
        <v>1</v>
      </c>
      <c r="H120" s="719"/>
      <c r="I120" s="24">
        <f t="shared" si="21"/>
        <v>1</v>
      </c>
      <c r="J120" s="719"/>
      <c r="K120" s="24">
        <f t="shared" si="22"/>
        <v>1</v>
      </c>
      <c r="L120" s="719"/>
      <c r="M120" s="24">
        <f t="shared" si="23"/>
        <v>1</v>
      </c>
      <c r="N120" s="719"/>
      <c r="O120" s="24">
        <f t="shared" si="24"/>
        <v>1</v>
      </c>
      <c r="P120" s="719"/>
      <c r="Q120" s="24">
        <f t="shared" si="25"/>
        <v>1</v>
      </c>
      <c r="R120" s="715">
        <f t="shared" si="26"/>
        <v>0</v>
      </c>
      <c r="S120" s="361">
        <f t="shared" si="17"/>
        <v>0</v>
      </c>
    </row>
    <row r="121" spans="1:19">
      <c r="A121" s="159"/>
      <c r="B121" s="59"/>
      <c r="C121" s="24">
        <f t="shared" si="18"/>
        <v>1</v>
      </c>
      <c r="D121" s="719"/>
      <c r="E121" s="24">
        <f t="shared" si="19"/>
        <v>1</v>
      </c>
      <c r="F121" s="719"/>
      <c r="G121" s="24">
        <f t="shared" si="20"/>
        <v>1</v>
      </c>
      <c r="H121" s="719"/>
      <c r="I121" s="24">
        <f t="shared" si="21"/>
        <v>1</v>
      </c>
      <c r="J121" s="719"/>
      <c r="K121" s="24">
        <f t="shared" si="22"/>
        <v>1</v>
      </c>
      <c r="L121" s="719"/>
      <c r="M121" s="24">
        <f t="shared" si="23"/>
        <v>1</v>
      </c>
      <c r="N121" s="719"/>
      <c r="O121" s="24">
        <f t="shared" si="24"/>
        <v>1</v>
      </c>
      <c r="P121" s="719"/>
      <c r="Q121" s="24">
        <f t="shared" si="25"/>
        <v>1</v>
      </c>
      <c r="R121" s="715">
        <f t="shared" si="26"/>
        <v>0</v>
      </c>
      <c r="S121" s="361">
        <f t="shared" si="17"/>
        <v>0</v>
      </c>
    </row>
    <row r="122" spans="1:19">
      <c r="A122" s="159"/>
      <c r="B122" s="59"/>
      <c r="C122" s="24">
        <f t="shared" si="18"/>
        <v>1</v>
      </c>
      <c r="D122" s="719"/>
      <c r="E122" s="24">
        <f t="shared" si="19"/>
        <v>1</v>
      </c>
      <c r="F122" s="719"/>
      <c r="G122" s="24">
        <f t="shared" si="20"/>
        <v>1</v>
      </c>
      <c r="H122" s="719"/>
      <c r="I122" s="24">
        <f t="shared" si="21"/>
        <v>1</v>
      </c>
      <c r="J122" s="719"/>
      <c r="K122" s="24">
        <f t="shared" si="22"/>
        <v>1</v>
      </c>
      <c r="L122" s="719"/>
      <c r="M122" s="24">
        <f t="shared" si="23"/>
        <v>1</v>
      </c>
      <c r="N122" s="719"/>
      <c r="O122" s="24">
        <f t="shared" si="24"/>
        <v>1</v>
      </c>
      <c r="P122" s="719"/>
      <c r="Q122" s="24">
        <f t="shared" si="25"/>
        <v>1</v>
      </c>
      <c r="R122" s="715">
        <f t="shared" si="26"/>
        <v>0</v>
      </c>
      <c r="S122" s="361">
        <f t="shared" si="17"/>
        <v>0</v>
      </c>
    </row>
    <row r="123" spans="1:19">
      <c r="A123" s="159"/>
      <c r="B123" s="59"/>
      <c r="C123" s="24">
        <f t="shared" si="18"/>
        <v>1</v>
      </c>
      <c r="D123" s="719"/>
      <c r="E123" s="24">
        <f t="shared" si="19"/>
        <v>1</v>
      </c>
      <c r="F123" s="719"/>
      <c r="G123" s="24">
        <f t="shared" si="20"/>
        <v>1</v>
      </c>
      <c r="H123" s="719"/>
      <c r="I123" s="24">
        <f t="shared" si="21"/>
        <v>1</v>
      </c>
      <c r="J123" s="719"/>
      <c r="K123" s="24">
        <f t="shared" si="22"/>
        <v>1</v>
      </c>
      <c r="L123" s="719"/>
      <c r="M123" s="24">
        <f t="shared" si="23"/>
        <v>1</v>
      </c>
      <c r="N123" s="719"/>
      <c r="O123" s="24">
        <f t="shared" si="24"/>
        <v>1</v>
      </c>
      <c r="P123" s="719"/>
      <c r="Q123" s="24">
        <f t="shared" si="25"/>
        <v>1</v>
      </c>
      <c r="R123" s="715">
        <f t="shared" si="26"/>
        <v>0</v>
      </c>
      <c r="S123" s="361">
        <f t="shared" ref="S123:S186" si="27">ROUND(R123*B123/10000,0)</f>
        <v>0</v>
      </c>
    </row>
    <row r="124" spans="1:19">
      <c r="A124" s="159"/>
      <c r="B124" s="59"/>
      <c r="C124" s="24">
        <f t="shared" si="18"/>
        <v>1</v>
      </c>
      <c r="D124" s="719"/>
      <c r="E124" s="24">
        <f t="shared" si="19"/>
        <v>1</v>
      </c>
      <c r="F124" s="719"/>
      <c r="G124" s="24">
        <f t="shared" si="20"/>
        <v>1</v>
      </c>
      <c r="H124" s="719"/>
      <c r="I124" s="24">
        <f t="shared" si="21"/>
        <v>1</v>
      </c>
      <c r="J124" s="719"/>
      <c r="K124" s="24">
        <f t="shared" si="22"/>
        <v>1</v>
      </c>
      <c r="L124" s="719"/>
      <c r="M124" s="24">
        <f t="shared" si="23"/>
        <v>1</v>
      </c>
      <c r="N124" s="719"/>
      <c r="O124" s="24">
        <f t="shared" si="24"/>
        <v>1</v>
      </c>
      <c r="P124" s="719"/>
      <c r="Q124" s="24">
        <f t="shared" si="25"/>
        <v>1</v>
      </c>
      <c r="R124" s="715">
        <f t="shared" si="26"/>
        <v>0</v>
      </c>
      <c r="S124" s="361">
        <f t="shared" si="27"/>
        <v>0</v>
      </c>
    </row>
    <row r="125" spans="1:19">
      <c r="A125" s="159"/>
      <c r="B125" s="59"/>
      <c r="C125" s="24">
        <f t="shared" si="18"/>
        <v>1</v>
      </c>
      <c r="D125" s="719"/>
      <c r="E125" s="24">
        <f t="shared" si="19"/>
        <v>1</v>
      </c>
      <c r="F125" s="719"/>
      <c r="G125" s="24">
        <f t="shared" si="20"/>
        <v>1</v>
      </c>
      <c r="H125" s="719"/>
      <c r="I125" s="24">
        <f t="shared" si="21"/>
        <v>1</v>
      </c>
      <c r="J125" s="719"/>
      <c r="K125" s="24">
        <f t="shared" si="22"/>
        <v>1</v>
      </c>
      <c r="L125" s="719"/>
      <c r="M125" s="24">
        <f t="shared" si="23"/>
        <v>1</v>
      </c>
      <c r="N125" s="719"/>
      <c r="O125" s="24">
        <f t="shared" si="24"/>
        <v>1</v>
      </c>
      <c r="P125" s="719"/>
      <c r="Q125" s="24">
        <f t="shared" si="25"/>
        <v>1</v>
      </c>
      <c r="R125" s="715">
        <f t="shared" si="26"/>
        <v>0</v>
      </c>
      <c r="S125" s="361">
        <f t="shared" si="27"/>
        <v>0</v>
      </c>
    </row>
    <row r="126" spans="1:19">
      <c r="A126" s="159"/>
      <c r="B126" s="59"/>
      <c r="C126" s="24">
        <f t="shared" si="18"/>
        <v>1</v>
      </c>
      <c r="D126" s="719"/>
      <c r="E126" s="24">
        <f t="shared" si="19"/>
        <v>1</v>
      </c>
      <c r="F126" s="719"/>
      <c r="G126" s="24">
        <f t="shared" si="20"/>
        <v>1</v>
      </c>
      <c r="H126" s="719"/>
      <c r="I126" s="24">
        <f t="shared" si="21"/>
        <v>1</v>
      </c>
      <c r="J126" s="719"/>
      <c r="K126" s="24">
        <f t="shared" si="22"/>
        <v>1</v>
      </c>
      <c r="L126" s="719"/>
      <c r="M126" s="24">
        <f t="shared" si="23"/>
        <v>1</v>
      </c>
      <c r="N126" s="719"/>
      <c r="O126" s="24">
        <f t="shared" si="24"/>
        <v>1</v>
      </c>
      <c r="P126" s="719"/>
      <c r="Q126" s="24">
        <f t="shared" si="25"/>
        <v>1</v>
      </c>
      <c r="R126" s="715">
        <f t="shared" si="26"/>
        <v>0</v>
      </c>
      <c r="S126" s="361">
        <f t="shared" si="27"/>
        <v>0</v>
      </c>
    </row>
    <row r="127" spans="1:19">
      <c r="A127" s="159"/>
      <c r="B127" s="59"/>
      <c r="C127" s="24">
        <f t="shared" si="18"/>
        <v>1</v>
      </c>
      <c r="D127" s="719"/>
      <c r="E127" s="24">
        <f t="shared" si="19"/>
        <v>1</v>
      </c>
      <c r="F127" s="719"/>
      <c r="G127" s="24">
        <f t="shared" si="20"/>
        <v>1</v>
      </c>
      <c r="H127" s="719"/>
      <c r="I127" s="24">
        <f t="shared" si="21"/>
        <v>1</v>
      </c>
      <c r="J127" s="719"/>
      <c r="K127" s="24">
        <f t="shared" si="22"/>
        <v>1</v>
      </c>
      <c r="L127" s="719"/>
      <c r="M127" s="24">
        <f t="shared" si="23"/>
        <v>1</v>
      </c>
      <c r="N127" s="719"/>
      <c r="O127" s="24">
        <f t="shared" si="24"/>
        <v>1</v>
      </c>
      <c r="P127" s="719"/>
      <c r="Q127" s="24">
        <f t="shared" si="25"/>
        <v>1</v>
      </c>
      <c r="R127" s="715">
        <f t="shared" si="26"/>
        <v>0</v>
      </c>
      <c r="S127" s="361">
        <f t="shared" si="27"/>
        <v>0</v>
      </c>
    </row>
    <row r="128" spans="1:19">
      <c r="A128" s="159"/>
      <c r="B128" s="59"/>
      <c r="C128" s="24">
        <f t="shared" si="18"/>
        <v>1</v>
      </c>
      <c r="D128" s="719"/>
      <c r="E128" s="24">
        <f t="shared" si="19"/>
        <v>1</v>
      </c>
      <c r="F128" s="719"/>
      <c r="G128" s="24">
        <f t="shared" si="20"/>
        <v>1</v>
      </c>
      <c r="H128" s="719"/>
      <c r="I128" s="24">
        <f t="shared" si="21"/>
        <v>1</v>
      </c>
      <c r="J128" s="719"/>
      <c r="K128" s="24">
        <f t="shared" si="22"/>
        <v>1</v>
      </c>
      <c r="L128" s="719"/>
      <c r="M128" s="24">
        <f t="shared" si="23"/>
        <v>1</v>
      </c>
      <c r="N128" s="719"/>
      <c r="O128" s="24">
        <f t="shared" si="24"/>
        <v>1</v>
      </c>
      <c r="P128" s="719"/>
      <c r="Q128" s="24">
        <f t="shared" si="25"/>
        <v>1</v>
      </c>
      <c r="R128" s="715">
        <f t="shared" si="26"/>
        <v>0</v>
      </c>
      <c r="S128" s="361">
        <f t="shared" si="27"/>
        <v>0</v>
      </c>
    </row>
    <row r="129" spans="1:19">
      <c r="A129" s="159"/>
      <c r="B129" s="59"/>
      <c r="C129" s="24">
        <f t="shared" si="18"/>
        <v>1</v>
      </c>
      <c r="D129" s="719"/>
      <c r="E129" s="24">
        <f t="shared" si="19"/>
        <v>1</v>
      </c>
      <c r="F129" s="719"/>
      <c r="G129" s="24">
        <f t="shared" si="20"/>
        <v>1</v>
      </c>
      <c r="H129" s="719"/>
      <c r="I129" s="24">
        <f t="shared" si="21"/>
        <v>1</v>
      </c>
      <c r="J129" s="719"/>
      <c r="K129" s="24">
        <f t="shared" si="22"/>
        <v>1</v>
      </c>
      <c r="L129" s="719"/>
      <c r="M129" s="24">
        <f t="shared" si="23"/>
        <v>1</v>
      </c>
      <c r="N129" s="719"/>
      <c r="O129" s="24">
        <f t="shared" si="24"/>
        <v>1</v>
      </c>
      <c r="P129" s="719"/>
      <c r="Q129" s="24">
        <f t="shared" si="25"/>
        <v>1</v>
      </c>
      <c r="R129" s="715">
        <f t="shared" si="26"/>
        <v>0</v>
      </c>
      <c r="S129" s="361">
        <f t="shared" si="27"/>
        <v>0</v>
      </c>
    </row>
    <row r="130" spans="1:19">
      <c r="A130" s="159"/>
      <c r="B130" s="59"/>
      <c r="C130" s="24">
        <f t="shared" si="18"/>
        <v>1</v>
      </c>
      <c r="D130" s="719"/>
      <c r="E130" s="24">
        <f t="shared" si="19"/>
        <v>1</v>
      </c>
      <c r="F130" s="719"/>
      <c r="G130" s="24">
        <f t="shared" si="20"/>
        <v>1</v>
      </c>
      <c r="H130" s="719"/>
      <c r="I130" s="24">
        <f t="shared" si="21"/>
        <v>1</v>
      </c>
      <c r="J130" s="719"/>
      <c r="K130" s="24">
        <f t="shared" si="22"/>
        <v>1</v>
      </c>
      <c r="L130" s="719"/>
      <c r="M130" s="24">
        <f t="shared" si="23"/>
        <v>1</v>
      </c>
      <c r="N130" s="719"/>
      <c r="O130" s="24">
        <f t="shared" si="24"/>
        <v>1</v>
      </c>
      <c r="P130" s="719"/>
      <c r="Q130" s="24">
        <f t="shared" si="25"/>
        <v>1</v>
      </c>
      <c r="R130" s="715">
        <f t="shared" si="26"/>
        <v>0</v>
      </c>
      <c r="S130" s="361">
        <f t="shared" si="27"/>
        <v>0</v>
      </c>
    </row>
    <row r="131" spans="1:19">
      <c r="A131" s="159"/>
      <c r="B131" s="59"/>
      <c r="C131" s="24">
        <f t="shared" si="18"/>
        <v>1</v>
      </c>
      <c r="D131" s="719"/>
      <c r="E131" s="24">
        <f t="shared" si="19"/>
        <v>1</v>
      </c>
      <c r="F131" s="719"/>
      <c r="G131" s="24">
        <f t="shared" si="20"/>
        <v>1</v>
      </c>
      <c r="H131" s="719"/>
      <c r="I131" s="24">
        <f t="shared" si="21"/>
        <v>1</v>
      </c>
      <c r="J131" s="719"/>
      <c r="K131" s="24">
        <f t="shared" si="22"/>
        <v>1</v>
      </c>
      <c r="L131" s="719"/>
      <c r="M131" s="24">
        <f t="shared" si="23"/>
        <v>1</v>
      </c>
      <c r="N131" s="719"/>
      <c r="O131" s="24">
        <f t="shared" si="24"/>
        <v>1</v>
      </c>
      <c r="P131" s="719"/>
      <c r="Q131" s="24">
        <f t="shared" si="25"/>
        <v>1</v>
      </c>
      <c r="R131" s="715">
        <f t="shared" si="26"/>
        <v>0</v>
      </c>
      <c r="S131" s="361">
        <f t="shared" si="27"/>
        <v>0</v>
      </c>
    </row>
    <row r="132" spans="1:19">
      <c r="A132" s="159"/>
      <c r="B132" s="59"/>
      <c r="C132" s="24">
        <f t="shared" si="18"/>
        <v>1</v>
      </c>
      <c r="D132" s="719"/>
      <c r="E132" s="24">
        <f t="shared" si="19"/>
        <v>1</v>
      </c>
      <c r="F132" s="719"/>
      <c r="G132" s="24">
        <f t="shared" si="20"/>
        <v>1</v>
      </c>
      <c r="H132" s="719"/>
      <c r="I132" s="24">
        <f t="shared" si="21"/>
        <v>1</v>
      </c>
      <c r="J132" s="719"/>
      <c r="K132" s="24">
        <f t="shared" si="22"/>
        <v>1</v>
      </c>
      <c r="L132" s="719"/>
      <c r="M132" s="24">
        <f t="shared" si="23"/>
        <v>1</v>
      </c>
      <c r="N132" s="719"/>
      <c r="O132" s="24">
        <f t="shared" si="24"/>
        <v>1</v>
      </c>
      <c r="P132" s="719"/>
      <c r="Q132" s="24">
        <f t="shared" si="25"/>
        <v>1</v>
      </c>
      <c r="R132" s="715">
        <f t="shared" si="26"/>
        <v>0</v>
      </c>
      <c r="S132" s="361">
        <f t="shared" si="27"/>
        <v>0</v>
      </c>
    </row>
    <row r="133" spans="1:19">
      <c r="A133" s="159"/>
      <c r="B133" s="59"/>
      <c r="C133" s="24">
        <f t="shared" si="18"/>
        <v>1</v>
      </c>
      <c r="D133" s="719"/>
      <c r="E133" s="24">
        <f t="shared" si="19"/>
        <v>1</v>
      </c>
      <c r="F133" s="719"/>
      <c r="G133" s="24">
        <f t="shared" si="20"/>
        <v>1</v>
      </c>
      <c r="H133" s="719"/>
      <c r="I133" s="24">
        <f t="shared" si="21"/>
        <v>1</v>
      </c>
      <c r="J133" s="719"/>
      <c r="K133" s="24">
        <f t="shared" si="22"/>
        <v>1</v>
      </c>
      <c r="L133" s="719"/>
      <c r="M133" s="24">
        <f t="shared" si="23"/>
        <v>1</v>
      </c>
      <c r="N133" s="719"/>
      <c r="O133" s="24">
        <f t="shared" si="24"/>
        <v>1</v>
      </c>
      <c r="P133" s="719"/>
      <c r="Q133" s="24">
        <f t="shared" si="25"/>
        <v>1</v>
      </c>
      <c r="R133" s="715">
        <f t="shared" si="26"/>
        <v>0</v>
      </c>
      <c r="S133" s="361">
        <f t="shared" si="27"/>
        <v>0</v>
      </c>
    </row>
    <row r="134" spans="1:19">
      <c r="A134" s="159"/>
      <c r="B134" s="59"/>
      <c r="C134" s="24">
        <f t="shared" si="18"/>
        <v>1</v>
      </c>
      <c r="D134" s="719"/>
      <c r="E134" s="24">
        <f t="shared" si="19"/>
        <v>1</v>
      </c>
      <c r="F134" s="719"/>
      <c r="G134" s="24">
        <f t="shared" si="20"/>
        <v>1</v>
      </c>
      <c r="H134" s="719"/>
      <c r="I134" s="24">
        <f t="shared" si="21"/>
        <v>1</v>
      </c>
      <c r="J134" s="719"/>
      <c r="K134" s="24">
        <f t="shared" si="22"/>
        <v>1</v>
      </c>
      <c r="L134" s="719"/>
      <c r="M134" s="24">
        <f t="shared" si="23"/>
        <v>1</v>
      </c>
      <c r="N134" s="719"/>
      <c r="O134" s="24">
        <f t="shared" si="24"/>
        <v>1</v>
      </c>
      <c r="P134" s="719"/>
      <c r="Q134" s="24">
        <f t="shared" si="25"/>
        <v>1</v>
      </c>
      <c r="R134" s="715">
        <f t="shared" si="26"/>
        <v>0</v>
      </c>
      <c r="S134" s="361">
        <f t="shared" si="27"/>
        <v>0</v>
      </c>
    </row>
    <row r="135" spans="1:19">
      <c r="A135" s="159"/>
      <c r="B135" s="59"/>
      <c r="C135" s="24">
        <f t="shared" si="18"/>
        <v>1</v>
      </c>
      <c r="D135" s="719"/>
      <c r="E135" s="24">
        <f t="shared" si="19"/>
        <v>1</v>
      </c>
      <c r="F135" s="719"/>
      <c r="G135" s="24">
        <f t="shared" si="20"/>
        <v>1</v>
      </c>
      <c r="H135" s="719"/>
      <c r="I135" s="24">
        <f t="shared" si="21"/>
        <v>1</v>
      </c>
      <c r="J135" s="719"/>
      <c r="K135" s="24">
        <f t="shared" si="22"/>
        <v>1</v>
      </c>
      <c r="L135" s="719"/>
      <c r="M135" s="24">
        <f t="shared" si="23"/>
        <v>1</v>
      </c>
      <c r="N135" s="719"/>
      <c r="O135" s="24">
        <f t="shared" si="24"/>
        <v>1</v>
      </c>
      <c r="P135" s="719"/>
      <c r="Q135" s="24">
        <f t="shared" si="25"/>
        <v>1</v>
      </c>
      <c r="R135" s="715">
        <f t="shared" si="26"/>
        <v>0</v>
      </c>
      <c r="S135" s="361">
        <f t="shared" si="27"/>
        <v>0</v>
      </c>
    </row>
    <row r="136" spans="1:19">
      <c r="A136" s="159"/>
      <c r="B136" s="59"/>
      <c r="C136" s="24">
        <f t="shared" si="18"/>
        <v>1</v>
      </c>
      <c r="D136" s="719"/>
      <c r="E136" s="24">
        <f t="shared" si="19"/>
        <v>1</v>
      </c>
      <c r="F136" s="719"/>
      <c r="G136" s="24">
        <f t="shared" si="20"/>
        <v>1</v>
      </c>
      <c r="H136" s="719"/>
      <c r="I136" s="24">
        <f t="shared" si="21"/>
        <v>1</v>
      </c>
      <c r="J136" s="719"/>
      <c r="K136" s="24">
        <f t="shared" si="22"/>
        <v>1</v>
      </c>
      <c r="L136" s="719"/>
      <c r="M136" s="24">
        <f t="shared" si="23"/>
        <v>1</v>
      </c>
      <c r="N136" s="719"/>
      <c r="O136" s="24">
        <f t="shared" si="24"/>
        <v>1</v>
      </c>
      <c r="P136" s="719"/>
      <c r="Q136" s="24">
        <f t="shared" si="25"/>
        <v>1</v>
      </c>
      <c r="R136" s="715">
        <f t="shared" si="26"/>
        <v>0</v>
      </c>
      <c r="S136" s="361">
        <f t="shared" si="27"/>
        <v>0</v>
      </c>
    </row>
    <row r="137" spans="1:19">
      <c r="A137" s="159"/>
      <c r="B137" s="59"/>
      <c r="C137" s="24">
        <f t="shared" si="18"/>
        <v>1</v>
      </c>
      <c r="D137" s="719"/>
      <c r="E137" s="24">
        <f t="shared" si="19"/>
        <v>1</v>
      </c>
      <c r="F137" s="719"/>
      <c r="G137" s="24">
        <f t="shared" si="20"/>
        <v>1</v>
      </c>
      <c r="H137" s="719"/>
      <c r="I137" s="24">
        <f t="shared" si="21"/>
        <v>1</v>
      </c>
      <c r="J137" s="719"/>
      <c r="K137" s="24">
        <f t="shared" si="22"/>
        <v>1</v>
      </c>
      <c r="L137" s="719"/>
      <c r="M137" s="24">
        <f t="shared" si="23"/>
        <v>1</v>
      </c>
      <c r="N137" s="719"/>
      <c r="O137" s="24">
        <f t="shared" si="24"/>
        <v>1</v>
      </c>
      <c r="P137" s="719"/>
      <c r="Q137" s="24">
        <f t="shared" si="25"/>
        <v>1</v>
      </c>
      <c r="R137" s="715">
        <f t="shared" si="26"/>
        <v>0</v>
      </c>
      <c r="S137" s="361">
        <f t="shared" si="27"/>
        <v>0</v>
      </c>
    </row>
    <row r="138" spans="1:19">
      <c r="A138" s="159"/>
      <c r="B138" s="59"/>
      <c r="C138" s="24">
        <f t="shared" si="18"/>
        <v>1</v>
      </c>
      <c r="D138" s="719"/>
      <c r="E138" s="24">
        <f t="shared" si="19"/>
        <v>1</v>
      </c>
      <c r="F138" s="719"/>
      <c r="G138" s="24">
        <f t="shared" si="20"/>
        <v>1</v>
      </c>
      <c r="H138" s="719"/>
      <c r="I138" s="24">
        <f t="shared" si="21"/>
        <v>1</v>
      </c>
      <c r="J138" s="719"/>
      <c r="K138" s="24">
        <f t="shared" si="22"/>
        <v>1</v>
      </c>
      <c r="L138" s="719"/>
      <c r="M138" s="24">
        <f t="shared" si="23"/>
        <v>1</v>
      </c>
      <c r="N138" s="719"/>
      <c r="O138" s="24">
        <f t="shared" si="24"/>
        <v>1</v>
      </c>
      <c r="P138" s="719"/>
      <c r="Q138" s="24">
        <f t="shared" si="25"/>
        <v>1</v>
      </c>
      <c r="R138" s="715">
        <f t="shared" si="26"/>
        <v>0</v>
      </c>
      <c r="S138" s="361">
        <f t="shared" si="27"/>
        <v>0</v>
      </c>
    </row>
    <row r="139" spans="1:19">
      <c r="A139" s="159"/>
      <c r="B139" s="59"/>
      <c r="C139" s="24">
        <f t="shared" si="18"/>
        <v>1</v>
      </c>
      <c r="D139" s="719"/>
      <c r="E139" s="24">
        <f t="shared" si="19"/>
        <v>1</v>
      </c>
      <c r="F139" s="719"/>
      <c r="G139" s="24">
        <f t="shared" si="20"/>
        <v>1</v>
      </c>
      <c r="H139" s="719"/>
      <c r="I139" s="24">
        <f t="shared" si="21"/>
        <v>1</v>
      </c>
      <c r="J139" s="719"/>
      <c r="K139" s="24">
        <f t="shared" si="22"/>
        <v>1</v>
      </c>
      <c r="L139" s="719"/>
      <c r="M139" s="24">
        <f t="shared" si="23"/>
        <v>1</v>
      </c>
      <c r="N139" s="719"/>
      <c r="O139" s="24">
        <f t="shared" si="24"/>
        <v>1</v>
      </c>
      <c r="P139" s="719"/>
      <c r="Q139" s="24">
        <f t="shared" si="25"/>
        <v>1</v>
      </c>
      <c r="R139" s="715">
        <f t="shared" si="26"/>
        <v>0</v>
      </c>
      <c r="S139" s="361">
        <f t="shared" si="27"/>
        <v>0</v>
      </c>
    </row>
    <row r="140" spans="1:19">
      <c r="A140" s="159"/>
      <c r="B140" s="59"/>
      <c r="C140" s="24">
        <f t="shared" si="18"/>
        <v>1</v>
      </c>
      <c r="D140" s="719"/>
      <c r="E140" s="24">
        <f t="shared" si="19"/>
        <v>1</v>
      </c>
      <c r="F140" s="719"/>
      <c r="G140" s="24">
        <f t="shared" si="20"/>
        <v>1</v>
      </c>
      <c r="H140" s="719"/>
      <c r="I140" s="24">
        <f t="shared" si="21"/>
        <v>1</v>
      </c>
      <c r="J140" s="719"/>
      <c r="K140" s="24">
        <f t="shared" si="22"/>
        <v>1</v>
      </c>
      <c r="L140" s="719"/>
      <c r="M140" s="24">
        <f t="shared" si="23"/>
        <v>1</v>
      </c>
      <c r="N140" s="719"/>
      <c r="O140" s="24">
        <f t="shared" si="24"/>
        <v>1</v>
      </c>
      <c r="P140" s="719"/>
      <c r="Q140" s="24">
        <f t="shared" si="25"/>
        <v>1</v>
      </c>
      <c r="R140" s="715">
        <f t="shared" si="26"/>
        <v>0</v>
      </c>
      <c r="S140" s="361">
        <f t="shared" si="27"/>
        <v>0</v>
      </c>
    </row>
    <row r="141" spans="1:19">
      <c r="A141" s="159"/>
      <c r="B141" s="59"/>
      <c r="C141" s="24">
        <f t="shared" si="18"/>
        <v>1</v>
      </c>
      <c r="D141" s="719"/>
      <c r="E141" s="24">
        <f t="shared" si="19"/>
        <v>1</v>
      </c>
      <c r="F141" s="719"/>
      <c r="G141" s="24">
        <f t="shared" si="20"/>
        <v>1</v>
      </c>
      <c r="H141" s="719"/>
      <c r="I141" s="24">
        <f t="shared" si="21"/>
        <v>1</v>
      </c>
      <c r="J141" s="719"/>
      <c r="K141" s="24">
        <f t="shared" si="22"/>
        <v>1</v>
      </c>
      <c r="L141" s="719"/>
      <c r="M141" s="24">
        <f t="shared" si="23"/>
        <v>1</v>
      </c>
      <c r="N141" s="719"/>
      <c r="O141" s="24">
        <f t="shared" si="24"/>
        <v>1</v>
      </c>
      <c r="P141" s="719"/>
      <c r="Q141" s="24">
        <f t="shared" si="25"/>
        <v>1</v>
      </c>
      <c r="R141" s="715">
        <f t="shared" si="26"/>
        <v>0</v>
      </c>
      <c r="S141" s="361">
        <f t="shared" si="27"/>
        <v>0</v>
      </c>
    </row>
    <row r="142" spans="1:19">
      <c r="A142" s="159"/>
      <c r="B142" s="59"/>
      <c r="C142" s="24">
        <f t="shared" si="18"/>
        <v>1</v>
      </c>
      <c r="D142" s="719"/>
      <c r="E142" s="24">
        <f t="shared" si="19"/>
        <v>1</v>
      </c>
      <c r="F142" s="719"/>
      <c r="G142" s="24">
        <f t="shared" si="20"/>
        <v>1</v>
      </c>
      <c r="H142" s="719"/>
      <c r="I142" s="24">
        <f t="shared" si="21"/>
        <v>1</v>
      </c>
      <c r="J142" s="719"/>
      <c r="K142" s="24">
        <f t="shared" si="22"/>
        <v>1</v>
      </c>
      <c r="L142" s="719"/>
      <c r="M142" s="24">
        <f t="shared" si="23"/>
        <v>1</v>
      </c>
      <c r="N142" s="719"/>
      <c r="O142" s="24">
        <f t="shared" si="24"/>
        <v>1</v>
      </c>
      <c r="P142" s="719"/>
      <c r="Q142" s="24">
        <f t="shared" si="25"/>
        <v>1</v>
      </c>
      <c r="R142" s="715">
        <f t="shared" si="26"/>
        <v>0</v>
      </c>
      <c r="S142" s="361">
        <f t="shared" si="27"/>
        <v>0</v>
      </c>
    </row>
    <row r="143" spans="1:19">
      <c r="A143" s="159"/>
      <c r="B143" s="59"/>
      <c r="C143" s="24">
        <f t="shared" si="18"/>
        <v>1</v>
      </c>
      <c r="D143" s="719"/>
      <c r="E143" s="24">
        <f t="shared" si="19"/>
        <v>1</v>
      </c>
      <c r="F143" s="719"/>
      <c r="G143" s="24">
        <f t="shared" si="20"/>
        <v>1</v>
      </c>
      <c r="H143" s="719"/>
      <c r="I143" s="24">
        <f t="shared" si="21"/>
        <v>1</v>
      </c>
      <c r="J143" s="719"/>
      <c r="K143" s="24">
        <f t="shared" si="22"/>
        <v>1</v>
      </c>
      <c r="L143" s="719"/>
      <c r="M143" s="24">
        <f t="shared" si="23"/>
        <v>1</v>
      </c>
      <c r="N143" s="719"/>
      <c r="O143" s="24">
        <f t="shared" si="24"/>
        <v>1</v>
      </c>
      <c r="P143" s="719"/>
      <c r="Q143" s="24">
        <f t="shared" si="25"/>
        <v>1</v>
      </c>
      <c r="R143" s="715">
        <f t="shared" si="26"/>
        <v>0</v>
      </c>
      <c r="S143" s="361">
        <f t="shared" si="27"/>
        <v>0</v>
      </c>
    </row>
    <row r="144" spans="1:19">
      <c r="A144" s="159"/>
      <c r="B144" s="59"/>
      <c r="C144" s="24">
        <f t="shared" si="18"/>
        <v>1</v>
      </c>
      <c r="D144" s="719"/>
      <c r="E144" s="24">
        <f t="shared" si="19"/>
        <v>1</v>
      </c>
      <c r="F144" s="719"/>
      <c r="G144" s="24">
        <f t="shared" si="20"/>
        <v>1</v>
      </c>
      <c r="H144" s="719"/>
      <c r="I144" s="24">
        <f t="shared" si="21"/>
        <v>1</v>
      </c>
      <c r="J144" s="719"/>
      <c r="K144" s="24">
        <f t="shared" si="22"/>
        <v>1</v>
      </c>
      <c r="L144" s="719"/>
      <c r="M144" s="24">
        <f t="shared" si="23"/>
        <v>1</v>
      </c>
      <c r="N144" s="719"/>
      <c r="O144" s="24">
        <f t="shared" si="24"/>
        <v>1</v>
      </c>
      <c r="P144" s="719"/>
      <c r="Q144" s="24">
        <f t="shared" si="25"/>
        <v>1</v>
      </c>
      <c r="R144" s="715">
        <f t="shared" si="26"/>
        <v>0</v>
      </c>
      <c r="S144" s="361">
        <f t="shared" si="27"/>
        <v>0</v>
      </c>
    </row>
    <row r="145" spans="1:19">
      <c r="A145" s="159"/>
      <c r="B145" s="59"/>
      <c r="C145" s="24">
        <f t="shared" si="18"/>
        <v>1</v>
      </c>
      <c r="D145" s="719"/>
      <c r="E145" s="24">
        <f t="shared" si="19"/>
        <v>1</v>
      </c>
      <c r="F145" s="719"/>
      <c r="G145" s="24">
        <f t="shared" si="20"/>
        <v>1</v>
      </c>
      <c r="H145" s="719"/>
      <c r="I145" s="24">
        <f t="shared" si="21"/>
        <v>1</v>
      </c>
      <c r="J145" s="719"/>
      <c r="K145" s="24">
        <f t="shared" si="22"/>
        <v>1</v>
      </c>
      <c r="L145" s="719"/>
      <c r="M145" s="24">
        <f t="shared" si="23"/>
        <v>1</v>
      </c>
      <c r="N145" s="719"/>
      <c r="O145" s="24">
        <f t="shared" si="24"/>
        <v>1</v>
      </c>
      <c r="P145" s="719"/>
      <c r="Q145" s="24">
        <f t="shared" si="25"/>
        <v>1</v>
      </c>
      <c r="R145" s="715">
        <f t="shared" si="26"/>
        <v>0</v>
      </c>
      <c r="S145" s="361">
        <f t="shared" si="27"/>
        <v>0</v>
      </c>
    </row>
    <row r="146" spans="1:19">
      <c r="A146" s="159"/>
      <c r="B146" s="59"/>
      <c r="C146" s="24">
        <f t="shared" si="18"/>
        <v>1</v>
      </c>
      <c r="D146" s="719"/>
      <c r="E146" s="24">
        <f t="shared" si="19"/>
        <v>1</v>
      </c>
      <c r="F146" s="719"/>
      <c r="G146" s="24">
        <f t="shared" si="20"/>
        <v>1</v>
      </c>
      <c r="H146" s="719"/>
      <c r="I146" s="24">
        <f t="shared" si="21"/>
        <v>1</v>
      </c>
      <c r="J146" s="719"/>
      <c r="K146" s="24">
        <f t="shared" si="22"/>
        <v>1</v>
      </c>
      <c r="L146" s="719"/>
      <c r="M146" s="24">
        <f t="shared" si="23"/>
        <v>1</v>
      </c>
      <c r="N146" s="719"/>
      <c r="O146" s="24">
        <f t="shared" si="24"/>
        <v>1</v>
      </c>
      <c r="P146" s="719"/>
      <c r="Q146" s="24">
        <f t="shared" si="25"/>
        <v>1</v>
      </c>
      <c r="R146" s="715">
        <f t="shared" si="26"/>
        <v>0</v>
      </c>
      <c r="S146" s="361">
        <f t="shared" si="27"/>
        <v>0</v>
      </c>
    </row>
    <row r="147" spans="1:19">
      <c r="A147" s="159"/>
      <c r="B147" s="59"/>
      <c r="C147" s="24">
        <f t="shared" si="18"/>
        <v>1</v>
      </c>
      <c r="D147" s="719"/>
      <c r="E147" s="24">
        <f t="shared" si="19"/>
        <v>1</v>
      </c>
      <c r="F147" s="719"/>
      <c r="G147" s="24">
        <f t="shared" si="20"/>
        <v>1</v>
      </c>
      <c r="H147" s="719"/>
      <c r="I147" s="24">
        <f t="shared" si="21"/>
        <v>1</v>
      </c>
      <c r="J147" s="719"/>
      <c r="K147" s="24">
        <f t="shared" si="22"/>
        <v>1</v>
      </c>
      <c r="L147" s="719"/>
      <c r="M147" s="24">
        <f t="shared" si="23"/>
        <v>1</v>
      </c>
      <c r="N147" s="719"/>
      <c r="O147" s="24">
        <f t="shared" si="24"/>
        <v>1</v>
      </c>
      <c r="P147" s="719"/>
      <c r="Q147" s="24">
        <f t="shared" si="25"/>
        <v>1</v>
      </c>
      <c r="R147" s="715">
        <f t="shared" si="26"/>
        <v>0</v>
      </c>
      <c r="S147" s="361">
        <f t="shared" si="27"/>
        <v>0</v>
      </c>
    </row>
    <row r="148" spans="1:19">
      <c r="A148" s="159"/>
      <c r="B148" s="59"/>
      <c r="C148" s="24">
        <f t="shared" si="18"/>
        <v>1</v>
      </c>
      <c r="D148" s="719"/>
      <c r="E148" s="24">
        <f t="shared" si="19"/>
        <v>1</v>
      </c>
      <c r="F148" s="719"/>
      <c r="G148" s="24">
        <f t="shared" si="20"/>
        <v>1</v>
      </c>
      <c r="H148" s="719"/>
      <c r="I148" s="24">
        <f t="shared" si="21"/>
        <v>1</v>
      </c>
      <c r="J148" s="719"/>
      <c r="K148" s="24">
        <f t="shared" si="22"/>
        <v>1</v>
      </c>
      <c r="L148" s="719"/>
      <c r="M148" s="24">
        <f t="shared" si="23"/>
        <v>1</v>
      </c>
      <c r="N148" s="719"/>
      <c r="O148" s="24">
        <f t="shared" si="24"/>
        <v>1</v>
      </c>
      <c r="P148" s="719"/>
      <c r="Q148" s="24">
        <f t="shared" si="25"/>
        <v>1</v>
      </c>
      <c r="R148" s="715">
        <f t="shared" si="26"/>
        <v>0</v>
      </c>
      <c r="S148" s="361">
        <f t="shared" si="27"/>
        <v>0</v>
      </c>
    </row>
    <row r="149" spans="1:19">
      <c r="A149" s="159"/>
      <c r="B149" s="59"/>
      <c r="C149" s="24">
        <f t="shared" si="18"/>
        <v>1</v>
      </c>
      <c r="D149" s="719"/>
      <c r="E149" s="24">
        <f t="shared" si="19"/>
        <v>1</v>
      </c>
      <c r="F149" s="719"/>
      <c r="G149" s="24">
        <f t="shared" si="20"/>
        <v>1</v>
      </c>
      <c r="H149" s="719"/>
      <c r="I149" s="24">
        <f t="shared" si="21"/>
        <v>1</v>
      </c>
      <c r="J149" s="719"/>
      <c r="K149" s="24">
        <f t="shared" si="22"/>
        <v>1</v>
      </c>
      <c r="L149" s="719"/>
      <c r="M149" s="24">
        <f t="shared" si="23"/>
        <v>1</v>
      </c>
      <c r="N149" s="719"/>
      <c r="O149" s="24">
        <f t="shared" si="24"/>
        <v>1</v>
      </c>
      <c r="P149" s="719"/>
      <c r="Q149" s="24">
        <f t="shared" si="25"/>
        <v>1</v>
      </c>
      <c r="R149" s="715">
        <f t="shared" si="26"/>
        <v>0</v>
      </c>
      <c r="S149" s="361">
        <f t="shared" si="27"/>
        <v>0</v>
      </c>
    </row>
    <row r="150" spans="1:19">
      <c r="A150" s="159"/>
      <c r="B150" s="59"/>
      <c r="C150" s="24">
        <f t="shared" si="18"/>
        <v>1</v>
      </c>
      <c r="D150" s="719"/>
      <c r="E150" s="24">
        <f t="shared" si="19"/>
        <v>1</v>
      </c>
      <c r="F150" s="719"/>
      <c r="G150" s="24">
        <f t="shared" si="20"/>
        <v>1</v>
      </c>
      <c r="H150" s="719"/>
      <c r="I150" s="24">
        <f t="shared" si="21"/>
        <v>1</v>
      </c>
      <c r="J150" s="719"/>
      <c r="K150" s="24">
        <f t="shared" si="22"/>
        <v>1</v>
      </c>
      <c r="L150" s="719"/>
      <c r="M150" s="24">
        <f t="shared" si="23"/>
        <v>1</v>
      </c>
      <c r="N150" s="719"/>
      <c r="O150" s="24">
        <f t="shared" si="24"/>
        <v>1</v>
      </c>
      <c r="P150" s="719"/>
      <c r="Q150" s="24">
        <f t="shared" si="25"/>
        <v>1</v>
      </c>
      <c r="R150" s="715">
        <f t="shared" si="26"/>
        <v>0</v>
      </c>
      <c r="S150" s="361">
        <f t="shared" si="27"/>
        <v>0</v>
      </c>
    </row>
    <row r="151" spans="1:19">
      <c r="A151" s="159"/>
      <c r="B151" s="59"/>
      <c r="C151" s="24">
        <f t="shared" si="18"/>
        <v>1</v>
      </c>
      <c r="D151" s="719"/>
      <c r="E151" s="24">
        <f t="shared" si="19"/>
        <v>1</v>
      </c>
      <c r="F151" s="719"/>
      <c r="G151" s="24">
        <f t="shared" si="20"/>
        <v>1</v>
      </c>
      <c r="H151" s="719"/>
      <c r="I151" s="24">
        <f t="shared" si="21"/>
        <v>1</v>
      </c>
      <c r="J151" s="719"/>
      <c r="K151" s="24">
        <f t="shared" si="22"/>
        <v>1</v>
      </c>
      <c r="L151" s="719"/>
      <c r="M151" s="24">
        <f t="shared" si="23"/>
        <v>1</v>
      </c>
      <c r="N151" s="719"/>
      <c r="O151" s="24">
        <f t="shared" si="24"/>
        <v>1</v>
      </c>
      <c r="P151" s="719"/>
      <c r="Q151" s="24">
        <f t="shared" si="25"/>
        <v>1</v>
      </c>
      <c r="R151" s="715">
        <f t="shared" si="26"/>
        <v>0</v>
      </c>
      <c r="S151" s="361">
        <f t="shared" si="27"/>
        <v>0</v>
      </c>
    </row>
    <row r="152" spans="1:19">
      <c r="A152" s="159"/>
      <c r="B152" s="59"/>
      <c r="C152" s="24">
        <f t="shared" si="18"/>
        <v>1</v>
      </c>
      <c r="D152" s="719"/>
      <c r="E152" s="24">
        <f t="shared" si="19"/>
        <v>1</v>
      </c>
      <c r="F152" s="719"/>
      <c r="G152" s="24">
        <f t="shared" si="20"/>
        <v>1</v>
      </c>
      <c r="H152" s="719"/>
      <c r="I152" s="24">
        <f t="shared" si="21"/>
        <v>1</v>
      </c>
      <c r="J152" s="719"/>
      <c r="K152" s="24">
        <f t="shared" si="22"/>
        <v>1</v>
      </c>
      <c r="L152" s="719"/>
      <c r="M152" s="24">
        <f t="shared" si="23"/>
        <v>1</v>
      </c>
      <c r="N152" s="719"/>
      <c r="O152" s="24">
        <f t="shared" si="24"/>
        <v>1</v>
      </c>
      <c r="P152" s="719"/>
      <c r="Q152" s="24">
        <f t="shared" si="25"/>
        <v>1</v>
      </c>
      <c r="R152" s="715">
        <f t="shared" si="26"/>
        <v>0</v>
      </c>
      <c r="S152" s="361">
        <f t="shared" si="27"/>
        <v>0</v>
      </c>
    </row>
    <row r="153" spans="1:19">
      <c r="A153" s="159"/>
      <c r="B153" s="59"/>
      <c r="C153" s="24">
        <f t="shared" si="18"/>
        <v>1</v>
      </c>
      <c r="D153" s="719"/>
      <c r="E153" s="24">
        <f t="shared" si="19"/>
        <v>1</v>
      </c>
      <c r="F153" s="719"/>
      <c r="G153" s="24">
        <f t="shared" si="20"/>
        <v>1</v>
      </c>
      <c r="H153" s="719"/>
      <c r="I153" s="24">
        <f t="shared" si="21"/>
        <v>1</v>
      </c>
      <c r="J153" s="719"/>
      <c r="K153" s="24">
        <f t="shared" si="22"/>
        <v>1</v>
      </c>
      <c r="L153" s="719"/>
      <c r="M153" s="24">
        <f t="shared" si="23"/>
        <v>1</v>
      </c>
      <c r="N153" s="719"/>
      <c r="O153" s="24">
        <f t="shared" si="24"/>
        <v>1</v>
      </c>
      <c r="P153" s="719"/>
      <c r="Q153" s="24">
        <f t="shared" si="25"/>
        <v>1</v>
      </c>
      <c r="R153" s="715">
        <f t="shared" si="26"/>
        <v>0</v>
      </c>
      <c r="S153" s="361">
        <f t="shared" si="27"/>
        <v>0</v>
      </c>
    </row>
    <row r="154" spans="1:19">
      <c r="A154" s="159"/>
      <c r="B154" s="59"/>
      <c r="C154" s="24">
        <f t="shared" ref="C154:C217" si="28">IF(B154="",1,(LOOKUP(B154,$3:$3,$4:$4)-LOOKUP($B$24,$3:$3,$4:$4)+100)/100)</f>
        <v>1</v>
      </c>
      <c r="D154" s="719"/>
      <c r="E154" s="24">
        <f t="shared" ref="E154:E217" si="29">(SUMIF($5:$5,D154,$6:$6)-SUMIF($5:$5,$D$24,$6:$6)+100)/100</f>
        <v>1</v>
      </c>
      <c r="F154" s="719"/>
      <c r="G154" s="24">
        <f t="shared" ref="G154:G217" si="30">(SUMIF($7:$7,F154,$8:$8)-SUMIF($7:$7,$F$24,$8:$8)+100)/100</f>
        <v>1</v>
      </c>
      <c r="H154" s="719"/>
      <c r="I154" s="24">
        <f t="shared" ref="I154:I217" si="31">(SUMIF($9:$9,H154,$10:$10)-SUMIF($9:$9,$H$24,$10:$10)+100)/100</f>
        <v>1</v>
      </c>
      <c r="J154" s="719"/>
      <c r="K154" s="24">
        <f t="shared" ref="K154:K217" si="32">(SUMIF($11:$11,J154,$12:$12)-SUMIF($11:$11,$J$24,$12:$12)+100)/100</f>
        <v>1</v>
      </c>
      <c r="L154" s="719"/>
      <c r="M154" s="24">
        <f t="shared" ref="M154:M217" si="33">(SUMIF($13:$13,L154,$14:$14)-SUMIF($13:$13,$L$24,$14:$14)+100)/100</f>
        <v>1</v>
      </c>
      <c r="N154" s="719"/>
      <c r="O154" s="24">
        <f t="shared" ref="O154:O217" si="34">(SUMIF($15:$15,N154,$16:$16)-SUMIF($15:$15,$N$24,$16:$16)+100)/100</f>
        <v>1</v>
      </c>
      <c r="P154" s="719"/>
      <c r="Q154" s="24">
        <f t="shared" ref="Q154:Q217" si="35">(SUMIF($17:$17,P154,$18:$18)-SUMIF($17:$17,$P$24,$18:$18)+100)/100</f>
        <v>1</v>
      </c>
      <c r="R154" s="715">
        <f t="shared" ref="R154:R217" si="36">IF(B154="",0,ROUND($R$24*C154*E154*G154*I154*K154*M154*O154*Q154,0))</f>
        <v>0</v>
      </c>
      <c r="S154" s="361">
        <f t="shared" si="27"/>
        <v>0</v>
      </c>
    </row>
    <row r="155" spans="1:19">
      <c r="A155" s="159"/>
      <c r="B155" s="59"/>
      <c r="C155" s="24">
        <f t="shared" si="28"/>
        <v>1</v>
      </c>
      <c r="D155" s="719"/>
      <c r="E155" s="24">
        <f t="shared" si="29"/>
        <v>1</v>
      </c>
      <c r="F155" s="719"/>
      <c r="G155" s="24">
        <f t="shared" si="30"/>
        <v>1</v>
      </c>
      <c r="H155" s="719"/>
      <c r="I155" s="24">
        <f t="shared" si="31"/>
        <v>1</v>
      </c>
      <c r="J155" s="719"/>
      <c r="K155" s="24">
        <f t="shared" si="32"/>
        <v>1</v>
      </c>
      <c r="L155" s="719"/>
      <c r="M155" s="24">
        <f t="shared" si="33"/>
        <v>1</v>
      </c>
      <c r="N155" s="719"/>
      <c r="O155" s="24">
        <f t="shared" si="34"/>
        <v>1</v>
      </c>
      <c r="P155" s="719"/>
      <c r="Q155" s="24">
        <f t="shared" si="35"/>
        <v>1</v>
      </c>
      <c r="R155" s="715">
        <f t="shared" si="36"/>
        <v>0</v>
      </c>
      <c r="S155" s="361">
        <f t="shared" si="27"/>
        <v>0</v>
      </c>
    </row>
    <row r="156" spans="1:19">
      <c r="A156" s="159"/>
      <c r="B156" s="59"/>
      <c r="C156" s="24">
        <f t="shared" si="28"/>
        <v>1</v>
      </c>
      <c r="D156" s="719"/>
      <c r="E156" s="24">
        <f t="shared" si="29"/>
        <v>1</v>
      </c>
      <c r="F156" s="719"/>
      <c r="G156" s="24">
        <f t="shared" si="30"/>
        <v>1</v>
      </c>
      <c r="H156" s="719"/>
      <c r="I156" s="24">
        <f t="shared" si="31"/>
        <v>1</v>
      </c>
      <c r="J156" s="719"/>
      <c r="K156" s="24">
        <f t="shared" si="32"/>
        <v>1</v>
      </c>
      <c r="L156" s="719"/>
      <c r="M156" s="24">
        <f t="shared" si="33"/>
        <v>1</v>
      </c>
      <c r="N156" s="719"/>
      <c r="O156" s="24">
        <f t="shared" si="34"/>
        <v>1</v>
      </c>
      <c r="P156" s="719"/>
      <c r="Q156" s="24">
        <f t="shared" si="35"/>
        <v>1</v>
      </c>
      <c r="R156" s="715">
        <f t="shared" si="36"/>
        <v>0</v>
      </c>
      <c r="S156" s="361">
        <f t="shared" si="27"/>
        <v>0</v>
      </c>
    </row>
    <row r="157" spans="1:19">
      <c r="A157" s="159"/>
      <c r="B157" s="59"/>
      <c r="C157" s="24">
        <f t="shared" si="28"/>
        <v>1</v>
      </c>
      <c r="D157" s="719"/>
      <c r="E157" s="24">
        <f t="shared" si="29"/>
        <v>1</v>
      </c>
      <c r="F157" s="719"/>
      <c r="G157" s="24">
        <f t="shared" si="30"/>
        <v>1</v>
      </c>
      <c r="H157" s="719"/>
      <c r="I157" s="24">
        <f t="shared" si="31"/>
        <v>1</v>
      </c>
      <c r="J157" s="719"/>
      <c r="K157" s="24">
        <f t="shared" si="32"/>
        <v>1</v>
      </c>
      <c r="L157" s="719"/>
      <c r="M157" s="24">
        <f t="shared" si="33"/>
        <v>1</v>
      </c>
      <c r="N157" s="719"/>
      <c r="O157" s="24">
        <f t="shared" si="34"/>
        <v>1</v>
      </c>
      <c r="P157" s="719"/>
      <c r="Q157" s="24">
        <f t="shared" si="35"/>
        <v>1</v>
      </c>
      <c r="R157" s="715">
        <f t="shared" si="36"/>
        <v>0</v>
      </c>
      <c r="S157" s="361">
        <f t="shared" si="27"/>
        <v>0</v>
      </c>
    </row>
    <row r="158" spans="1:19">
      <c r="A158" s="159"/>
      <c r="B158" s="59"/>
      <c r="C158" s="24">
        <f t="shared" si="28"/>
        <v>1</v>
      </c>
      <c r="D158" s="719"/>
      <c r="E158" s="24">
        <f t="shared" si="29"/>
        <v>1</v>
      </c>
      <c r="F158" s="719"/>
      <c r="G158" s="24">
        <f t="shared" si="30"/>
        <v>1</v>
      </c>
      <c r="H158" s="719"/>
      <c r="I158" s="24">
        <f t="shared" si="31"/>
        <v>1</v>
      </c>
      <c r="J158" s="719"/>
      <c r="K158" s="24">
        <f t="shared" si="32"/>
        <v>1</v>
      </c>
      <c r="L158" s="719"/>
      <c r="M158" s="24">
        <f t="shared" si="33"/>
        <v>1</v>
      </c>
      <c r="N158" s="719"/>
      <c r="O158" s="24">
        <f t="shared" si="34"/>
        <v>1</v>
      </c>
      <c r="P158" s="719"/>
      <c r="Q158" s="24">
        <f t="shared" si="35"/>
        <v>1</v>
      </c>
      <c r="R158" s="715">
        <f t="shared" si="36"/>
        <v>0</v>
      </c>
      <c r="S158" s="361">
        <f t="shared" si="27"/>
        <v>0</v>
      </c>
    </row>
    <row r="159" spans="1:19">
      <c r="A159" s="159"/>
      <c r="B159" s="59"/>
      <c r="C159" s="24">
        <f t="shared" si="28"/>
        <v>1</v>
      </c>
      <c r="D159" s="719"/>
      <c r="E159" s="24">
        <f t="shared" si="29"/>
        <v>1</v>
      </c>
      <c r="F159" s="719"/>
      <c r="G159" s="24">
        <f t="shared" si="30"/>
        <v>1</v>
      </c>
      <c r="H159" s="719"/>
      <c r="I159" s="24">
        <f t="shared" si="31"/>
        <v>1</v>
      </c>
      <c r="J159" s="719"/>
      <c r="K159" s="24">
        <f t="shared" si="32"/>
        <v>1</v>
      </c>
      <c r="L159" s="719"/>
      <c r="M159" s="24">
        <f t="shared" si="33"/>
        <v>1</v>
      </c>
      <c r="N159" s="719"/>
      <c r="O159" s="24">
        <f t="shared" si="34"/>
        <v>1</v>
      </c>
      <c r="P159" s="719"/>
      <c r="Q159" s="24">
        <f t="shared" si="35"/>
        <v>1</v>
      </c>
      <c r="R159" s="715">
        <f t="shared" si="36"/>
        <v>0</v>
      </c>
      <c r="S159" s="361">
        <f t="shared" si="27"/>
        <v>0</v>
      </c>
    </row>
    <row r="160" spans="1:19">
      <c r="A160" s="159"/>
      <c r="B160" s="59"/>
      <c r="C160" s="24">
        <f t="shared" si="28"/>
        <v>1</v>
      </c>
      <c r="D160" s="719"/>
      <c r="E160" s="24">
        <f t="shared" si="29"/>
        <v>1</v>
      </c>
      <c r="F160" s="719"/>
      <c r="G160" s="24">
        <f t="shared" si="30"/>
        <v>1</v>
      </c>
      <c r="H160" s="719"/>
      <c r="I160" s="24">
        <f t="shared" si="31"/>
        <v>1</v>
      </c>
      <c r="J160" s="719"/>
      <c r="K160" s="24">
        <f t="shared" si="32"/>
        <v>1</v>
      </c>
      <c r="L160" s="719"/>
      <c r="M160" s="24">
        <f t="shared" si="33"/>
        <v>1</v>
      </c>
      <c r="N160" s="719"/>
      <c r="O160" s="24">
        <f t="shared" si="34"/>
        <v>1</v>
      </c>
      <c r="P160" s="719"/>
      <c r="Q160" s="24">
        <f t="shared" si="35"/>
        <v>1</v>
      </c>
      <c r="R160" s="715">
        <f t="shared" si="36"/>
        <v>0</v>
      </c>
      <c r="S160" s="361">
        <f t="shared" si="27"/>
        <v>0</v>
      </c>
    </row>
    <row r="161" spans="1:19">
      <c r="A161" s="159"/>
      <c r="B161" s="59"/>
      <c r="C161" s="24">
        <f t="shared" si="28"/>
        <v>1</v>
      </c>
      <c r="D161" s="719"/>
      <c r="E161" s="24">
        <f t="shared" si="29"/>
        <v>1</v>
      </c>
      <c r="F161" s="719"/>
      <c r="G161" s="24">
        <f t="shared" si="30"/>
        <v>1</v>
      </c>
      <c r="H161" s="719"/>
      <c r="I161" s="24">
        <f t="shared" si="31"/>
        <v>1</v>
      </c>
      <c r="J161" s="719"/>
      <c r="K161" s="24">
        <f t="shared" si="32"/>
        <v>1</v>
      </c>
      <c r="L161" s="719"/>
      <c r="M161" s="24">
        <f t="shared" si="33"/>
        <v>1</v>
      </c>
      <c r="N161" s="719"/>
      <c r="O161" s="24">
        <f t="shared" si="34"/>
        <v>1</v>
      </c>
      <c r="P161" s="719"/>
      <c r="Q161" s="24">
        <f t="shared" si="35"/>
        <v>1</v>
      </c>
      <c r="R161" s="715">
        <f t="shared" si="36"/>
        <v>0</v>
      </c>
      <c r="S161" s="361">
        <f t="shared" si="27"/>
        <v>0</v>
      </c>
    </row>
    <row r="162" spans="1:19">
      <c r="A162" s="159"/>
      <c r="B162" s="59"/>
      <c r="C162" s="24">
        <f t="shared" si="28"/>
        <v>1</v>
      </c>
      <c r="D162" s="719"/>
      <c r="E162" s="24">
        <f t="shared" si="29"/>
        <v>1</v>
      </c>
      <c r="F162" s="719"/>
      <c r="G162" s="24">
        <f t="shared" si="30"/>
        <v>1</v>
      </c>
      <c r="H162" s="719"/>
      <c r="I162" s="24">
        <f t="shared" si="31"/>
        <v>1</v>
      </c>
      <c r="J162" s="719"/>
      <c r="K162" s="24">
        <f t="shared" si="32"/>
        <v>1</v>
      </c>
      <c r="L162" s="719"/>
      <c r="M162" s="24">
        <f t="shared" si="33"/>
        <v>1</v>
      </c>
      <c r="N162" s="719"/>
      <c r="O162" s="24">
        <f t="shared" si="34"/>
        <v>1</v>
      </c>
      <c r="P162" s="719"/>
      <c r="Q162" s="24">
        <f t="shared" si="35"/>
        <v>1</v>
      </c>
      <c r="R162" s="715">
        <f t="shared" si="36"/>
        <v>0</v>
      </c>
      <c r="S162" s="361">
        <f t="shared" si="27"/>
        <v>0</v>
      </c>
    </row>
    <row r="163" spans="1:19">
      <c r="A163" s="159"/>
      <c r="B163" s="59"/>
      <c r="C163" s="24">
        <f t="shared" si="28"/>
        <v>1</v>
      </c>
      <c r="D163" s="719"/>
      <c r="E163" s="24">
        <f t="shared" si="29"/>
        <v>1</v>
      </c>
      <c r="F163" s="719"/>
      <c r="G163" s="24">
        <f t="shared" si="30"/>
        <v>1</v>
      </c>
      <c r="H163" s="719"/>
      <c r="I163" s="24">
        <f t="shared" si="31"/>
        <v>1</v>
      </c>
      <c r="J163" s="719"/>
      <c r="K163" s="24">
        <f t="shared" si="32"/>
        <v>1</v>
      </c>
      <c r="L163" s="719"/>
      <c r="M163" s="24">
        <f t="shared" si="33"/>
        <v>1</v>
      </c>
      <c r="N163" s="719"/>
      <c r="O163" s="24">
        <f t="shared" si="34"/>
        <v>1</v>
      </c>
      <c r="P163" s="719"/>
      <c r="Q163" s="24">
        <f t="shared" si="35"/>
        <v>1</v>
      </c>
      <c r="R163" s="715">
        <f t="shared" si="36"/>
        <v>0</v>
      </c>
      <c r="S163" s="361">
        <f t="shared" si="27"/>
        <v>0</v>
      </c>
    </row>
    <row r="164" spans="1:19">
      <c r="A164" s="159"/>
      <c r="B164" s="59"/>
      <c r="C164" s="24">
        <f t="shared" si="28"/>
        <v>1</v>
      </c>
      <c r="D164" s="719"/>
      <c r="E164" s="24">
        <f t="shared" si="29"/>
        <v>1</v>
      </c>
      <c r="F164" s="719"/>
      <c r="G164" s="24">
        <f t="shared" si="30"/>
        <v>1</v>
      </c>
      <c r="H164" s="719"/>
      <c r="I164" s="24">
        <f t="shared" si="31"/>
        <v>1</v>
      </c>
      <c r="J164" s="719"/>
      <c r="K164" s="24">
        <f t="shared" si="32"/>
        <v>1</v>
      </c>
      <c r="L164" s="719"/>
      <c r="M164" s="24">
        <f t="shared" si="33"/>
        <v>1</v>
      </c>
      <c r="N164" s="719"/>
      <c r="O164" s="24">
        <f t="shared" si="34"/>
        <v>1</v>
      </c>
      <c r="P164" s="719"/>
      <c r="Q164" s="24">
        <f t="shared" si="35"/>
        <v>1</v>
      </c>
      <c r="R164" s="715">
        <f t="shared" si="36"/>
        <v>0</v>
      </c>
      <c r="S164" s="361">
        <f t="shared" si="27"/>
        <v>0</v>
      </c>
    </row>
    <row r="165" spans="1:19">
      <c r="A165" s="159"/>
      <c r="B165" s="59"/>
      <c r="C165" s="24">
        <f t="shared" si="28"/>
        <v>1</v>
      </c>
      <c r="D165" s="719"/>
      <c r="E165" s="24">
        <f t="shared" si="29"/>
        <v>1</v>
      </c>
      <c r="F165" s="719"/>
      <c r="G165" s="24">
        <f t="shared" si="30"/>
        <v>1</v>
      </c>
      <c r="H165" s="719"/>
      <c r="I165" s="24">
        <f t="shared" si="31"/>
        <v>1</v>
      </c>
      <c r="J165" s="719"/>
      <c r="K165" s="24">
        <f t="shared" si="32"/>
        <v>1</v>
      </c>
      <c r="L165" s="719"/>
      <c r="M165" s="24">
        <f t="shared" si="33"/>
        <v>1</v>
      </c>
      <c r="N165" s="719"/>
      <c r="O165" s="24">
        <f t="shared" si="34"/>
        <v>1</v>
      </c>
      <c r="P165" s="719"/>
      <c r="Q165" s="24">
        <f t="shared" si="35"/>
        <v>1</v>
      </c>
      <c r="R165" s="715">
        <f t="shared" si="36"/>
        <v>0</v>
      </c>
      <c r="S165" s="361">
        <f t="shared" si="27"/>
        <v>0</v>
      </c>
    </row>
    <row r="166" spans="1:19">
      <c r="A166" s="159"/>
      <c r="B166" s="59"/>
      <c r="C166" s="24">
        <f t="shared" si="28"/>
        <v>1</v>
      </c>
      <c r="D166" s="719"/>
      <c r="E166" s="24">
        <f t="shared" si="29"/>
        <v>1</v>
      </c>
      <c r="F166" s="719"/>
      <c r="G166" s="24">
        <f t="shared" si="30"/>
        <v>1</v>
      </c>
      <c r="H166" s="719"/>
      <c r="I166" s="24">
        <f t="shared" si="31"/>
        <v>1</v>
      </c>
      <c r="J166" s="719"/>
      <c r="K166" s="24">
        <f t="shared" si="32"/>
        <v>1</v>
      </c>
      <c r="L166" s="719"/>
      <c r="M166" s="24">
        <f t="shared" si="33"/>
        <v>1</v>
      </c>
      <c r="N166" s="719"/>
      <c r="O166" s="24">
        <f t="shared" si="34"/>
        <v>1</v>
      </c>
      <c r="P166" s="719"/>
      <c r="Q166" s="24">
        <f t="shared" si="35"/>
        <v>1</v>
      </c>
      <c r="R166" s="715">
        <f t="shared" si="36"/>
        <v>0</v>
      </c>
      <c r="S166" s="361">
        <f t="shared" si="27"/>
        <v>0</v>
      </c>
    </row>
    <row r="167" spans="1:19">
      <c r="A167" s="159"/>
      <c r="B167" s="59"/>
      <c r="C167" s="24">
        <f t="shared" si="28"/>
        <v>1</v>
      </c>
      <c r="D167" s="719"/>
      <c r="E167" s="24">
        <f t="shared" si="29"/>
        <v>1</v>
      </c>
      <c r="F167" s="719"/>
      <c r="G167" s="24">
        <f t="shared" si="30"/>
        <v>1</v>
      </c>
      <c r="H167" s="719"/>
      <c r="I167" s="24">
        <f t="shared" si="31"/>
        <v>1</v>
      </c>
      <c r="J167" s="719"/>
      <c r="K167" s="24">
        <f t="shared" si="32"/>
        <v>1</v>
      </c>
      <c r="L167" s="719"/>
      <c r="M167" s="24">
        <f t="shared" si="33"/>
        <v>1</v>
      </c>
      <c r="N167" s="719"/>
      <c r="O167" s="24">
        <f t="shared" si="34"/>
        <v>1</v>
      </c>
      <c r="P167" s="719"/>
      <c r="Q167" s="24">
        <f t="shared" si="35"/>
        <v>1</v>
      </c>
      <c r="R167" s="715">
        <f t="shared" si="36"/>
        <v>0</v>
      </c>
      <c r="S167" s="361">
        <f t="shared" si="27"/>
        <v>0</v>
      </c>
    </row>
    <row r="168" spans="1:19">
      <c r="A168" s="159"/>
      <c r="B168" s="59"/>
      <c r="C168" s="24">
        <f t="shared" si="28"/>
        <v>1</v>
      </c>
      <c r="D168" s="719"/>
      <c r="E168" s="24">
        <f t="shared" si="29"/>
        <v>1</v>
      </c>
      <c r="F168" s="719"/>
      <c r="G168" s="24">
        <f t="shared" si="30"/>
        <v>1</v>
      </c>
      <c r="H168" s="719"/>
      <c r="I168" s="24">
        <f t="shared" si="31"/>
        <v>1</v>
      </c>
      <c r="J168" s="719"/>
      <c r="K168" s="24">
        <f t="shared" si="32"/>
        <v>1</v>
      </c>
      <c r="L168" s="719"/>
      <c r="M168" s="24">
        <f t="shared" si="33"/>
        <v>1</v>
      </c>
      <c r="N168" s="719"/>
      <c r="O168" s="24">
        <f t="shared" si="34"/>
        <v>1</v>
      </c>
      <c r="P168" s="719"/>
      <c r="Q168" s="24">
        <f t="shared" si="35"/>
        <v>1</v>
      </c>
      <c r="R168" s="715">
        <f t="shared" si="36"/>
        <v>0</v>
      </c>
      <c r="S168" s="361">
        <f t="shared" si="27"/>
        <v>0</v>
      </c>
    </row>
    <row r="169" spans="1:19">
      <c r="A169" s="159"/>
      <c r="B169" s="59"/>
      <c r="C169" s="24">
        <f t="shared" si="28"/>
        <v>1</v>
      </c>
      <c r="D169" s="719"/>
      <c r="E169" s="24">
        <f t="shared" si="29"/>
        <v>1</v>
      </c>
      <c r="F169" s="719"/>
      <c r="G169" s="24">
        <f t="shared" si="30"/>
        <v>1</v>
      </c>
      <c r="H169" s="719"/>
      <c r="I169" s="24">
        <f t="shared" si="31"/>
        <v>1</v>
      </c>
      <c r="J169" s="719"/>
      <c r="K169" s="24">
        <f t="shared" si="32"/>
        <v>1</v>
      </c>
      <c r="L169" s="719"/>
      <c r="M169" s="24">
        <f t="shared" si="33"/>
        <v>1</v>
      </c>
      <c r="N169" s="719"/>
      <c r="O169" s="24">
        <f t="shared" si="34"/>
        <v>1</v>
      </c>
      <c r="P169" s="719"/>
      <c r="Q169" s="24">
        <f t="shared" si="35"/>
        <v>1</v>
      </c>
      <c r="R169" s="715">
        <f t="shared" si="36"/>
        <v>0</v>
      </c>
      <c r="S169" s="361">
        <f t="shared" si="27"/>
        <v>0</v>
      </c>
    </row>
    <row r="170" spans="1:19">
      <c r="A170" s="159"/>
      <c r="B170" s="59"/>
      <c r="C170" s="24">
        <f t="shared" si="28"/>
        <v>1</v>
      </c>
      <c r="D170" s="719"/>
      <c r="E170" s="24">
        <f t="shared" si="29"/>
        <v>1</v>
      </c>
      <c r="F170" s="719"/>
      <c r="G170" s="24">
        <f t="shared" si="30"/>
        <v>1</v>
      </c>
      <c r="H170" s="719"/>
      <c r="I170" s="24">
        <f t="shared" si="31"/>
        <v>1</v>
      </c>
      <c r="J170" s="719"/>
      <c r="K170" s="24">
        <f t="shared" si="32"/>
        <v>1</v>
      </c>
      <c r="L170" s="719"/>
      <c r="M170" s="24">
        <f t="shared" si="33"/>
        <v>1</v>
      </c>
      <c r="N170" s="719"/>
      <c r="O170" s="24">
        <f t="shared" si="34"/>
        <v>1</v>
      </c>
      <c r="P170" s="719"/>
      <c r="Q170" s="24">
        <f t="shared" si="35"/>
        <v>1</v>
      </c>
      <c r="R170" s="715">
        <f t="shared" si="36"/>
        <v>0</v>
      </c>
      <c r="S170" s="361">
        <f t="shared" si="27"/>
        <v>0</v>
      </c>
    </row>
    <row r="171" spans="1:19">
      <c r="A171" s="159"/>
      <c r="B171" s="59"/>
      <c r="C171" s="24">
        <f t="shared" si="28"/>
        <v>1</v>
      </c>
      <c r="D171" s="719"/>
      <c r="E171" s="24">
        <f t="shared" si="29"/>
        <v>1</v>
      </c>
      <c r="F171" s="719"/>
      <c r="G171" s="24">
        <f t="shared" si="30"/>
        <v>1</v>
      </c>
      <c r="H171" s="719"/>
      <c r="I171" s="24">
        <f t="shared" si="31"/>
        <v>1</v>
      </c>
      <c r="J171" s="719"/>
      <c r="K171" s="24">
        <f t="shared" si="32"/>
        <v>1</v>
      </c>
      <c r="L171" s="719"/>
      <c r="M171" s="24">
        <f t="shared" si="33"/>
        <v>1</v>
      </c>
      <c r="N171" s="719"/>
      <c r="O171" s="24">
        <f t="shared" si="34"/>
        <v>1</v>
      </c>
      <c r="P171" s="719"/>
      <c r="Q171" s="24">
        <f t="shared" si="35"/>
        <v>1</v>
      </c>
      <c r="R171" s="715">
        <f t="shared" si="36"/>
        <v>0</v>
      </c>
      <c r="S171" s="361">
        <f t="shared" si="27"/>
        <v>0</v>
      </c>
    </row>
    <row r="172" spans="1:19">
      <c r="A172" s="159"/>
      <c r="B172" s="59"/>
      <c r="C172" s="24">
        <f t="shared" si="28"/>
        <v>1</v>
      </c>
      <c r="D172" s="719"/>
      <c r="E172" s="24">
        <f t="shared" si="29"/>
        <v>1</v>
      </c>
      <c r="F172" s="719"/>
      <c r="G172" s="24">
        <f t="shared" si="30"/>
        <v>1</v>
      </c>
      <c r="H172" s="719"/>
      <c r="I172" s="24">
        <f t="shared" si="31"/>
        <v>1</v>
      </c>
      <c r="J172" s="719"/>
      <c r="K172" s="24">
        <f t="shared" si="32"/>
        <v>1</v>
      </c>
      <c r="L172" s="719"/>
      <c r="M172" s="24">
        <f t="shared" si="33"/>
        <v>1</v>
      </c>
      <c r="N172" s="719"/>
      <c r="O172" s="24">
        <f t="shared" si="34"/>
        <v>1</v>
      </c>
      <c r="P172" s="719"/>
      <c r="Q172" s="24">
        <f t="shared" si="35"/>
        <v>1</v>
      </c>
      <c r="R172" s="715">
        <f t="shared" si="36"/>
        <v>0</v>
      </c>
      <c r="S172" s="361">
        <f t="shared" si="27"/>
        <v>0</v>
      </c>
    </row>
    <row r="173" spans="1:19">
      <c r="A173" s="159"/>
      <c r="B173" s="59"/>
      <c r="C173" s="24">
        <f t="shared" si="28"/>
        <v>1</v>
      </c>
      <c r="D173" s="719"/>
      <c r="E173" s="24">
        <f t="shared" si="29"/>
        <v>1</v>
      </c>
      <c r="F173" s="719"/>
      <c r="G173" s="24">
        <f t="shared" si="30"/>
        <v>1</v>
      </c>
      <c r="H173" s="719"/>
      <c r="I173" s="24">
        <f t="shared" si="31"/>
        <v>1</v>
      </c>
      <c r="J173" s="719"/>
      <c r="K173" s="24">
        <f t="shared" si="32"/>
        <v>1</v>
      </c>
      <c r="L173" s="719"/>
      <c r="M173" s="24">
        <f t="shared" si="33"/>
        <v>1</v>
      </c>
      <c r="N173" s="719"/>
      <c r="O173" s="24">
        <f t="shared" si="34"/>
        <v>1</v>
      </c>
      <c r="P173" s="719"/>
      <c r="Q173" s="24">
        <f t="shared" si="35"/>
        <v>1</v>
      </c>
      <c r="R173" s="715">
        <f t="shared" si="36"/>
        <v>0</v>
      </c>
      <c r="S173" s="361">
        <f t="shared" si="27"/>
        <v>0</v>
      </c>
    </row>
    <row r="174" spans="1:19">
      <c r="A174" s="159"/>
      <c r="B174" s="59"/>
      <c r="C174" s="24">
        <f t="shared" si="28"/>
        <v>1</v>
      </c>
      <c r="D174" s="719"/>
      <c r="E174" s="24">
        <f t="shared" si="29"/>
        <v>1</v>
      </c>
      <c r="F174" s="719"/>
      <c r="G174" s="24">
        <f t="shared" si="30"/>
        <v>1</v>
      </c>
      <c r="H174" s="719"/>
      <c r="I174" s="24">
        <f t="shared" si="31"/>
        <v>1</v>
      </c>
      <c r="J174" s="719"/>
      <c r="K174" s="24">
        <f t="shared" si="32"/>
        <v>1</v>
      </c>
      <c r="L174" s="719"/>
      <c r="M174" s="24">
        <f t="shared" si="33"/>
        <v>1</v>
      </c>
      <c r="N174" s="719"/>
      <c r="O174" s="24">
        <f t="shared" si="34"/>
        <v>1</v>
      </c>
      <c r="P174" s="719"/>
      <c r="Q174" s="24">
        <f t="shared" si="35"/>
        <v>1</v>
      </c>
      <c r="R174" s="715">
        <f t="shared" si="36"/>
        <v>0</v>
      </c>
      <c r="S174" s="361">
        <f t="shared" si="27"/>
        <v>0</v>
      </c>
    </row>
    <row r="175" spans="1:19">
      <c r="A175" s="159"/>
      <c r="B175" s="59"/>
      <c r="C175" s="24">
        <f t="shared" si="28"/>
        <v>1</v>
      </c>
      <c r="D175" s="719"/>
      <c r="E175" s="24">
        <f t="shared" si="29"/>
        <v>1</v>
      </c>
      <c r="F175" s="719"/>
      <c r="G175" s="24">
        <f t="shared" si="30"/>
        <v>1</v>
      </c>
      <c r="H175" s="719"/>
      <c r="I175" s="24">
        <f t="shared" si="31"/>
        <v>1</v>
      </c>
      <c r="J175" s="719"/>
      <c r="K175" s="24">
        <f t="shared" si="32"/>
        <v>1</v>
      </c>
      <c r="L175" s="719"/>
      <c r="M175" s="24">
        <f t="shared" si="33"/>
        <v>1</v>
      </c>
      <c r="N175" s="719"/>
      <c r="O175" s="24">
        <f t="shared" si="34"/>
        <v>1</v>
      </c>
      <c r="P175" s="719"/>
      <c r="Q175" s="24">
        <f t="shared" si="35"/>
        <v>1</v>
      </c>
      <c r="R175" s="715">
        <f t="shared" si="36"/>
        <v>0</v>
      </c>
      <c r="S175" s="361">
        <f t="shared" si="27"/>
        <v>0</v>
      </c>
    </row>
    <row r="176" spans="1:19">
      <c r="A176" s="159"/>
      <c r="B176" s="59"/>
      <c r="C176" s="24">
        <f t="shared" si="28"/>
        <v>1</v>
      </c>
      <c r="D176" s="719"/>
      <c r="E176" s="24">
        <f t="shared" si="29"/>
        <v>1</v>
      </c>
      <c r="F176" s="719"/>
      <c r="G176" s="24">
        <f t="shared" si="30"/>
        <v>1</v>
      </c>
      <c r="H176" s="719"/>
      <c r="I176" s="24">
        <f t="shared" si="31"/>
        <v>1</v>
      </c>
      <c r="J176" s="719"/>
      <c r="K176" s="24">
        <f t="shared" si="32"/>
        <v>1</v>
      </c>
      <c r="L176" s="719"/>
      <c r="M176" s="24">
        <f t="shared" si="33"/>
        <v>1</v>
      </c>
      <c r="N176" s="719"/>
      <c r="O176" s="24">
        <f t="shared" si="34"/>
        <v>1</v>
      </c>
      <c r="P176" s="719"/>
      <c r="Q176" s="24">
        <f t="shared" si="35"/>
        <v>1</v>
      </c>
      <c r="R176" s="715">
        <f t="shared" si="36"/>
        <v>0</v>
      </c>
      <c r="S176" s="361">
        <f t="shared" si="27"/>
        <v>0</v>
      </c>
    </row>
    <row r="177" spans="1:19">
      <c r="A177" s="159"/>
      <c r="B177" s="59"/>
      <c r="C177" s="24">
        <f t="shared" si="28"/>
        <v>1</v>
      </c>
      <c r="D177" s="719"/>
      <c r="E177" s="24">
        <f t="shared" si="29"/>
        <v>1</v>
      </c>
      <c r="F177" s="719"/>
      <c r="G177" s="24">
        <f t="shared" si="30"/>
        <v>1</v>
      </c>
      <c r="H177" s="719"/>
      <c r="I177" s="24">
        <f t="shared" si="31"/>
        <v>1</v>
      </c>
      <c r="J177" s="719"/>
      <c r="K177" s="24">
        <f t="shared" si="32"/>
        <v>1</v>
      </c>
      <c r="L177" s="719"/>
      <c r="M177" s="24">
        <f t="shared" si="33"/>
        <v>1</v>
      </c>
      <c r="N177" s="719"/>
      <c r="O177" s="24">
        <f t="shared" si="34"/>
        <v>1</v>
      </c>
      <c r="P177" s="719"/>
      <c r="Q177" s="24">
        <f t="shared" si="35"/>
        <v>1</v>
      </c>
      <c r="R177" s="715">
        <f t="shared" si="36"/>
        <v>0</v>
      </c>
      <c r="S177" s="361">
        <f t="shared" si="27"/>
        <v>0</v>
      </c>
    </row>
    <row r="178" spans="1:19">
      <c r="A178" s="159"/>
      <c r="B178" s="59"/>
      <c r="C178" s="24">
        <f t="shared" si="28"/>
        <v>1</v>
      </c>
      <c r="D178" s="719"/>
      <c r="E178" s="24">
        <f t="shared" si="29"/>
        <v>1</v>
      </c>
      <c r="F178" s="719"/>
      <c r="G178" s="24">
        <f t="shared" si="30"/>
        <v>1</v>
      </c>
      <c r="H178" s="719"/>
      <c r="I178" s="24">
        <f t="shared" si="31"/>
        <v>1</v>
      </c>
      <c r="J178" s="719"/>
      <c r="K178" s="24">
        <f t="shared" si="32"/>
        <v>1</v>
      </c>
      <c r="L178" s="719"/>
      <c r="M178" s="24">
        <f t="shared" si="33"/>
        <v>1</v>
      </c>
      <c r="N178" s="719"/>
      <c r="O178" s="24">
        <f t="shared" si="34"/>
        <v>1</v>
      </c>
      <c r="P178" s="719"/>
      <c r="Q178" s="24">
        <f t="shared" si="35"/>
        <v>1</v>
      </c>
      <c r="R178" s="715">
        <f t="shared" si="36"/>
        <v>0</v>
      </c>
      <c r="S178" s="361">
        <f t="shared" si="27"/>
        <v>0</v>
      </c>
    </row>
    <row r="179" spans="1:19">
      <c r="A179" s="159"/>
      <c r="B179" s="59"/>
      <c r="C179" s="24">
        <f t="shared" si="28"/>
        <v>1</v>
      </c>
      <c r="D179" s="719"/>
      <c r="E179" s="24">
        <f t="shared" si="29"/>
        <v>1</v>
      </c>
      <c r="F179" s="719"/>
      <c r="G179" s="24">
        <f t="shared" si="30"/>
        <v>1</v>
      </c>
      <c r="H179" s="719"/>
      <c r="I179" s="24">
        <f t="shared" si="31"/>
        <v>1</v>
      </c>
      <c r="J179" s="719"/>
      <c r="K179" s="24">
        <f t="shared" si="32"/>
        <v>1</v>
      </c>
      <c r="L179" s="719"/>
      <c r="M179" s="24">
        <f t="shared" si="33"/>
        <v>1</v>
      </c>
      <c r="N179" s="719"/>
      <c r="O179" s="24">
        <f t="shared" si="34"/>
        <v>1</v>
      </c>
      <c r="P179" s="719"/>
      <c r="Q179" s="24">
        <f t="shared" si="35"/>
        <v>1</v>
      </c>
      <c r="R179" s="715">
        <f t="shared" si="36"/>
        <v>0</v>
      </c>
      <c r="S179" s="361">
        <f t="shared" si="27"/>
        <v>0</v>
      </c>
    </row>
    <row r="180" spans="1:19">
      <c r="A180" s="159"/>
      <c r="B180" s="59"/>
      <c r="C180" s="24">
        <f t="shared" si="28"/>
        <v>1</v>
      </c>
      <c r="D180" s="719"/>
      <c r="E180" s="24">
        <f t="shared" si="29"/>
        <v>1</v>
      </c>
      <c r="F180" s="719"/>
      <c r="G180" s="24">
        <f t="shared" si="30"/>
        <v>1</v>
      </c>
      <c r="H180" s="719"/>
      <c r="I180" s="24">
        <f t="shared" si="31"/>
        <v>1</v>
      </c>
      <c r="J180" s="719"/>
      <c r="K180" s="24">
        <f t="shared" si="32"/>
        <v>1</v>
      </c>
      <c r="L180" s="719"/>
      <c r="M180" s="24">
        <f t="shared" si="33"/>
        <v>1</v>
      </c>
      <c r="N180" s="719"/>
      <c r="O180" s="24">
        <f t="shared" si="34"/>
        <v>1</v>
      </c>
      <c r="P180" s="719"/>
      <c r="Q180" s="24">
        <f t="shared" si="35"/>
        <v>1</v>
      </c>
      <c r="R180" s="715">
        <f t="shared" si="36"/>
        <v>0</v>
      </c>
      <c r="S180" s="361">
        <f t="shared" si="27"/>
        <v>0</v>
      </c>
    </row>
    <row r="181" spans="1:19">
      <c r="A181" s="159"/>
      <c r="B181" s="59"/>
      <c r="C181" s="24">
        <f t="shared" si="28"/>
        <v>1</v>
      </c>
      <c r="D181" s="719"/>
      <c r="E181" s="24">
        <f t="shared" si="29"/>
        <v>1</v>
      </c>
      <c r="F181" s="719"/>
      <c r="G181" s="24">
        <f t="shared" si="30"/>
        <v>1</v>
      </c>
      <c r="H181" s="719"/>
      <c r="I181" s="24">
        <f t="shared" si="31"/>
        <v>1</v>
      </c>
      <c r="J181" s="719"/>
      <c r="K181" s="24">
        <f t="shared" si="32"/>
        <v>1</v>
      </c>
      <c r="L181" s="719"/>
      <c r="M181" s="24">
        <f t="shared" si="33"/>
        <v>1</v>
      </c>
      <c r="N181" s="719"/>
      <c r="O181" s="24">
        <f t="shared" si="34"/>
        <v>1</v>
      </c>
      <c r="P181" s="719"/>
      <c r="Q181" s="24">
        <f t="shared" si="35"/>
        <v>1</v>
      </c>
      <c r="R181" s="715">
        <f t="shared" si="36"/>
        <v>0</v>
      </c>
      <c r="S181" s="361">
        <f t="shared" si="27"/>
        <v>0</v>
      </c>
    </row>
    <row r="182" spans="1:19">
      <c r="A182" s="159"/>
      <c r="B182" s="59"/>
      <c r="C182" s="24">
        <f t="shared" si="28"/>
        <v>1</v>
      </c>
      <c r="D182" s="719"/>
      <c r="E182" s="24">
        <f t="shared" si="29"/>
        <v>1</v>
      </c>
      <c r="F182" s="719"/>
      <c r="G182" s="24">
        <f t="shared" si="30"/>
        <v>1</v>
      </c>
      <c r="H182" s="719"/>
      <c r="I182" s="24">
        <f t="shared" si="31"/>
        <v>1</v>
      </c>
      <c r="J182" s="719"/>
      <c r="K182" s="24">
        <f t="shared" si="32"/>
        <v>1</v>
      </c>
      <c r="L182" s="719"/>
      <c r="M182" s="24">
        <f t="shared" si="33"/>
        <v>1</v>
      </c>
      <c r="N182" s="719"/>
      <c r="O182" s="24">
        <f t="shared" si="34"/>
        <v>1</v>
      </c>
      <c r="P182" s="719"/>
      <c r="Q182" s="24">
        <f t="shared" si="35"/>
        <v>1</v>
      </c>
      <c r="R182" s="715">
        <f t="shared" si="36"/>
        <v>0</v>
      </c>
      <c r="S182" s="361">
        <f t="shared" si="27"/>
        <v>0</v>
      </c>
    </row>
    <row r="183" spans="1:19">
      <c r="A183" s="159"/>
      <c r="B183" s="59"/>
      <c r="C183" s="24">
        <f t="shared" si="28"/>
        <v>1</v>
      </c>
      <c r="D183" s="719"/>
      <c r="E183" s="24">
        <f t="shared" si="29"/>
        <v>1</v>
      </c>
      <c r="F183" s="719"/>
      <c r="G183" s="24">
        <f t="shared" si="30"/>
        <v>1</v>
      </c>
      <c r="H183" s="719"/>
      <c r="I183" s="24">
        <f t="shared" si="31"/>
        <v>1</v>
      </c>
      <c r="J183" s="719"/>
      <c r="K183" s="24">
        <f t="shared" si="32"/>
        <v>1</v>
      </c>
      <c r="L183" s="719"/>
      <c r="M183" s="24">
        <f t="shared" si="33"/>
        <v>1</v>
      </c>
      <c r="N183" s="719"/>
      <c r="O183" s="24">
        <f t="shared" si="34"/>
        <v>1</v>
      </c>
      <c r="P183" s="719"/>
      <c r="Q183" s="24">
        <f t="shared" si="35"/>
        <v>1</v>
      </c>
      <c r="R183" s="715">
        <f t="shared" si="36"/>
        <v>0</v>
      </c>
      <c r="S183" s="361">
        <f t="shared" si="27"/>
        <v>0</v>
      </c>
    </row>
    <row r="184" spans="1:19">
      <c r="A184" s="159"/>
      <c r="B184" s="59"/>
      <c r="C184" s="24">
        <f t="shared" si="28"/>
        <v>1</v>
      </c>
      <c r="D184" s="719"/>
      <c r="E184" s="24">
        <f t="shared" si="29"/>
        <v>1</v>
      </c>
      <c r="F184" s="719"/>
      <c r="G184" s="24">
        <f t="shared" si="30"/>
        <v>1</v>
      </c>
      <c r="H184" s="719"/>
      <c r="I184" s="24">
        <f t="shared" si="31"/>
        <v>1</v>
      </c>
      <c r="J184" s="719"/>
      <c r="K184" s="24">
        <f t="shared" si="32"/>
        <v>1</v>
      </c>
      <c r="L184" s="719"/>
      <c r="M184" s="24">
        <f t="shared" si="33"/>
        <v>1</v>
      </c>
      <c r="N184" s="719"/>
      <c r="O184" s="24">
        <f t="shared" si="34"/>
        <v>1</v>
      </c>
      <c r="P184" s="719"/>
      <c r="Q184" s="24">
        <f t="shared" si="35"/>
        <v>1</v>
      </c>
      <c r="R184" s="715">
        <f t="shared" si="36"/>
        <v>0</v>
      </c>
      <c r="S184" s="361">
        <f t="shared" si="27"/>
        <v>0</v>
      </c>
    </row>
    <row r="185" spans="1:19">
      <c r="A185" s="159"/>
      <c r="B185" s="59"/>
      <c r="C185" s="24">
        <f t="shared" si="28"/>
        <v>1</v>
      </c>
      <c r="D185" s="719"/>
      <c r="E185" s="24">
        <f t="shared" si="29"/>
        <v>1</v>
      </c>
      <c r="F185" s="719"/>
      <c r="G185" s="24">
        <f t="shared" si="30"/>
        <v>1</v>
      </c>
      <c r="H185" s="719"/>
      <c r="I185" s="24">
        <f t="shared" si="31"/>
        <v>1</v>
      </c>
      <c r="J185" s="719"/>
      <c r="K185" s="24">
        <f t="shared" si="32"/>
        <v>1</v>
      </c>
      <c r="L185" s="719"/>
      <c r="M185" s="24">
        <f t="shared" si="33"/>
        <v>1</v>
      </c>
      <c r="N185" s="719"/>
      <c r="O185" s="24">
        <f t="shared" si="34"/>
        <v>1</v>
      </c>
      <c r="P185" s="719"/>
      <c r="Q185" s="24">
        <f t="shared" si="35"/>
        <v>1</v>
      </c>
      <c r="R185" s="715">
        <f t="shared" si="36"/>
        <v>0</v>
      </c>
      <c r="S185" s="361">
        <f t="shared" si="27"/>
        <v>0</v>
      </c>
    </row>
    <row r="186" spans="1:19">
      <c r="A186" s="159"/>
      <c r="B186" s="59"/>
      <c r="C186" s="24">
        <f t="shared" si="28"/>
        <v>1</v>
      </c>
      <c r="D186" s="719"/>
      <c r="E186" s="24">
        <f t="shared" si="29"/>
        <v>1</v>
      </c>
      <c r="F186" s="719"/>
      <c r="G186" s="24">
        <f t="shared" si="30"/>
        <v>1</v>
      </c>
      <c r="H186" s="719"/>
      <c r="I186" s="24">
        <f t="shared" si="31"/>
        <v>1</v>
      </c>
      <c r="J186" s="719"/>
      <c r="K186" s="24">
        <f t="shared" si="32"/>
        <v>1</v>
      </c>
      <c r="L186" s="719"/>
      <c r="M186" s="24">
        <f t="shared" si="33"/>
        <v>1</v>
      </c>
      <c r="N186" s="719"/>
      <c r="O186" s="24">
        <f t="shared" si="34"/>
        <v>1</v>
      </c>
      <c r="P186" s="719"/>
      <c r="Q186" s="24">
        <f t="shared" si="35"/>
        <v>1</v>
      </c>
      <c r="R186" s="715">
        <f t="shared" si="36"/>
        <v>0</v>
      </c>
      <c r="S186" s="361">
        <f t="shared" si="27"/>
        <v>0</v>
      </c>
    </row>
    <row r="187" spans="1:19">
      <c r="A187" s="159"/>
      <c r="B187" s="59"/>
      <c r="C187" s="24">
        <f t="shared" si="28"/>
        <v>1</v>
      </c>
      <c r="D187" s="719"/>
      <c r="E187" s="24">
        <f t="shared" si="29"/>
        <v>1</v>
      </c>
      <c r="F187" s="719"/>
      <c r="G187" s="24">
        <f t="shared" si="30"/>
        <v>1</v>
      </c>
      <c r="H187" s="719"/>
      <c r="I187" s="24">
        <f t="shared" si="31"/>
        <v>1</v>
      </c>
      <c r="J187" s="719"/>
      <c r="K187" s="24">
        <f t="shared" si="32"/>
        <v>1</v>
      </c>
      <c r="L187" s="719"/>
      <c r="M187" s="24">
        <f t="shared" si="33"/>
        <v>1</v>
      </c>
      <c r="N187" s="719"/>
      <c r="O187" s="24">
        <f t="shared" si="34"/>
        <v>1</v>
      </c>
      <c r="P187" s="719"/>
      <c r="Q187" s="24">
        <f t="shared" si="35"/>
        <v>1</v>
      </c>
      <c r="R187" s="715">
        <f t="shared" si="36"/>
        <v>0</v>
      </c>
      <c r="S187" s="361">
        <f t="shared" ref="S187:S222" si="37">ROUND(R187*B187/10000,0)</f>
        <v>0</v>
      </c>
    </row>
    <row r="188" spans="1:19">
      <c r="A188" s="159"/>
      <c r="B188" s="59"/>
      <c r="C188" s="24">
        <f t="shared" si="28"/>
        <v>1</v>
      </c>
      <c r="D188" s="719"/>
      <c r="E188" s="24">
        <f t="shared" si="29"/>
        <v>1</v>
      </c>
      <c r="F188" s="719"/>
      <c r="G188" s="24">
        <f t="shared" si="30"/>
        <v>1</v>
      </c>
      <c r="H188" s="719"/>
      <c r="I188" s="24">
        <f t="shared" si="31"/>
        <v>1</v>
      </c>
      <c r="J188" s="719"/>
      <c r="K188" s="24">
        <f t="shared" si="32"/>
        <v>1</v>
      </c>
      <c r="L188" s="719"/>
      <c r="M188" s="24">
        <f t="shared" si="33"/>
        <v>1</v>
      </c>
      <c r="N188" s="719"/>
      <c r="O188" s="24">
        <f t="shared" si="34"/>
        <v>1</v>
      </c>
      <c r="P188" s="719"/>
      <c r="Q188" s="24">
        <f t="shared" si="35"/>
        <v>1</v>
      </c>
      <c r="R188" s="715">
        <f t="shared" si="36"/>
        <v>0</v>
      </c>
      <c r="S188" s="361">
        <f t="shared" si="37"/>
        <v>0</v>
      </c>
    </row>
    <row r="189" spans="1:19">
      <c r="A189" s="159"/>
      <c r="B189" s="59"/>
      <c r="C189" s="24">
        <f t="shared" si="28"/>
        <v>1</v>
      </c>
      <c r="D189" s="719"/>
      <c r="E189" s="24">
        <f t="shared" si="29"/>
        <v>1</v>
      </c>
      <c r="F189" s="719"/>
      <c r="G189" s="24">
        <f t="shared" si="30"/>
        <v>1</v>
      </c>
      <c r="H189" s="719"/>
      <c r="I189" s="24">
        <f t="shared" si="31"/>
        <v>1</v>
      </c>
      <c r="J189" s="719"/>
      <c r="K189" s="24">
        <f t="shared" si="32"/>
        <v>1</v>
      </c>
      <c r="L189" s="719"/>
      <c r="M189" s="24">
        <f t="shared" si="33"/>
        <v>1</v>
      </c>
      <c r="N189" s="719"/>
      <c r="O189" s="24">
        <f t="shared" si="34"/>
        <v>1</v>
      </c>
      <c r="P189" s="719"/>
      <c r="Q189" s="24">
        <f t="shared" si="35"/>
        <v>1</v>
      </c>
      <c r="R189" s="715">
        <f t="shared" si="36"/>
        <v>0</v>
      </c>
      <c r="S189" s="361">
        <f t="shared" si="37"/>
        <v>0</v>
      </c>
    </row>
    <row r="190" spans="1:19">
      <c r="A190" s="159"/>
      <c r="B190" s="59"/>
      <c r="C190" s="24">
        <f t="shared" si="28"/>
        <v>1</v>
      </c>
      <c r="D190" s="719"/>
      <c r="E190" s="24">
        <f t="shared" si="29"/>
        <v>1</v>
      </c>
      <c r="F190" s="719"/>
      <c r="G190" s="24">
        <f t="shared" si="30"/>
        <v>1</v>
      </c>
      <c r="H190" s="719"/>
      <c r="I190" s="24">
        <f t="shared" si="31"/>
        <v>1</v>
      </c>
      <c r="J190" s="719"/>
      <c r="K190" s="24">
        <f t="shared" si="32"/>
        <v>1</v>
      </c>
      <c r="L190" s="719"/>
      <c r="M190" s="24">
        <f t="shared" si="33"/>
        <v>1</v>
      </c>
      <c r="N190" s="719"/>
      <c r="O190" s="24">
        <f t="shared" si="34"/>
        <v>1</v>
      </c>
      <c r="P190" s="719"/>
      <c r="Q190" s="24">
        <f t="shared" si="35"/>
        <v>1</v>
      </c>
      <c r="R190" s="715">
        <f t="shared" si="36"/>
        <v>0</v>
      </c>
      <c r="S190" s="361">
        <f t="shared" si="37"/>
        <v>0</v>
      </c>
    </row>
    <row r="191" spans="1:19">
      <c r="A191" s="159"/>
      <c r="B191" s="59"/>
      <c r="C191" s="24">
        <f t="shared" si="28"/>
        <v>1</v>
      </c>
      <c r="D191" s="719"/>
      <c r="E191" s="24">
        <f t="shared" si="29"/>
        <v>1</v>
      </c>
      <c r="F191" s="719"/>
      <c r="G191" s="24">
        <f t="shared" si="30"/>
        <v>1</v>
      </c>
      <c r="H191" s="719"/>
      <c r="I191" s="24">
        <f t="shared" si="31"/>
        <v>1</v>
      </c>
      <c r="J191" s="719"/>
      <c r="K191" s="24">
        <f t="shared" si="32"/>
        <v>1</v>
      </c>
      <c r="L191" s="719"/>
      <c r="M191" s="24">
        <f t="shared" si="33"/>
        <v>1</v>
      </c>
      <c r="N191" s="719"/>
      <c r="O191" s="24">
        <f t="shared" si="34"/>
        <v>1</v>
      </c>
      <c r="P191" s="719"/>
      <c r="Q191" s="24">
        <f t="shared" si="35"/>
        <v>1</v>
      </c>
      <c r="R191" s="715">
        <f t="shared" si="36"/>
        <v>0</v>
      </c>
      <c r="S191" s="361">
        <f t="shared" si="37"/>
        <v>0</v>
      </c>
    </row>
    <row r="192" spans="1:19">
      <c r="A192" s="159"/>
      <c r="B192" s="59"/>
      <c r="C192" s="24">
        <f t="shared" si="28"/>
        <v>1</v>
      </c>
      <c r="D192" s="719"/>
      <c r="E192" s="24">
        <f t="shared" si="29"/>
        <v>1</v>
      </c>
      <c r="F192" s="719"/>
      <c r="G192" s="24">
        <f t="shared" si="30"/>
        <v>1</v>
      </c>
      <c r="H192" s="719"/>
      <c r="I192" s="24">
        <f t="shared" si="31"/>
        <v>1</v>
      </c>
      <c r="J192" s="719"/>
      <c r="K192" s="24">
        <f t="shared" si="32"/>
        <v>1</v>
      </c>
      <c r="L192" s="719"/>
      <c r="M192" s="24">
        <f t="shared" si="33"/>
        <v>1</v>
      </c>
      <c r="N192" s="719"/>
      <c r="O192" s="24">
        <f t="shared" si="34"/>
        <v>1</v>
      </c>
      <c r="P192" s="719"/>
      <c r="Q192" s="24">
        <f t="shared" si="35"/>
        <v>1</v>
      </c>
      <c r="R192" s="715">
        <f t="shared" si="36"/>
        <v>0</v>
      </c>
      <c r="S192" s="361">
        <f t="shared" si="37"/>
        <v>0</v>
      </c>
    </row>
    <row r="193" spans="1:19">
      <c r="A193" s="159"/>
      <c r="B193" s="59"/>
      <c r="C193" s="24">
        <f t="shared" si="28"/>
        <v>1</v>
      </c>
      <c r="D193" s="719"/>
      <c r="E193" s="24">
        <f t="shared" si="29"/>
        <v>1</v>
      </c>
      <c r="F193" s="719"/>
      <c r="G193" s="24">
        <f t="shared" si="30"/>
        <v>1</v>
      </c>
      <c r="H193" s="719"/>
      <c r="I193" s="24">
        <f t="shared" si="31"/>
        <v>1</v>
      </c>
      <c r="J193" s="719"/>
      <c r="K193" s="24">
        <f t="shared" si="32"/>
        <v>1</v>
      </c>
      <c r="L193" s="719"/>
      <c r="M193" s="24">
        <f t="shared" si="33"/>
        <v>1</v>
      </c>
      <c r="N193" s="719"/>
      <c r="O193" s="24">
        <f t="shared" si="34"/>
        <v>1</v>
      </c>
      <c r="P193" s="719"/>
      <c r="Q193" s="24">
        <f t="shared" si="35"/>
        <v>1</v>
      </c>
      <c r="R193" s="715">
        <f t="shared" si="36"/>
        <v>0</v>
      </c>
      <c r="S193" s="361">
        <f t="shared" si="37"/>
        <v>0</v>
      </c>
    </row>
    <row r="194" spans="1:19">
      <c r="A194" s="159"/>
      <c r="B194" s="59"/>
      <c r="C194" s="24">
        <f t="shared" si="28"/>
        <v>1</v>
      </c>
      <c r="D194" s="719"/>
      <c r="E194" s="24">
        <f t="shared" si="29"/>
        <v>1</v>
      </c>
      <c r="F194" s="719"/>
      <c r="G194" s="24">
        <f t="shared" si="30"/>
        <v>1</v>
      </c>
      <c r="H194" s="719"/>
      <c r="I194" s="24">
        <f t="shared" si="31"/>
        <v>1</v>
      </c>
      <c r="J194" s="719"/>
      <c r="K194" s="24">
        <f t="shared" si="32"/>
        <v>1</v>
      </c>
      <c r="L194" s="719"/>
      <c r="M194" s="24">
        <f t="shared" si="33"/>
        <v>1</v>
      </c>
      <c r="N194" s="719"/>
      <c r="O194" s="24">
        <f t="shared" si="34"/>
        <v>1</v>
      </c>
      <c r="P194" s="719"/>
      <c r="Q194" s="24">
        <f t="shared" si="35"/>
        <v>1</v>
      </c>
      <c r="R194" s="715">
        <f t="shared" si="36"/>
        <v>0</v>
      </c>
      <c r="S194" s="361">
        <f t="shared" si="37"/>
        <v>0</v>
      </c>
    </row>
    <row r="195" spans="1:19">
      <c r="A195" s="159"/>
      <c r="B195" s="59"/>
      <c r="C195" s="24">
        <f t="shared" si="28"/>
        <v>1</v>
      </c>
      <c r="D195" s="719"/>
      <c r="E195" s="24">
        <f t="shared" si="29"/>
        <v>1</v>
      </c>
      <c r="F195" s="719"/>
      <c r="G195" s="24">
        <f t="shared" si="30"/>
        <v>1</v>
      </c>
      <c r="H195" s="719"/>
      <c r="I195" s="24">
        <f t="shared" si="31"/>
        <v>1</v>
      </c>
      <c r="J195" s="719"/>
      <c r="K195" s="24">
        <f t="shared" si="32"/>
        <v>1</v>
      </c>
      <c r="L195" s="719"/>
      <c r="M195" s="24">
        <f t="shared" si="33"/>
        <v>1</v>
      </c>
      <c r="N195" s="719"/>
      <c r="O195" s="24">
        <f t="shared" si="34"/>
        <v>1</v>
      </c>
      <c r="P195" s="719"/>
      <c r="Q195" s="24">
        <f t="shared" si="35"/>
        <v>1</v>
      </c>
      <c r="R195" s="715">
        <f t="shared" si="36"/>
        <v>0</v>
      </c>
      <c r="S195" s="361">
        <f t="shared" si="37"/>
        <v>0</v>
      </c>
    </row>
    <row r="196" spans="1:19">
      <c r="A196" s="159"/>
      <c r="B196" s="59"/>
      <c r="C196" s="24">
        <f t="shared" si="28"/>
        <v>1</v>
      </c>
      <c r="D196" s="719"/>
      <c r="E196" s="24">
        <f t="shared" si="29"/>
        <v>1</v>
      </c>
      <c r="F196" s="719"/>
      <c r="G196" s="24">
        <f t="shared" si="30"/>
        <v>1</v>
      </c>
      <c r="H196" s="719"/>
      <c r="I196" s="24">
        <f t="shared" si="31"/>
        <v>1</v>
      </c>
      <c r="J196" s="719"/>
      <c r="K196" s="24">
        <f t="shared" si="32"/>
        <v>1</v>
      </c>
      <c r="L196" s="719"/>
      <c r="M196" s="24">
        <f t="shared" si="33"/>
        <v>1</v>
      </c>
      <c r="N196" s="719"/>
      <c r="O196" s="24">
        <f t="shared" si="34"/>
        <v>1</v>
      </c>
      <c r="P196" s="719"/>
      <c r="Q196" s="24">
        <f t="shared" si="35"/>
        <v>1</v>
      </c>
      <c r="R196" s="715">
        <f t="shared" si="36"/>
        <v>0</v>
      </c>
      <c r="S196" s="361">
        <f t="shared" si="37"/>
        <v>0</v>
      </c>
    </row>
    <row r="197" spans="1:19">
      <c r="A197" s="159"/>
      <c r="B197" s="59"/>
      <c r="C197" s="24">
        <f t="shared" si="28"/>
        <v>1</v>
      </c>
      <c r="D197" s="719"/>
      <c r="E197" s="24">
        <f t="shared" si="29"/>
        <v>1</v>
      </c>
      <c r="F197" s="719"/>
      <c r="G197" s="24">
        <f t="shared" si="30"/>
        <v>1</v>
      </c>
      <c r="H197" s="719"/>
      <c r="I197" s="24">
        <f t="shared" si="31"/>
        <v>1</v>
      </c>
      <c r="J197" s="719"/>
      <c r="K197" s="24">
        <f t="shared" si="32"/>
        <v>1</v>
      </c>
      <c r="L197" s="719"/>
      <c r="M197" s="24">
        <f t="shared" si="33"/>
        <v>1</v>
      </c>
      <c r="N197" s="719"/>
      <c r="O197" s="24">
        <f t="shared" si="34"/>
        <v>1</v>
      </c>
      <c r="P197" s="719"/>
      <c r="Q197" s="24">
        <f t="shared" si="35"/>
        <v>1</v>
      </c>
      <c r="R197" s="715">
        <f t="shared" si="36"/>
        <v>0</v>
      </c>
      <c r="S197" s="361">
        <f t="shared" si="37"/>
        <v>0</v>
      </c>
    </row>
    <row r="198" spans="1:19">
      <c r="A198" s="159"/>
      <c r="B198" s="59"/>
      <c r="C198" s="24">
        <f t="shared" si="28"/>
        <v>1</v>
      </c>
      <c r="D198" s="719"/>
      <c r="E198" s="24">
        <f t="shared" si="29"/>
        <v>1</v>
      </c>
      <c r="F198" s="719"/>
      <c r="G198" s="24">
        <f t="shared" si="30"/>
        <v>1</v>
      </c>
      <c r="H198" s="719"/>
      <c r="I198" s="24">
        <f t="shared" si="31"/>
        <v>1</v>
      </c>
      <c r="J198" s="719"/>
      <c r="K198" s="24">
        <f t="shared" si="32"/>
        <v>1</v>
      </c>
      <c r="L198" s="719"/>
      <c r="M198" s="24">
        <f t="shared" si="33"/>
        <v>1</v>
      </c>
      <c r="N198" s="719"/>
      <c r="O198" s="24">
        <f t="shared" si="34"/>
        <v>1</v>
      </c>
      <c r="P198" s="719"/>
      <c r="Q198" s="24">
        <f t="shared" si="35"/>
        <v>1</v>
      </c>
      <c r="R198" s="715">
        <f t="shared" si="36"/>
        <v>0</v>
      </c>
      <c r="S198" s="361">
        <f t="shared" si="37"/>
        <v>0</v>
      </c>
    </row>
    <row r="199" spans="1:19">
      <c r="A199" s="159"/>
      <c r="B199" s="59"/>
      <c r="C199" s="24">
        <f t="shared" si="28"/>
        <v>1</v>
      </c>
      <c r="D199" s="719"/>
      <c r="E199" s="24">
        <f t="shared" si="29"/>
        <v>1</v>
      </c>
      <c r="F199" s="719"/>
      <c r="G199" s="24">
        <f t="shared" si="30"/>
        <v>1</v>
      </c>
      <c r="H199" s="719"/>
      <c r="I199" s="24">
        <f t="shared" si="31"/>
        <v>1</v>
      </c>
      <c r="J199" s="719"/>
      <c r="K199" s="24">
        <f t="shared" si="32"/>
        <v>1</v>
      </c>
      <c r="L199" s="719"/>
      <c r="M199" s="24">
        <f t="shared" si="33"/>
        <v>1</v>
      </c>
      <c r="N199" s="719"/>
      <c r="O199" s="24">
        <f t="shared" si="34"/>
        <v>1</v>
      </c>
      <c r="P199" s="719"/>
      <c r="Q199" s="24">
        <f t="shared" si="35"/>
        <v>1</v>
      </c>
      <c r="R199" s="715">
        <f t="shared" si="36"/>
        <v>0</v>
      </c>
      <c r="S199" s="361">
        <f t="shared" si="37"/>
        <v>0</v>
      </c>
    </row>
    <row r="200" spans="1:19">
      <c r="A200" s="159"/>
      <c r="B200" s="59"/>
      <c r="C200" s="24">
        <f t="shared" si="28"/>
        <v>1</v>
      </c>
      <c r="D200" s="719"/>
      <c r="E200" s="24">
        <f t="shared" si="29"/>
        <v>1</v>
      </c>
      <c r="F200" s="719"/>
      <c r="G200" s="24">
        <f t="shared" si="30"/>
        <v>1</v>
      </c>
      <c r="H200" s="719"/>
      <c r="I200" s="24">
        <f t="shared" si="31"/>
        <v>1</v>
      </c>
      <c r="J200" s="719"/>
      <c r="K200" s="24">
        <f t="shared" si="32"/>
        <v>1</v>
      </c>
      <c r="L200" s="719"/>
      <c r="M200" s="24">
        <f t="shared" si="33"/>
        <v>1</v>
      </c>
      <c r="N200" s="719"/>
      <c r="O200" s="24">
        <f t="shared" si="34"/>
        <v>1</v>
      </c>
      <c r="P200" s="719"/>
      <c r="Q200" s="24">
        <f t="shared" si="35"/>
        <v>1</v>
      </c>
      <c r="R200" s="715">
        <f t="shared" si="36"/>
        <v>0</v>
      </c>
      <c r="S200" s="361">
        <f t="shared" si="37"/>
        <v>0</v>
      </c>
    </row>
    <row r="201" spans="1:19">
      <c r="A201" s="159"/>
      <c r="B201" s="59"/>
      <c r="C201" s="24">
        <f t="shared" si="28"/>
        <v>1</v>
      </c>
      <c r="D201" s="719"/>
      <c r="E201" s="24">
        <f t="shared" si="29"/>
        <v>1</v>
      </c>
      <c r="F201" s="719"/>
      <c r="G201" s="24">
        <f t="shared" si="30"/>
        <v>1</v>
      </c>
      <c r="H201" s="719"/>
      <c r="I201" s="24">
        <f t="shared" si="31"/>
        <v>1</v>
      </c>
      <c r="J201" s="719"/>
      <c r="K201" s="24">
        <f t="shared" si="32"/>
        <v>1</v>
      </c>
      <c r="L201" s="719"/>
      <c r="M201" s="24">
        <f t="shared" si="33"/>
        <v>1</v>
      </c>
      <c r="N201" s="719"/>
      <c r="O201" s="24">
        <f t="shared" si="34"/>
        <v>1</v>
      </c>
      <c r="P201" s="719"/>
      <c r="Q201" s="24">
        <f t="shared" si="35"/>
        <v>1</v>
      </c>
      <c r="R201" s="715">
        <f t="shared" si="36"/>
        <v>0</v>
      </c>
      <c r="S201" s="361">
        <f t="shared" si="37"/>
        <v>0</v>
      </c>
    </row>
    <row r="202" spans="1:19">
      <c r="A202" s="159"/>
      <c r="B202" s="59"/>
      <c r="C202" s="24">
        <f t="shared" si="28"/>
        <v>1</v>
      </c>
      <c r="D202" s="719"/>
      <c r="E202" s="24">
        <f t="shared" si="29"/>
        <v>1</v>
      </c>
      <c r="F202" s="719"/>
      <c r="G202" s="24">
        <f t="shared" si="30"/>
        <v>1</v>
      </c>
      <c r="H202" s="719"/>
      <c r="I202" s="24">
        <f t="shared" si="31"/>
        <v>1</v>
      </c>
      <c r="J202" s="719"/>
      <c r="K202" s="24">
        <f t="shared" si="32"/>
        <v>1</v>
      </c>
      <c r="L202" s="719"/>
      <c r="M202" s="24">
        <f t="shared" si="33"/>
        <v>1</v>
      </c>
      <c r="N202" s="719"/>
      <c r="O202" s="24">
        <f t="shared" si="34"/>
        <v>1</v>
      </c>
      <c r="P202" s="719"/>
      <c r="Q202" s="24">
        <f t="shared" si="35"/>
        <v>1</v>
      </c>
      <c r="R202" s="715">
        <f t="shared" si="36"/>
        <v>0</v>
      </c>
      <c r="S202" s="361">
        <f t="shared" si="37"/>
        <v>0</v>
      </c>
    </row>
    <row r="203" spans="1:19">
      <c r="A203" s="159"/>
      <c r="B203" s="59"/>
      <c r="C203" s="24">
        <f t="shared" si="28"/>
        <v>1</v>
      </c>
      <c r="D203" s="719"/>
      <c r="E203" s="24">
        <f t="shared" si="29"/>
        <v>1</v>
      </c>
      <c r="F203" s="719"/>
      <c r="G203" s="24">
        <f t="shared" si="30"/>
        <v>1</v>
      </c>
      <c r="H203" s="719"/>
      <c r="I203" s="24">
        <f t="shared" si="31"/>
        <v>1</v>
      </c>
      <c r="J203" s="719"/>
      <c r="K203" s="24">
        <f t="shared" si="32"/>
        <v>1</v>
      </c>
      <c r="L203" s="719"/>
      <c r="M203" s="24">
        <f t="shared" si="33"/>
        <v>1</v>
      </c>
      <c r="N203" s="719"/>
      <c r="O203" s="24">
        <f t="shared" si="34"/>
        <v>1</v>
      </c>
      <c r="P203" s="719"/>
      <c r="Q203" s="24">
        <f t="shared" si="35"/>
        <v>1</v>
      </c>
      <c r="R203" s="715">
        <f t="shared" si="36"/>
        <v>0</v>
      </c>
      <c r="S203" s="361">
        <f t="shared" si="37"/>
        <v>0</v>
      </c>
    </row>
    <row r="204" spans="1:19">
      <c r="A204" s="159"/>
      <c r="B204" s="59"/>
      <c r="C204" s="24">
        <f t="shared" si="28"/>
        <v>1</v>
      </c>
      <c r="D204" s="719"/>
      <c r="E204" s="24">
        <f t="shared" si="29"/>
        <v>1</v>
      </c>
      <c r="F204" s="719"/>
      <c r="G204" s="24">
        <f t="shared" si="30"/>
        <v>1</v>
      </c>
      <c r="H204" s="719"/>
      <c r="I204" s="24">
        <f t="shared" si="31"/>
        <v>1</v>
      </c>
      <c r="J204" s="719"/>
      <c r="K204" s="24">
        <f t="shared" si="32"/>
        <v>1</v>
      </c>
      <c r="L204" s="719"/>
      <c r="M204" s="24">
        <f t="shared" si="33"/>
        <v>1</v>
      </c>
      <c r="N204" s="719"/>
      <c r="O204" s="24">
        <f t="shared" si="34"/>
        <v>1</v>
      </c>
      <c r="P204" s="719"/>
      <c r="Q204" s="24">
        <f t="shared" si="35"/>
        <v>1</v>
      </c>
      <c r="R204" s="715">
        <f t="shared" si="36"/>
        <v>0</v>
      </c>
      <c r="S204" s="361">
        <f t="shared" si="37"/>
        <v>0</v>
      </c>
    </row>
    <row r="205" spans="1:19">
      <c r="A205" s="159"/>
      <c r="B205" s="59"/>
      <c r="C205" s="24">
        <f t="shared" si="28"/>
        <v>1</v>
      </c>
      <c r="D205" s="719"/>
      <c r="E205" s="24">
        <f t="shared" si="29"/>
        <v>1</v>
      </c>
      <c r="F205" s="719"/>
      <c r="G205" s="24">
        <f t="shared" si="30"/>
        <v>1</v>
      </c>
      <c r="H205" s="719"/>
      <c r="I205" s="24">
        <f t="shared" si="31"/>
        <v>1</v>
      </c>
      <c r="J205" s="719"/>
      <c r="K205" s="24">
        <f t="shared" si="32"/>
        <v>1</v>
      </c>
      <c r="L205" s="719"/>
      <c r="M205" s="24">
        <f t="shared" si="33"/>
        <v>1</v>
      </c>
      <c r="N205" s="719"/>
      <c r="O205" s="24">
        <f t="shared" si="34"/>
        <v>1</v>
      </c>
      <c r="P205" s="719"/>
      <c r="Q205" s="24">
        <f t="shared" si="35"/>
        <v>1</v>
      </c>
      <c r="R205" s="715">
        <f t="shared" si="36"/>
        <v>0</v>
      </c>
      <c r="S205" s="361">
        <f t="shared" si="37"/>
        <v>0</v>
      </c>
    </row>
    <row r="206" spans="1:19">
      <c r="A206" s="159"/>
      <c r="B206" s="59"/>
      <c r="C206" s="24">
        <f t="shared" si="28"/>
        <v>1</v>
      </c>
      <c r="D206" s="719"/>
      <c r="E206" s="24">
        <f t="shared" si="29"/>
        <v>1</v>
      </c>
      <c r="F206" s="719"/>
      <c r="G206" s="24">
        <f t="shared" si="30"/>
        <v>1</v>
      </c>
      <c r="H206" s="719"/>
      <c r="I206" s="24">
        <f t="shared" si="31"/>
        <v>1</v>
      </c>
      <c r="J206" s="719"/>
      <c r="K206" s="24">
        <f t="shared" si="32"/>
        <v>1</v>
      </c>
      <c r="L206" s="719"/>
      <c r="M206" s="24">
        <f t="shared" si="33"/>
        <v>1</v>
      </c>
      <c r="N206" s="719"/>
      <c r="O206" s="24">
        <f t="shared" si="34"/>
        <v>1</v>
      </c>
      <c r="P206" s="719"/>
      <c r="Q206" s="24">
        <f t="shared" si="35"/>
        <v>1</v>
      </c>
      <c r="R206" s="715">
        <f t="shared" si="36"/>
        <v>0</v>
      </c>
      <c r="S206" s="361">
        <f t="shared" si="37"/>
        <v>0</v>
      </c>
    </row>
    <row r="207" spans="1:19">
      <c r="A207" s="159"/>
      <c r="B207" s="59"/>
      <c r="C207" s="24">
        <f t="shared" si="28"/>
        <v>1</v>
      </c>
      <c r="D207" s="719"/>
      <c r="E207" s="24">
        <f t="shared" si="29"/>
        <v>1</v>
      </c>
      <c r="F207" s="719"/>
      <c r="G207" s="24">
        <f t="shared" si="30"/>
        <v>1</v>
      </c>
      <c r="H207" s="719"/>
      <c r="I207" s="24">
        <f t="shared" si="31"/>
        <v>1</v>
      </c>
      <c r="J207" s="719"/>
      <c r="K207" s="24">
        <f t="shared" si="32"/>
        <v>1</v>
      </c>
      <c r="L207" s="719"/>
      <c r="M207" s="24">
        <f t="shared" si="33"/>
        <v>1</v>
      </c>
      <c r="N207" s="719"/>
      <c r="O207" s="24">
        <f t="shared" si="34"/>
        <v>1</v>
      </c>
      <c r="P207" s="719"/>
      <c r="Q207" s="24">
        <f t="shared" si="35"/>
        <v>1</v>
      </c>
      <c r="R207" s="715">
        <f t="shared" si="36"/>
        <v>0</v>
      </c>
      <c r="S207" s="361">
        <f t="shared" si="37"/>
        <v>0</v>
      </c>
    </row>
    <row r="208" spans="1:19">
      <c r="A208" s="159"/>
      <c r="B208" s="59"/>
      <c r="C208" s="24">
        <f t="shared" si="28"/>
        <v>1</v>
      </c>
      <c r="D208" s="719"/>
      <c r="E208" s="24">
        <f t="shared" si="29"/>
        <v>1</v>
      </c>
      <c r="F208" s="719"/>
      <c r="G208" s="24">
        <f t="shared" si="30"/>
        <v>1</v>
      </c>
      <c r="H208" s="719"/>
      <c r="I208" s="24">
        <f t="shared" si="31"/>
        <v>1</v>
      </c>
      <c r="J208" s="719"/>
      <c r="K208" s="24">
        <f t="shared" si="32"/>
        <v>1</v>
      </c>
      <c r="L208" s="719"/>
      <c r="M208" s="24">
        <f t="shared" si="33"/>
        <v>1</v>
      </c>
      <c r="N208" s="719"/>
      <c r="O208" s="24">
        <f t="shared" si="34"/>
        <v>1</v>
      </c>
      <c r="P208" s="719"/>
      <c r="Q208" s="24">
        <f t="shared" si="35"/>
        <v>1</v>
      </c>
      <c r="R208" s="715">
        <f t="shared" si="36"/>
        <v>0</v>
      </c>
      <c r="S208" s="361">
        <f t="shared" si="37"/>
        <v>0</v>
      </c>
    </row>
    <row r="209" spans="1:19">
      <c r="A209" s="159"/>
      <c r="B209" s="59"/>
      <c r="C209" s="24">
        <f t="shared" si="28"/>
        <v>1</v>
      </c>
      <c r="D209" s="719"/>
      <c r="E209" s="24">
        <f t="shared" si="29"/>
        <v>1</v>
      </c>
      <c r="F209" s="719"/>
      <c r="G209" s="24">
        <f t="shared" si="30"/>
        <v>1</v>
      </c>
      <c r="H209" s="719"/>
      <c r="I209" s="24">
        <f t="shared" si="31"/>
        <v>1</v>
      </c>
      <c r="J209" s="719"/>
      <c r="K209" s="24">
        <f t="shared" si="32"/>
        <v>1</v>
      </c>
      <c r="L209" s="719"/>
      <c r="M209" s="24">
        <f t="shared" si="33"/>
        <v>1</v>
      </c>
      <c r="N209" s="719"/>
      <c r="O209" s="24">
        <f t="shared" si="34"/>
        <v>1</v>
      </c>
      <c r="P209" s="719"/>
      <c r="Q209" s="24">
        <f t="shared" si="35"/>
        <v>1</v>
      </c>
      <c r="R209" s="715">
        <f t="shared" si="36"/>
        <v>0</v>
      </c>
      <c r="S209" s="361">
        <f t="shared" si="37"/>
        <v>0</v>
      </c>
    </row>
    <row r="210" spans="1:19">
      <c r="A210" s="159"/>
      <c r="B210" s="59"/>
      <c r="C210" s="24">
        <f t="shared" si="28"/>
        <v>1</v>
      </c>
      <c r="D210" s="719"/>
      <c r="E210" s="24">
        <f t="shared" si="29"/>
        <v>1</v>
      </c>
      <c r="F210" s="719"/>
      <c r="G210" s="24">
        <f t="shared" si="30"/>
        <v>1</v>
      </c>
      <c r="H210" s="719"/>
      <c r="I210" s="24">
        <f t="shared" si="31"/>
        <v>1</v>
      </c>
      <c r="J210" s="719"/>
      <c r="K210" s="24">
        <f t="shared" si="32"/>
        <v>1</v>
      </c>
      <c r="L210" s="719"/>
      <c r="M210" s="24">
        <f t="shared" si="33"/>
        <v>1</v>
      </c>
      <c r="N210" s="719"/>
      <c r="O210" s="24">
        <f t="shared" si="34"/>
        <v>1</v>
      </c>
      <c r="P210" s="719"/>
      <c r="Q210" s="24">
        <f t="shared" si="35"/>
        <v>1</v>
      </c>
      <c r="R210" s="715">
        <f t="shared" si="36"/>
        <v>0</v>
      </c>
      <c r="S210" s="361">
        <f t="shared" si="37"/>
        <v>0</v>
      </c>
    </row>
    <row r="211" spans="1:19">
      <c r="A211" s="159"/>
      <c r="B211" s="59"/>
      <c r="C211" s="24">
        <f t="shared" si="28"/>
        <v>1</v>
      </c>
      <c r="D211" s="719"/>
      <c r="E211" s="24">
        <f t="shared" si="29"/>
        <v>1</v>
      </c>
      <c r="F211" s="719"/>
      <c r="G211" s="24">
        <f t="shared" si="30"/>
        <v>1</v>
      </c>
      <c r="H211" s="719"/>
      <c r="I211" s="24">
        <f t="shared" si="31"/>
        <v>1</v>
      </c>
      <c r="J211" s="719"/>
      <c r="K211" s="24">
        <f t="shared" si="32"/>
        <v>1</v>
      </c>
      <c r="L211" s="719"/>
      <c r="M211" s="24">
        <f t="shared" si="33"/>
        <v>1</v>
      </c>
      <c r="N211" s="719"/>
      <c r="O211" s="24">
        <f t="shared" si="34"/>
        <v>1</v>
      </c>
      <c r="P211" s="719"/>
      <c r="Q211" s="24">
        <f t="shared" si="35"/>
        <v>1</v>
      </c>
      <c r="R211" s="715">
        <f t="shared" si="36"/>
        <v>0</v>
      </c>
      <c r="S211" s="361">
        <f t="shared" si="37"/>
        <v>0</v>
      </c>
    </row>
    <row r="212" spans="1:19">
      <c r="A212" s="159"/>
      <c r="B212" s="59"/>
      <c r="C212" s="24">
        <f t="shared" si="28"/>
        <v>1</v>
      </c>
      <c r="D212" s="719"/>
      <c r="E212" s="24">
        <f t="shared" si="29"/>
        <v>1</v>
      </c>
      <c r="F212" s="719"/>
      <c r="G212" s="24">
        <f t="shared" si="30"/>
        <v>1</v>
      </c>
      <c r="H212" s="719"/>
      <c r="I212" s="24">
        <f t="shared" si="31"/>
        <v>1</v>
      </c>
      <c r="J212" s="719"/>
      <c r="K212" s="24">
        <f t="shared" si="32"/>
        <v>1</v>
      </c>
      <c r="L212" s="719"/>
      <c r="M212" s="24">
        <f t="shared" si="33"/>
        <v>1</v>
      </c>
      <c r="N212" s="719"/>
      <c r="O212" s="24">
        <f t="shared" si="34"/>
        <v>1</v>
      </c>
      <c r="P212" s="719"/>
      <c r="Q212" s="24">
        <f t="shared" si="35"/>
        <v>1</v>
      </c>
      <c r="R212" s="715">
        <f t="shared" si="36"/>
        <v>0</v>
      </c>
      <c r="S212" s="361">
        <f t="shared" si="37"/>
        <v>0</v>
      </c>
    </row>
    <row r="213" spans="1:19">
      <c r="A213" s="159"/>
      <c r="B213" s="59"/>
      <c r="C213" s="24">
        <f t="shared" si="28"/>
        <v>1</v>
      </c>
      <c r="D213" s="719"/>
      <c r="E213" s="24">
        <f t="shared" si="29"/>
        <v>1</v>
      </c>
      <c r="F213" s="719"/>
      <c r="G213" s="24">
        <f t="shared" si="30"/>
        <v>1</v>
      </c>
      <c r="H213" s="719"/>
      <c r="I213" s="24">
        <f t="shared" si="31"/>
        <v>1</v>
      </c>
      <c r="J213" s="719"/>
      <c r="K213" s="24">
        <f t="shared" si="32"/>
        <v>1</v>
      </c>
      <c r="L213" s="719"/>
      <c r="M213" s="24">
        <f t="shared" si="33"/>
        <v>1</v>
      </c>
      <c r="N213" s="719"/>
      <c r="O213" s="24">
        <f t="shared" si="34"/>
        <v>1</v>
      </c>
      <c r="P213" s="719"/>
      <c r="Q213" s="24">
        <f t="shared" si="35"/>
        <v>1</v>
      </c>
      <c r="R213" s="715">
        <f t="shared" si="36"/>
        <v>0</v>
      </c>
      <c r="S213" s="361">
        <f t="shared" si="37"/>
        <v>0</v>
      </c>
    </row>
    <row r="214" spans="1:19">
      <c r="A214" s="159"/>
      <c r="B214" s="59"/>
      <c r="C214" s="24">
        <f t="shared" si="28"/>
        <v>1</v>
      </c>
      <c r="D214" s="719"/>
      <c r="E214" s="24">
        <f t="shared" si="29"/>
        <v>1</v>
      </c>
      <c r="F214" s="719"/>
      <c r="G214" s="24">
        <f t="shared" si="30"/>
        <v>1</v>
      </c>
      <c r="H214" s="719"/>
      <c r="I214" s="24">
        <f t="shared" si="31"/>
        <v>1</v>
      </c>
      <c r="J214" s="719"/>
      <c r="K214" s="24">
        <f t="shared" si="32"/>
        <v>1</v>
      </c>
      <c r="L214" s="719"/>
      <c r="M214" s="24">
        <f t="shared" si="33"/>
        <v>1</v>
      </c>
      <c r="N214" s="719"/>
      <c r="O214" s="24">
        <f t="shared" si="34"/>
        <v>1</v>
      </c>
      <c r="P214" s="719"/>
      <c r="Q214" s="24">
        <f t="shared" si="35"/>
        <v>1</v>
      </c>
      <c r="R214" s="715">
        <f t="shared" si="36"/>
        <v>0</v>
      </c>
      <c r="S214" s="361">
        <f t="shared" si="37"/>
        <v>0</v>
      </c>
    </row>
    <row r="215" spans="1:19">
      <c r="A215" s="159"/>
      <c r="B215" s="59"/>
      <c r="C215" s="24">
        <f t="shared" si="28"/>
        <v>1</v>
      </c>
      <c r="D215" s="719"/>
      <c r="E215" s="24">
        <f t="shared" si="29"/>
        <v>1</v>
      </c>
      <c r="F215" s="719"/>
      <c r="G215" s="24">
        <f t="shared" si="30"/>
        <v>1</v>
      </c>
      <c r="H215" s="719"/>
      <c r="I215" s="24">
        <f t="shared" si="31"/>
        <v>1</v>
      </c>
      <c r="J215" s="719"/>
      <c r="K215" s="24">
        <f t="shared" si="32"/>
        <v>1</v>
      </c>
      <c r="L215" s="719"/>
      <c r="M215" s="24">
        <f t="shared" si="33"/>
        <v>1</v>
      </c>
      <c r="N215" s="719"/>
      <c r="O215" s="24">
        <f t="shared" si="34"/>
        <v>1</v>
      </c>
      <c r="P215" s="719"/>
      <c r="Q215" s="24">
        <f t="shared" si="35"/>
        <v>1</v>
      </c>
      <c r="R215" s="715">
        <f t="shared" si="36"/>
        <v>0</v>
      </c>
      <c r="S215" s="361">
        <f t="shared" si="37"/>
        <v>0</v>
      </c>
    </row>
    <row r="216" spans="1:19">
      <c r="A216" s="159"/>
      <c r="B216" s="59"/>
      <c r="C216" s="24">
        <f t="shared" si="28"/>
        <v>1</v>
      </c>
      <c r="D216" s="719"/>
      <c r="E216" s="24">
        <f t="shared" si="29"/>
        <v>1</v>
      </c>
      <c r="F216" s="719"/>
      <c r="G216" s="24">
        <f t="shared" si="30"/>
        <v>1</v>
      </c>
      <c r="H216" s="719"/>
      <c r="I216" s="24">
        <f t="shared" si="31"/>
        <v>1</v>
      </c>
      <c r="J216" s="719"/>
      <c r="K216" s="24">
        <f t="shared" si="32"/>
        <v>1</v>
      </c>
      <c r="L216" s="719"/>
      <c r="M216" s="24">
        <f t="shared" si="33"/>
        <v>1</v>
      </c>
      <c r="N216" s="719"/>
      <c r="O216" s="24">
        <f t="shared" si="34"/>
        <v>1</v>
      </c>
      <c r="P216" s="719"/>
      <c r="Q216" s="24">
        <f t="shared" si="35"/>
        <v>1</v>
      </c>
      <c r="R216" s="715">
        <f t="shared" si="36"/>
        <v>0</v>
      </c>
      <c r="S216" s="361">
        <f t="shared" si="37"/>
        <v>0</v>
      </c>
    </row>
    <row r="217" spans="1:19">
      <c r="A217" s="159"/>
      <c r="B217" s="59"/>
      <c r="C217" s="24">
        <f t="shared" si="28"/>
        <v>1</v>
      </c>
      <c r="D217" s="719"/>
      <c r="E217" s="24">
        <f t="shared" si="29"/>
        <v>1</v>
      </c>
      <c r="F217" s="719"/>
      <c r="G217" s="24">
        <f t="shared" si="30"/>
        <v>1</v>
      </c>
      <c r="H217" s="719"/>
      <c r="I217" s="24">
        <f t="shared" si="31"/>
        <v>1</v>
      </c>
      <c r="J217" s="719"/>
      <c r="K217" s="24">
        <f t="shared" si="32"/>
        <v>1</v>
      </c>
      <c r="L217" s="719"/>
      <c r="M217" s="24">
        <f t="shared" si="33"/>
        <v>1</v>
      </c>
      <c r="N217" s="719"/>
      <c r="O217" s="24">
        <f t="shared" si="34"/>
        <v>1</v>
      </c>
      <c r="P217" s="719"/>
      <c r="Q217" s="24">
        <f t="shared" si="35"/>
        <v>1</v>
      </c>
      <c r="R217" s="715">
        <f t="shared" si="36"/>
        <v>0</v>
      </c>
      <c r="S217" s="361">
        <f t="shared" si="37"/>
        <v>0</v>
      </c>
    </row>
    <row r="218" spans="1:19">
      <c r="A218" s="159"/>
      <c r="B218" s="59"/>
      <c r="C218" s="24">
        <f t="shared" ref="C218:C281" si="38">IF(B218="",1,(LOOKUP(B218,$3:$3,$4:$4)-LOOKUP($B$24,$3:$3,$4:$4)+100)/100)</f>
        <v>1</v>
      </c>
      <c r="D218" s="719"/>
      <c r="E218" s="24">
        <f t="shared" ref="E218:E281" si="39">(SUMIF($5:$5,D218,$6:$6)-SUMIF($5:$5,$D$24,$6:$6)+100)/100</f>
        <v>1</v>
      </c>
      <c r="F218" s="719"/>
      <c r="G218" s="24">
        <f t="shared" ref="G218:G281" si="40">(SUMIF($7:$7,F218,$8:$8)-SUMIF($7:$7,$F$24,$8:$8)+100)/100</f>
        <v>1</v>
      </c>
      <c r="H218" s="719"/>
      <c r="I218" s="24">
        <f t="shared" ref="I218:I281" si="41">(SUMIF($9:$9,H218,$10:$10)-SUMIF($9:$9,$H$24,$10:$10)+100)/100</f>
        <v>1</v>
      </c>
      <c r="J218" s="719"/>
      <c r="K218" s="24">
        <f t="shared" ref="K218:K281" si="42">(SUMIF($11:$11,J218,$12:$12)-SUMIF($11:$11,$J$24,$12:$12)+100)/100</f>
        <v>1</v>
      </c>
      <c r="L218" s="719"/>
      <c r="M218" s="24">
        <f t="shared" ref="M218:M281" si="43">(SUMIF($13:$13,L218,$14:$14)-SUMIF($13:$13,$L$24,$14:$14)+100)/100</f>
        <v>1</v>
      </c>
      <c r="N218" s="719"/>
      <c r="O218" s="24">
        <f t="shared" ref="O218:O281" si="44">(SUMIF($15:$15,N218,$16:$16)-SUMIF($15:$15,$N$24,$16:$16)+100)/100</f>
        <v>1</v>
      </c>
      <c r="P218" s="719"/>
      <c r="Q218" s="24">
        <f t="shared" ref="Q218:Q281" si="45">(SUMIF($17:$17,P218,$18:$18)-SUMIF($17:$17,$P$24,$18:$18)+100)/100</f>
        <v>1</v>
      </c>
      <c r="R218" s="715">
        <f t="shared" ref="R218:R281" si="46">IF(B218="",0,ROUND($R$24*C218*E218*G218*I218*K218*M218*O218*Q218,0))</f>
        <v>0</v>
      </c>
      <c r="S218" s="361">
        <f t="shared" si="37"/>
        <v>0</v>
      </c>
    </row>
    <row r="219" spans="1:19">
      <c r="A219" s="159"/>
      <c r="B219" s="59"/>
      <c r="C219" s="24">
        <f t="shared" si="38"/>
        <v>1</v>
      </c>
      <c r="D219" s="719"/>
      <c r="E219" s="24">
        <f t="shared" si="39"/>
        <v>1</v>
      </c>
      <c r="F219" s="719"/>
      <c r="G219" s="24">
        <f t="shared" si="40"/>
        <v>1</v>
      </c>
      <c r="H219" s="719"/>
      <c r="I219" s="24">
        <f t="shared" si="41"/>
        <v>1</v>
      </c>
      <c r="J219" s="719"/>
      <c r="K219" s="24">
        <f t="shared" si="42"/>
        <v>1</v>
      </c>
      <c r="L219" s="719"/>
      <c r="M219" s="24">
        <f t="shared" si="43"/>
        <v>1</v>
      </c>
      <c r="N219" s="719"/>
      <c r="O219" s="24">
        <f t="shared" si="44"/>
        <v>1</v>
      </c>
      <c r="P219" s="719"/>
      <c r="Q219" s="24">
        <f t="shared" si="45"/>
        <v>1</v>
      </c>
      <c r="R219" s="715">
        <f t="shared" si="46"/>
        <v>0</v>
      </c>
      <c r="S219" s="361">
        <f t="shared" si="37"/>
        <v>0</v>
      </c>
    </row>
    <row r="220" spans="1:19">
      <c r="A220" s="159"/>
      <c r="B220" s="59"/>
      <c r="C220" s="24">
        <f t="shared" si="38"/>
        <v>1</v>
      </c>
      <c r="D220" s="719"/>
      <c r="E220" s="24">
        <f t="shared" si="39"/>
        <v>1</v>
      </c>
      <c r="F220" s="719"/>
      <c r="G220" s="24">
        <f t="shared" si="40"/>
        <v>1</v>
      </c>
      <c r="H220" s="719"/>
      <c r="I220" s="24">
        <f t="shared" si="41"/>
        <v>1</v>
      </c>
      <c r="J220" s="719"/>
      <c r="K220" s="24">
        <f t="shared" si="42"/>
        <v>1</v>
      </c>
      <c r="L220" s="719"/>
      <c r="M220" s="24">
        <f t="shared" si="43"/>
        <v>1</v>
      </c>
      <c r="N220" s="719"/>
      <c r="O220" s="24">
        <f t="shared" si="44"/>
        <v>1</v>
      </c>
      <c r="P220" s="719"/>
      <c r="Q220" s="24">
        <f t="shared" si="45"/>
        <v>1</v>
      </c>
      <c r="R220" s="715">
        <f t="shared" si="46"/>
        <v>0</v>
      </c>
      <c r="S220" s="361">
        <f t="shared" si="37"/>
        <v>0</v>
      </c>
    </row>
    <row r="221" spans="1:19">
      <c r="A221" s="159"/>
      <c r="B221" s="59"/>
      <c r="C221" s="24">
        <f t="shared" si="38"/>
        <v>1</v>
      </c>
      <c r="D221" s="719"/>
      <c r="E221" s="24">
        <f t="shared" si="39"/>
        <v>1</v>
      </c>
      <c r="F221" s="719"/>
      <c r="G221" s="24">
        <f t="shared" si="40"/>
        <v>1</v>
      </c>
      <c r="H221" s="719"/>
      <c r="I221" s="24">
        <f t="shared" si="41"/>
        <v>1</v>
      </c>
      <c r="J221" s="719"/>
      <c r="K221" s="24">
        <f t="shared" si="42"/>
        <v>1</v>
      </c>
      <c r="L221" s="719"/>
      <c r="M221" s="24">
        <f t="shared" si="43"/>
        <v>1</v>
      </c>
      <c r="N221" s="719"/>
      <c r="O221" s="24">
        <f t="shared" si="44"/>
        <v>1</v>
      </c>
      <c r="P221" s="719"/>
      <c r="Q221" s="24">
        <f t="shared" si="45"/>
        <v>1</v>
      </c>
      <c r="R221" s="715">
        <f t="shared" si="46"/>
        <v>0</v>
      </c>
      <c r="S221" s="361">
        <f t="shared" si="37"/>
        <v>0</v>
      </c>
    </row>
    <row r="222" spans="1:19">
      <c r="A222" s="159"/>
      <c r="B222" s="59"/>
      <c r="C222" s="24">
        <f t="shared" si="38"/>
        <v>1</v>
      </c>
      <c r="D222" s="719"/>
      <c r="E222" s="24">
        <f t="shared" si="39"/>
        <v>1</v>
      </c>
      <c r="F222" s="719"/>
      <c r="G222" s="24">
        <f t="shared" si="40"/>
        <v>1</v>
      </c>
      <c r="H222" s="719"/>
      <c r="I222" s="24">
        <f t="shared" si="41"/>
        <v>1</v>
      </c>
      <c r="J222" s="719"/>
      <c r="K222" s="24">
        <f t="shared" si="42"/>
        <v>1</v>
      </c>
      <c r="L222" s="719"/>
      <c r="M222" s="24">
        <f t="shared" si="43"/>
        <v>1</v>
      </c>
      <c r="N222" s="719"/>
      <c r="O222" s="24">
        <f t="shared" si="44"/>
        <v>1</v>
      </c>
      <c r="P222" s="719"/>
      <c r="Q222" s="24">
        <f t="shared" si="45"/>
        <v>1</v>
      </c>
      <c r="R222" s="715">
        <f t="shared" si="46"/>
        <v>0</v>
      </c>
      <c r="S222" s="361">
        <f t="shared" si="37"/>
        <v>0</v>
      </c>
    </row>
    <row r="223" spans="1:19">
      <c r="A223" s="159"/>
      <c r="B223" s="59"/>
      <c r="C223" s="24">
        <f t="shared" si="38"/>
        <v>1</v>
      </c>
      <c r="D223" s="719"/>
      <c r="E223" s="24">
        <f t="shared" si="39"/>
        <v>1</v>
      </c>
      <c r="F223" s="719"/>
      <c r="G223" s="24">
        <f t="shared" si="40"/>
        <v>1</v>
      </c>
      <c r="H223" s="719"/>
      <c r="I223" s="24">
        <f t="shared" si="41"/>
        <v>1</v>
      </c>
      <c r="J223" s="719"/>
      <c r="K223" s="24">
        <f t="shared" si="42"/>
        <v>1</v>
      </c>
      <c r="L223" s="719"/>
      <c r="M223" s="24">
        <f t="shared" si="43"/>
        <v>1</v>
      </c>
      <c r="N223" s="719"/>
      <c r="O223" s="24">
        <f t="shared" si="44"/>
        <v>1</v>
      </c>
      <c r="P223" s="719"/>
      <c r="Q223" s="24">
        <f t="shared" si="45"/>
        <v>1</v>
      </c>
      <c r="R223" s="715">
        <f t="shared" si="46"/>
        <v>0</v>
      </c>
      <c r="S223" s="361">
        <f t="shared" ref="S223:S286" si="47">ROUND(R223*B223/10000,0)</f>
        <v>0</v>
      </c>
    </row>
    <row r="224" spans="1:19">
      <c r="A224" s="159"/>
      <c r="B224" s="59"/>
      <c r="C224" s="24">
        <f t="shared" si="38"/>
        <v>1</v>
      </c>
      <c r="D224" s="719"/>
      <c r="E224" s="24">
        <f t="shared" si="39"/>
        <v>1</v>
      </c>
      <c r="F224" s="719"/>
      <c r="G224" s="24">
        <f t="shared" si="40"/>
        <v>1</v>
      </c>
      <c r="H224" s="719"/>
      <c r="I224" s="24">
        <f t="shared" si="41"/>
        <v>1</v>
      </c>
      <c r="J224" s="719"/>
      <c r="K224" s="24">
        <f t="shared" si="42"/>
        <v>1</v>
      </c>
      <c r="L224" s="719"/>
      <c r="M224" s="24">
        <f t="shared" si="43"/>
        <v>1</v>
      </c>
      <c r="N224" s="719"/>
      <c r="O224" s="24">
        <f t="shared" si="44"/>
        <v>1</v>
      </c>
      <c r="P224" s="719"/>
      <c r="Q224" s="24">
        <f t="shared" si="45"/>
        <v>1</v>
      </c>
      <c r="R224" s="715">
        <f t="shared" si="46"/>
        <v>0</v>
      </c>
      <c r="S224" s="361">
        <f t="shared" si="47"/>
        <v>0</v>
      </c>
    </row>
    <row r="225" spans="1:19">
      <c r="A225" s="159"/>
      <c r="B225" s="59"/>
      <c r="C225" s="24">
        <f t="shared" si="38"/>
        <v>1</v>
      </c>
      <c r="D225" s="719"/>
      <c r="E225" s="24">
        <f t="shared" si="39"/>
        <v>1</v>
      </c>
      <c r="F225" s="719"/>
      <c r="G225" s="24">
        <f t="shared" si="40"/>
        <v>1</v>
      </c>
      <c r="H225" s="719"/>
      <c r="I225" s="24">
        <f t="shared" si="41"/>
        <v>1</v>
      </c>
      <c r="J225" s="719"/>
      <c r="K225" s="24">
        <f t="shared" si="42"/>
        <v>1</v>
      </c>
      <c r="L225" s="719"/>
      <c r="M225" s="24">
        <f t="shared" si="43"/>
        <v>1</v>
      </c>
      <c r="N225" s="719"/>
      <c r="O225" s="24">
        <f t="shared" si="44"/>
        <v>1</v>
      </c>
      <c r="P225" s="719"/>
      <c r="Q225" s="24">
        <f t="shared" si="45"/>
        <v>1</v>
      </c>
      <c r="R225" s="715">
        <f t="shared" si="46"/>
        <v>0</v>
      </c>
      <c r="S225" s="361">
        <f t="shared" si="47"/>
        <v>0</v>
      </c>
    </row>
    <row r="226" spans="1:19">
      <c r="A226" s="159"/>
      <c r="B226" s="59"/>
      <c r="C226" s="24">
        <f t="shared" si="38"/>
        <v>1</v>
      </c>
      <c r="D226" s="719"/>
      <c r="E226" s="24">
        <f t="shared" si="39"/>
        <v>1</v>
      </c>
      <c r="F226" s="719"/>
      <c r="G226" s="24">
        <f t="shared" si="40"/>
        <v>1</v>
      </c>
      <c r="H226" s="719"/>
      <c r="I226" s="24">
        <f t="shared" si="41"/>
        <v>1</v>
      </c>
      <c r="J226" s="719"/>
      <c r="K226" s="24">
        <f t="shared" si="42"/>
        <v>1</v>
      </c>
      <c r="L226" s="719"/>
      <c r="M226" s="24">
        <f t="shared" si="43"/>
        <v>1</v>
      </c>
      <c r="N226" s="719"/>
      <c r="O226" s="24">
        <f t="shared" si="44"/>
        <v>1</v>
      </c>
      <c r="P226" s="719"/>
      <c r="Q226" s="24">
        <f t="shared" si="45"/>
        <v>1</v>
      </c>
      <c r="R226" s="715">
        <f t="shared" si="46"/>
        <v>0</v>
      </c>
      <c r="S226" s="361">
        <f t="shared" si="47"/>
        <v>0</v>
      </c>
    </row>
    <row r="227" spans="1:19">
      <c r="A227" s="159"/>
      <c r="B227" s="59"/>
      <c r="C227" s="24">
        <f t="shared" si="38"/>
        <v>1</v>
      </c>
      <c r="D227" s="719"/>
      <c r="E227" s="24">
        <f t="shared" si="39"/>
        <v>1</v>
      </c>
      <c r="F227" s="719"/>
      <c r="G227" s="24">
        <f t="shared" si="40"/>
        <v>1</v>
      </c>
      <c r="H227" s="719"/>
      <c r="I227" s="24">
        <f t="shared" si="41"/>
        <v>1</v>
      </c>
      <c r="J227" s="719"/>
      <c r="K227" s="24">
        <f t="shared" si="42"/>
        <v>1</v>
      </c>
      <c r="L227" s="719"/>
      <c r="M227" s="24">
        <f t="shared" si="43"/>
        <v>1</v>
      </c>
      <c r="N227" s="719"/>
      <c r="O227" s="24">
        <f t="shared" si="44"/>
        <v>1</v>
      </c>
      <c r="P227" s="719"/>
      <c r="Q227" s="24">
        <f t="shared" si="45"/>
        <v>1</v>
      </c>
      <c r="R227" s="715">
        <f t="shared" si="46"/>
        <v>0</v>
      </c>
      <c r="S227" s="361">
        <f t="shared" si="47"/>
        <v>0</v>
      </c>
    </row>
    <row r="228" spans="1:19">
      <c r="A228" s="159"/>
      <c r="B228" s="59"/>
      <c r="C228" s="24">
        <f t="shared" si="38"/>
        <v>1</v>
      </c>
      <c r="D228" s="719"/>
      <c r="E228" s="24">
        <f t="shared" si="39"/>
        <v>1</v>
      </c>
      <c r="F228" s="719"/>
      <c r="G228" s="24">
        <f t="shared" si="40"/>
        <v>1</v>
      </c>
      <c r="H228" s="719"/>
      <c r="I228" s="24">
        <f t="shared" si="41"/>
        <v>1</v>
      </c>
      <c r="J228" s="719"/>
      <c r="K228" s="24">
        <f t="shared" si="42"/>
        <v>1</v>
      </c>
      <c r="L228" s="719"/>
      <c r="M228" s="24">
        <f t="shared" si="43"/>
        <v>1</v>
      </c>
      <c r="N228" s="719"/>
      <c r="O228" s="24">
        <f t="shared" si="44"/>
        <v>1</v>
      </c>
      <c r="P228" s="719"/>
      <c r="Q228" s="24">
        <f t="shared" si="45"/>
        <v>1</v>
      </c>
      <c r="R228" s="715">
        <f t="shared" si="46"/>
        <v>0</v>
      </c>
      <c r="S228" s="361">
        <f t="shared" si="47"/>
        <v>0</v>
      </c>
    </row>
    <row r="229" spans="1:19">
      <c r="A229" s="159"/>
      <c r="B229" s="59"/>
      <c r="C229" s="24">
        <f t="shared" si="38"/>
        <v>1</v>
      </c>
      <c r="D229" s="719"/>
      <c r="E229" s="24">
        <f t="shared" si="39"/>
        <v>1</v>
      </c>
      <c r="F229" s="719"/>
      <c r="G229" s="24">
        <f t="shared" si="40"/>
        <v>1</v>
      </c>
      <c r="H229" s="719"/>
      <c r="I229" s="24">
        <f t="shared" si="41"/>
        <v>1</v>
      </c>
      <c r="J229" s="719"/>
      <c r="K229" s="24">
        <f t="shared" si="42"/>
        <v>1</v>
      </c>
      <c r="L229" s="719"/>
      <c r="M229" s="24">
        <f t="shared" si="43"/>
        <v>1</v>
      </c>
      <c r="N229" s="719"/>
      <c r="O229" s="24">
        <f t="shared" si="44"/>
        <v>1</v>
      </c>
      <c r="P229" s="719"/>
      <c r="Q229" s="24">
        <f t="shared" si="45"/>
        <v>1</v>
      </c>
      <c r="R229" s="715">
        <f t="shared" si="46"/>
        <v>0</v>
      </c>
      <c r="S229" s="361">
        <f t="shared" si="47"/>
        <v>0</v>
      </c>
    </row>
    <row r="230" spans="1:19">
      <c r="A230" s="159"/>
      <c r="B230" s="59"/>
      <c r="C230" s="24">
        <f t="shared" si="38"/>
        <v>1</v>
      </c>
      <c r="D230" s="719"/>
      <c r="E230" s="24">
        <f t="shared" si="39"/>
        <v>1</v>
      </c>
      <c r="F230" s="719"/>
      <c r="G230" s="24">
        <f t="shared" si="40"/>
        <v>1</v>
      </c>
      <c r="H230" s="719"/>
      <c r="I230" s="24">
        <f t="shared" si="41"/>
        <v>1</v>
      </c>
      <c r="J230" s="719"/>
      <c r="K230" s="24">
        <f t="shared" si="42"/>
        <v>1</v>
      </c>
      <c r="L230" s="719"/>
      <c r="M230" s="24">
        <f t="shared" si="43"/>
        <v>1</v>
      </c>
      <c r="N230" s="719"/>
      <c r="O230" s="24">
        <f t="shared" si="44"/>
        <v>1</v>
      </c>
      <c r="P230" s="719"/>
      <c r="Q230" s="24">
        <f t="shared" si="45"/>
        <v>1</v>
      </c>
      <c r="R230" s="715">
        <f t="shared" si="46"/>
        <v>0</v>
      </c>
      <c r="S230" s="361">
        <f t="shared" si="47"/>
        <v>0</v>
      </c>
    </row>
    <row r="231" spans="1:19">
      <c r="A231" s="159"/>
      <c r="B231" s="59"/>
      <c r="C231" s="24">
        <f t="shared" si="38"/>
        <v>1</v>
      </c>
      <c r="D231" s="719"/>
      <c r="E231" s="24">
        <f t="shared" si="39"/>
        <v>1</v>
      </c>
      <c r="F231" s="719"/>
      <c r="G231" s="24">
        <f t="shared" si="40"/>
        <v>1</v>
      </c>
      <c r="H231" s="719"/>
      <c r="I231" s="24">
        <f t="shared" si="41"/>
        <v>1</v>
      </c>
      <c r="J231" s="719"/>
      <c r="K231" s="24">
        <f t="shared" si="42"/>
        <v>1</v>
      </c>
      <c r="L231" s="719"/>
      <c r="M231" s="24">
        <f t="shared" si="43"/>
        <v>1</v>
      </c>
      <c r="N231" s="719"/>
      <c r="O231" s="24">
        <f t="shared" si="44"/>
        <v>1</v>
      </c>
      <c r="P231" s="719"/>
      <c r="Q231" s="24">
        <f t="shared" si="45"/>
        <v>1</v>
      </c>
      <c r="R231" s="715">
        <f t="shared" si="46"/>
        <v>0</v>
      </c>
      <c r="S231" s="361">
        <f t="shared" si="47"/>
        <v>0</v>
      </c>
    </row>
    <row r="232" spans="1:19">
      <c r="A232" s="159"/>
      <c r="B232" s="59"/>
      <c r="C232" s="24">
        <f t="shared" si="38"/>
        <v>1</v>
      </c>
      <c r="D232" s="719"/>
      <c r="E232" s="24">
        <f t="shared" si="39"/>
        <v>1</v>
      </c>
      <c r="F232" s="719"/>
      <c r="G232" s="24">
        <f t="shared" si="40"/>
        <v>1</v>
      </c>
      <c r="H232" s="719"/>
      <c r="I232" s="24">
        <f t="shared" si="41"/>
        <v>1</v>
      </c>
      <c r="J232" s="719"/>
      <c r="K232" s="24">
        <f t="shared" si="42"/>
        <v>1</v>
      </c>
      <c r="L232" s="719"/>
      <c r="M232" s="24">
        <f t="shared" si="43"/>
        <v>1</v>
      </c>
      <c r="N232" s="719"/>
      <c r="O232" s="24">
        <f t="shared" si="44"/>
        <v>1</v>
      </c>
      <c r="P232" s="719"/>
      <c r="Q232" s="24">
        <f t="shared" si="45"/>
        <v>1</v>
      </c>
      <c r="R232" s="715">
        <f t="shared" si="46"/>
        <v>0</v>
      </c>
      <c r="S232" s="361">
        <f t="shared" si="47"/>
        <v>0</v>
      </c>
    </row>
    <row r="233" spans="1:19">
      <c r="A233" s="159"/>
      <c r="B233" s="59"/>
      <c r="C233" s="24">
        <f t="shared" si="38"/>
        <v>1</v>
      </c>
      <c r="D233" s="719"/>
      <c r="E233" s="24">
        <f t="shared" si="39"/>
        <v>1</v>
      </c>
      <c r="F233" s="719"/>
      <c r="G233" s="24">
        <f t="shared" si="40"/>
        <v>1</v>
      </c>
      <c r="H233" s="719"/>
      <c r="I233" s="24">
        <f t="shared" si="41"/>
        <v>1</v>
      </c>
      <c r="J233" s="719"/>
      <c r="K233" s="24">
        <f t="shared" si="42"/>
        <v>1</v>
      </c>
      <c r="L233" s="719"/>
      <c r="M233" s="24">
        <f t="shared" si="43"/>
        <v>1</v>
      </c>
      <c r="N233" s="719"/>
      <c r="O233" s="24">
        <f t="shared" si="44"/>
        <v>1</v>
      </c>
      <c r="P233" s="719"/>
      <c r="Q233" s="24">
        <f t="shared" si="45"/>
        <v>1</v>
      </c>
      <c r="R233" s="715">
        <f t="shared" si="46"/>
        <v>0</v>
      </c>
      <c r="S233" s="361">
        <f t="shared" si="47"/>
        <v>0</v>
      </c>
    </row>
    <row r="234" spans="1:19">
      <c r="A234" s="159"/>
      <c r="B234" s="59"/>
      <c r="C234" s="24">
        <f t="shared" si="38"/>
        <v>1</v>
      </c>
      <c r="D234" s="719"/>
      <c r="E234" s="24">
        <f t="shared" si="39"/>
        <v>1</v>
      </c>
      <c r="F234" s="719"/>
      <c r="G234" s="24">
        <f t="shared" si="40"/>
        <v>1</v>
      </c>
      <c r="H234" s="719"/>
      <c r="I234" s="24">
        <f t="shared" si="41"/>
        <v>1</v>
      </c>
      <c r="J234" s="719"/>
      <c r="K234" s="24">
        <f t="shared" si="42"/>
        <v>1</v>
      </c>
      <c r="L234" s="719"/>
      <c r="M234" s="24">
        <f t="shared" si="43"/>
        <v>1</v>
      </c>
      <c r="N234" s="719"/>
      <c r="O234" s="24">
        <f t="shared" si="44"/>
        <v>1</v>
      </c>
      <c r="P234" s="719"/>
      <c r="Q234" s="24">
        <f t="shared" si="45"/>
        <v>1</v>
      </c>
      <c r="R234" s="715">
        <f t="shared" si="46"/>
        <v>0</v>
      </c>
      <c r="S234" s="361">
        <f t="shared" si="47"/>
        <v>0</v>
      </c>
    </row>
    <row r="235" spans="1:19">
      <c r="A235" s="159"/>
      <c r="B235" s="59"/>
      <c r="C235" s="24">
        <f t="shared" si="38"/>
        <v>1</v>
      </c>
      <c r="D235" s="719"/>
      <c r="E235" s="24">
        <f t="shared" si="39"/>
        <v>1</v>
      </c>
      <c r="F235" s="719"/>
      <c r="G235" s="24">
        <f t="shared" si="40"/>
        <v>1</v>
      </c>
      <c r="H235" s="719"/>
      <c r="I235" s="24">
        <f t="shared" si="41"/>
        <v>1</v>
      </c>
      <c r="J235" s="719"/>
      <c r="K235" s="24">
        <f t="shared" si="42"/>
        <v>1</v>
      </c>
      <c r="L235" s="719"/>
      <c r="M235" s="24">
        <f t="shared" si="43"/>
        <v>1</v>
      </c>
      <c r="N235" s="719"/>
      <c r="O235" s="24">
        <f t="shared" si="44"/>
        <v>1</v>
      </c>
      <c r="P235" s="719"/>
      <c r="Q235" s="24">
        <f t="shared" si="45"/>
        <v>1</v>
      </c>
      <c r="R235" s="715">
        <f t="shared" si="46"/>
        <v>0</v>
      </c>
      <c r="S235" s="361">
        <f t="shared" si="47"/>
        <v>0</v>
      </c>
    </row>
    <row r="236" spans="1:19">
      <c r="A236" s="159"/>
      <c r="B236" s="59"/>
      <c r="C236" s="24">
        <f t="shared" si="38"/>
        <v>1</v>
      </c>
      <c r="D236" s="719"/>
      <c r="E236" s="24">
        <f t="shared" si="39"/>
        <v>1</v>
      </c>
      <c r="F236" s="719"/>
      <c r="G236" s="24">
        <f t="shared" si="40"/>
        <v>1</v>
      </c>
      <c r="H236" s="719"/>
      <c r="I236" s="24">
        <f t="shared" si="41"/>
        <v>1</v>
      </c>
      <c r="J236" s="719"/>
      <c r="K236" s="24">
        <f t="shared" si="42"/>
        <v>1</v>
      </c>
      <c r="L236" s="719"/>
      <c r="M236" s="24">
        <f t="shared" si="43"/>
        <v>1</v>
      </c>
      <c r="N236" s="719"/>
      <c r="O236" s="24">
        <f t="shared" si="44"/>
        <v>1</v>
      </c>
      <c r="P236" s="719"/>
      <c r="Q236" s="24">
        <f t="shared" si="45"/>
        <v>1</v>
      </c>
      <c r="R236" s="715">
        <f t="shared" si="46"/>
        <v>0</v>
      </c>
      <c r="S236" s="361">
        <f t="shared" si="47"/>
        <v>0</v>
      </c>
    </row>
    <row r="237" spans="1:19">
      <c r="A237" s="159"/>
      <c r="B237" s="59"/>
      <c r="C237" s="24">
        <f t="shared" si="38"/>
        <v>1</v>
      </c>
      <c r="D237" s="719"/>
      <c r="E237" s="24">
        <f t="shared" si="39"/>
        <v>1</v>
      </c>
      <c r="F237" s="719"/>
      <c r="G237" s="24">
        <f t="shared" si="40"/>
        <v>1</v>
      </c>
      <c r="H237" s="719"/>
      <c r="I237" s="24">
        <f t="shared" si="41"/>
        <v>1</v>
      </c>
      <c r="J237" s="719"/>
      <c r="K237" s="24">
        <f t="shared" si="42"/>
        <v>1</v>
      </c>
      <c r="L237" s="719"/>
      <c r="M237" s="24">
        <f t="shared" si="43"/>
        <v>1</v>
      </c>
      <c r="N237" s="719"/>
      <c r="O237" s="24">
        <f t="shared" si="44"/>
        <v>1</v>
      </c>
      <c r="P237" s="719"/>
      <c r="Q237" s="24">
        <f t="shared" si="45"/>
        <v>1</v>
      </c>
      <c r="R237" s="715">
        <f t="shared" si="46"/>
        <v>0</v>
      </c>
      <c r="S237" s="361">
        <f t="shared" si="47"/>
        <v>0</v>
      </c>
    </row>
    <row r="238" spans="1:19">
      <c r="A238" s="159"/>
      <c r="B238" s="59"/>
      <c r="C238" s="24">
        <f t="shared" si="38"/>
        <v>1</v>
      </c>
      <c r="D238" s="719"/>
      <c r="E238" s="24">
        <f t="shared" si="39"/>
        <v>1</v>
      </c>
      <c r="F238" s="719"/>
      <c r="G238" s="24">
        <f t="shared" si="40"/>
        <v>1</v>
      </c>
      <c r="H238" s="719"/>
      <c r="I238" s="24">
        <f t="shared" si="41"/>
        <v>1</v>
      </c>
      <c r="J238" s="719"/>
      <c r="K238" s="24">
        <f t="shared" si="42"/>
        <v>1</v>
      </c>
      <c r="L238" s="719"/>
      <c r="M238" s="24">
        <f t="shared" si="43"/>
        <v>1</v>
      </c>
      <c r="N238" s="719"/>
      <c r="O238" s="24">
        <f t="shared" si="44"/>
        <v>1</v>
      </c>
      <c r="P238" s="719"/>
      <c r="Q238" s="24">
        <f t="shared" si="45"/>
        <v>1</v>
      </c>
      <c r="R238" s="715">
        <f t="shared" si="46"/>
        <v>0</v>
      </c>
      <c r="S238" s="361">
        <f t="shared" si="47"/>
        <v>0</v>
      </c>
    </row>
    <row r="239" spans="1:19">
      <c r="A239" s="159"/>
      <c r="B239" s="59"/>
      <c r="C239" s="24">
        <f t="shared" si="38"/>
        <v>1</v>
      </c>
      <c r="D239" s="719"/>
      <c r="E239" s="24">
        <f t="shared" si="39"/>
        <v>1</v>
      </c>
      <c r="F239" s="719"/>
      <c r="G239" s="24">
        <f t="shared" si="40"/>
        <v>1</v>
      </c>
      <c r="H239" s="719"/>
      <c r="I239" s="24">
        <f t="shared" si="41"/>
        <v>1</v>
      </c>
      <c r="J239" s="719"/>
      <c r="K239" s="24">
        <f t="shared" si="42"/>
        <v>1</v>
      </c>
      <c r="L239" s="719"/>
      <c r="M239" s="24">
        <f t="shared" si="43"/>
        <v>1</v>
      </c>
      <c r="N239" s="719"/>
      <c r="O239" s="24">
        <f t="shared" si="44"/>
        <v>1</v>
      </c>
      <c r="P239" s="719"/>
      <c r="Q239" s="24">
        <f t="shared" si="45"/>
        <v>1</v>
      </c>
      <c r="R239" s="715">
        <f t="shared" si="46"/>
        <v>0</v>
      </c>
      <c r="S239" s="361">
        <f t="shared" si="47"/>
        <v>0</v>
      </c>
    </row>
    <row r="240" spans="1:19">
      <c r="A240" s="159"/>
      <c r="B240" s="59"/>
      <c r="C240" s="24">
        <f t="shared" si="38"/>
        <v>1</v>
      </c>
      <c r="D240" s="719"/>
      <c r="E240" s="24">
        <f t="shared" si="39"/>
        <v>1</v>
      </c>
      <c r="F240" s="719"/>
      <c r="G240" s="24">
        <f t="shared" si="40"/>
        <v>1</v>
      </c>
      <c r="H240" s="719"/>
      <c r="I240" s="24">
        <f t="shared" si="41"/>
        <v>1</v>
      </c>
      <c r="J240" s="719"/>
      <c r="K240" s="24">
        <f t="shared" si="42"/>
        <v>1</v>
      </c>
      <c r="L240" s="719"/>
      <c r="M240" s="24">
        <f t="shared" si="43"/>
        <v>1</v>
      </c>
      <c r="N240" s="719"/>
      <c r="O240" s="24">
        <f t="shared" si="44"/>
        <v>1</v>
      </c>
      <c r="P240" s="719"/>
      <c r="Q240" s="24">
        <f t="shared" si="45"/>
        <v>1</v>
      </c>
      <c r="R240" s="715">
        <f t="shared" si="46"/>
        <v>0</v>
      </c>
      <c r="S240" s="361">
        <f t="shared" si="47"/>
        <v>0</v>
      </c>
    </row>
    <row r="241" spans="1:19">
      <c r="A241" s="159"/>
      <c r="B241" s="59"/>
      <c r="C241" s="24">
        <f t="shared" si="38"/>
        <v>1</v>
      </c>
      <c r="D241" s="719"/>
      <c r="E241" s="24">
        <f t="shared" si="39"/>
        <v>1</v>
      </c>
      <c r="F241" s="719"/>
      <c r="G241" s="24">
        <f t="shared" si="40"/>
        <v>1</v>
      </c>
      <c r="H241" s="719"/>
      <c r="I241" s="24">
        <f t="shared" si="41"/>
        <v>1</v>
      </c>
      <c r="J241" s="719"/>
      <c r="K241" s="24">
        <f t="shared" si="42"/>
        <v>1</v>
      </c>
      <c r="L241" s="719"/>
      <c r="M241" s="24">
        <f t="shared" si="43"/>
        <v>1</v>
      </c>
      <c r="N241" s="719"/>
      <c r="O241" s="24">
        <f t="shared" si="44"/>
        <v>1</v>
      </c>
      <c r="P241" s="719"/>
      <c r="Q241" s="24">
        <f t="shared" si="45"/>
        <v>1</v>
      </c>
      <c r="R241" s="715">
        <f t="shared" si="46"/>
        <v>0</v>
      </c>
      <c r="S241" s="361">
        <f t="shared" si="47"/>
        <v>0</v>
      </c>
    </row>
    <row r="242" spans="1:19">
      <c r="A242" s="159"/>
      <c r="B242" s="59"/>
      <c r="C242" s="24">
        <f t="shared" si="38"/>
        <v>1</v>
      </c>
      <c r="D242" s="719"/>
      <c r="E242" s="24">
        <f t="shared" si="39"/>
        <v>1</v>
      </c>
      <c r="F242" s="719"/>
      <c r="G242" s="24">
        <f t="shared" si="40"/>
        <v>1</v>
      </c>
      <c r="H242" s="719"/>
      <c r="I242" s="24">
        <f t="shared" si="41"/>
        <v>1</v>
      </c>
      <c r="J242" s="719"/>
      <c r="K242" s="24">
        <f t="shared" si="42"/>
        <v>1</v>
      </c>
      <c r="L242" s="719"/>
      <c r="M242" s="24">
        <f t="shared" si="43"/>
        <v>1</v>
      </c>
      <c r="N242" s="719"/>
      <c r="O242" s="24">
        <f t="shared" si="44"/>
        <v>1</v>
      </c>
      <c r="P242" s="719"/>
      <c r="Q242" s="24">
        <f t="shared" si="45"/>
        <v>1</v>
      </c>
      <c r="R242" s="715">
        <f t="shared" si="46"/>
        <v>0</v>
      </c>
      <c r="S242" s="361">
        <f t="shared" si="47"/>
        <v>0</v>
      </c>
    </row>
    <row r="243" spans="1:19">
      <c r="A243" s="159"/>
      <c r="B243" s="59"/>
      <c r="C243" s="24">
        <f t="shared" si="38"/>
        <v>1</v>
      </c>
      <c r="D243" s="719"/>
      <c r="E243" s="24">
        <f t="shared" si="39"/>
        <v>1</v>
      </c>
      <c r="F243" s="719"/>
      <c r="G243" s="24">
        <f t="shared" si="40"/>
        <v>1</v>
      </c>
      <c r="H243" s="719"/>
      <c r="I243" s="24">
        <f t="shared" si="41"/>
        <v>1</v>
      </c>
      <c r="J243" s="719"/>
      <c r="K243" s="24">
        <f t="shared" si="42"/>
        <v>1</v>
      </c>
      <c r="L243" s="719"/>
      <c r="M243" s="24">
        <f t="shared" si="43"/>
        <v>1</v>
      </c>
      <c r="N243" s="719"/>
      <c r="O243" s="24">
        <f t="shared" si="44"/>
        <v>1</v>
      </c>
      <c r="P243" s="719"/>
      <c r="Q243" s="24">
        <f t="shared" si="45"/>
        <v>1</v>
      </c>
      <c r="R243" s="715">
        <f t="shared" si="46"/>
        <v>0</v>
      </c>
      <c r="S243" s="361">
        <f t="shared" si="47"/>
        <v>0</v>
      </c>
    </row>
    <row r="244" spans="1:19">
      <c r="A244" s="159"/>
      <c r="B244" s="59"/>
      <c r="C244" s="24">
        <f t="shared" si="38"/>
        <v>1</v>
      </c>
      <c r="D244" s="719"/>
      <c r="E244" s="24">
        <f t="shared" si="39"/>
        <v>1</v>
      </c>
      <c r="F244" s="719"/>
      <c r="G244" s="24">
        <f t="shared" si="40"/>
        <v>1</v>
      </c>
      <c r="H244" s="719"/>
      <c r="I244" s="24">
        <f t="shared" si="41"/>
        <v>1</v>
      </c>
      <c r="J244" s="719"/>
      <c r="K244" s="24">
        <f t="shared" si="42"/>
        <v>1</v>
      </c>
      <c r="L244" s="719"/>
      <c r="M244" s="24">
        <f t="shared" si="43"/>
        <v>1</v>
      </c>
      <c r="N244" s="719"/>
      <c r="O244" s="24">
        <f t="shared" si="44"/>
        <v>1</v>
      </c>
      <c r="P244" s="719"/>
      <c r="Q244" s="24">
        <f t="shared" si="45"/>
        <v>1</v>
      </c>
      <c r="R244" s="715">
        <f t="shared" si="46"/>
        <v>0</v>
      </c>
      <c r="S244" s="361">
        <f t="shared" si="47"/>
        <v>0</v>
      </c>
    </row>
    <row r="245" spans="1:19">
      <c r="A245" s="159"/>
      <c r="B245" s="59"/>
      <c r="C245" s="24">
        <f t="shared" si="38"/>
        <v>1</v>
      </c>
      <c r="D245" s="719"/>
      <c r="E245" s="24">
        <f t="shared" si="39"/>
        <v>1</v>
      </c>
      <c r="F245" s="719"/>
      <c r="G245" s="24">
        <f t="shared" si="40"/>
        <v>1</v>
      </c>
      <c r="H245" s="719"/>
      <c r="I245" s="24">
        <f t="shared" si="41"/>
        <v>1</v>
      </c>
      <c r="J245" s="719"/>
      <c r="K245" s="24">
        <f t="shared" si="42"/>
        <v>1</v>
      </c>
      <c r="L245" s="719"/>
      <c r="M245" s="24">
        <f t="shared" si="43"/>
        <v>1</v>
      </c>
      <c r="N245" s="719"/>
      <c r="O245" s="24">
        <f t="shared" si="44"/>
        <v>1</v>
      </c>
      <c r="P245" s="719"/>
      <c r="Q245" s="24">
        <f t="shared" si="45"/>
        <v>1</v>
      </c>
      <c r="R245" s="715">
        <f t="shared" si="46"/>
        <v>0</v>
      </c>
      <c r="S245" s="361">
        <f t="shared" si="47"/>
        <v>0</v>
      </c>
    </row>
    <row r="246" spans="1:19">
      <c r="A246" s="159"/>
      <c r="B246" s="59"/>
      <c r="C246" s="24">
        <f t="shared" si="38"/>
        <v>1</v>
      </c>
      <c r="D246" s="719"/>
      <c r="E246" s="24">
        <f t="shared" si="39"/>
        <v>1</v>
      </c>
      <c r="F246" s="719"/>
      <c r="G246" s="24">
        <f t="shared" si="40"/>
        <v>1</v>
      </c>
      <c r="H246" s="719"/>
      <c r="I246" s="24">
        <f t="shared" si="41"/>
        <v>1</v>
      </c>
      <c r="J246" s="719"/>
      <c r="K246" s="24">
        <f t="shared" si="42"/>
        <v>1</v>
      </c>
      <c r="L246" s="719"/>
      <c r="M246" s="24">
        <f t="shared" si="43"/>
        <v>1</v>
      </c>
      <c r="N246" s="719"/>
      <c r="O246" s="24">
        <f t="shared" si="44"/>
        <v>1</v>
      </c>
      <c r="P246" s="719"/>
      <c r="Q246" s="24">
        <f t="shared" si="45"/>
        <v>1</v>
      </c>
      <c r="R246" s="715">
        <f t="shared" si="46"/>
        <v>0</v>
      </c>
      <c r="S246" s="361">
        <f t="shared" si="47"/>
        <v>0</v>
      </c>
    </row>
    <row r="247" spans="1:19">
      <c r="A247" s="159"/>
      <c r="B247" s="59"/>
      <c r="C247" s="24">
        <f t="shared" si="38"/>
        <v>1</v>
      </c>
      <c r="D247" s="719"/>
      <c r="E247" s="24">
        <f t="shared" si="39"/>
        <v>1</v>
      </c>
      <c r="F247" s="719"/>
      <c r="G247" s="24">
        <f t="shared" si="40"/>
        <v>1</v>
      </c>
      <c r="H247" s="719"/>
      <c r="I247" s="24">
        <f t="shared" si="41"/>
        <v>1</v>
      </c>
      <c r="J247" s="719"/>
      <c r="K247" s="24">
        <f t="shared" si="42"/>
        <v>1</v>
      </c>
      <c r="L247" s="719"/>
      <c r="M247" s="24">
        <f t="shared" si="43"/>
        <v>1</v>
      </c>
      <c r="N247" s="719"/>
      <c r="O247" s="24">
        <f t="shared" si="44"/>
        <v>1</v>
      </c>
      <c r="P247" s="719"/>
      <c r="Q247" s="24">
        <f t="shared" si="45"/>
        <v>1</v>
      </c>
      <c r="R247" s="715">
        <f t="shared" si="46"/>
        <v>0</v>
      </c>
      <c r="S247" s="361">
        <f t="shared" si="47"/>
        <v>0</v>
      </c>
    </row>
    <row r="248" spans="1:19">
      <c r="A248" s="159"/>
      <c r="B248" s="59"/>
      <c r="C248" s="24">
        <f t="shared" si="38"/>
        <v>1</v>
      </c>
      <c r="D248" s="719"/>
      <c r="E248" s="24">
        <f t="shared" si="39"/>
        <v>1</v>
      </c>
      <c r="F248" s="719"/>
      <c r="G248" s="24">
        <f t="shared" si="40"/>
        <v>1</v>
      </c>
      <c r="H248" s="719"/>
      <c r="I248" s="24">
        <f t="shared" si="41"/>
        <v>1</v>
      </c>
      <c r="J248" s="719"/>
      <c r="K248" s="24">
        <f t="shared" si="42"/>
        <v>1</v>
      </c>
      <c r="L248" s="719"/>
      <c r="M248" s="24">
        <f t="shared" si="43"/>
        <v>1</v>
      </c>
      <c r="N248" s="719"/>
      <c r="O248" s="24">
        <f t="shared" si="44"/>
        <v>1</v>
      </c>
      <c r="P248" s="719"/>
      <c r="Q248" s="24">
        <f t="shared" si="45"/>
        <v>1</v>
      </c>
      <c r="R248" s="715">
        <f t="shared" si="46"/>
        <v>0</v>
      </c>
      <c r="S248" s="361">
        <f t="shared" si="47"/>
        <v>0</v>
      </c>
    </row>
    <row r="249" spans="1:19">
      <c r="A249" s="159"/>
      <c r="B249" s="59"/>
      <c r="C249" s="24">
        <f t="shared" si="38"/>
        <v>1</v>
      </c>
      <c r="D249" s="719"/>
      <c r="E249" s="24">
        <f t="shared" si="39"/>
        <v>1</v>
      </c>
      <c r="F249" s="719"/>
      <c r="G249" s="24">
        <f t="shared" si="40"/>
        <v>1</v>
      </c>
      <c r="H249" s="719"/>
      <c r="I249" s="24">
        <f t="shared" si="41"/>
        <v>1</v>
      </c>
      <c r="J249" s="719"/>
      <c r="K249" s="24">
        <f t="shared" si="42"/>
        <v>1</v>
      </c>
      <c r="L249" s="719"/>
      <c r="M249" s="24">
        <f t="shared" si="43"/>
        <v>1</v>
      </c>
      <c r="N249" s="719"/>
      <c r="O249" s="24">
        <f t="shared" si="44"/>
        <v>1</v>
      </c>
      <c r="P249" s="719"/>
      <c r="Q249" s="24">
        <f t="shared" si="45"/>
        <v>1</v>
      </c>
      <c r="R249" s="715">
        <f t="shared" si="46"/>
        <v>0</v>
      </c>
      <c r="S249" s="361">
        <f t="shared" si="47"/>
        <v>0</v>
      </c>
    </row>
    <row r="250" spans="1:19">
      <c r="A250" s="159"/>
      <c r="B250" s="59"/>
      <c r="C250" s="24">
        <f t="shared" si="38"/>
        <v>1</v>
      </c>
      <c r="D250" s="719"/>
      <c r="E250" s="24">
        <f t="shared" si="39"/>
        <v>1</v>
      </c>
      <c r="F250" s="719"/>
      <c r="G250" s="24">
        <f t="shared" si="40"/>
        <v>1</v>
      </c>
      <c r="H250" s="719"/>
      <c r="I250" s="24">
        <f t="shared" si="41"/>
        <v>1</v>
      </c>
      <c r="J250" s="719"/>
      <c r="K250" s="24">
        <f t="shared" si="42"/>
        <v>1</v>
      </c>
      <c r="L250" s="719"/>
      <c r="M250" s="24">
        <f t="shared" si="43"/>
        <v>1</v>
      </c>
      <c r="N250" s="719"/>
      <c r="O250" s="24">
        <f t="shared" si="44"/>
        <v>1</v>
      </c>
      <c r="P250" s="719"/>
      <c r="Q250" s="24">
        <f t="shared" si="45"/>
        <v>1</v>
      </c>
      <c r="R250" s="715">
        <f t="shared" si="46"/>
        <v>0</v>
      </c>
      <c r="S250" s="361">
        <f t="shared" si="47"/>
        <v>0</v>
      </c>
    </row>
    <row r="251" spans="1:19">
      <c r="A251" s="159"/>
      <c r="B251" s="59"/>
      <c r="C251" s="24">
        <f t="shared" si="38"/>
        <v>1</v>
      </c>
      <c r="D251" s="719"/>
      <c r="E251" s="24">
        <f t="shared" si="39"/>
        <v>1</v>
      </c>
      <c r="F251" s="719"/>
      <c r="G251" s="24">
        <f t="shared" si="40"/>
        <v>1</v>
      </c>
      <c r="H251" s="719"/>
      <c r="I251" s="24">
        <f t="shared" si="41"/>
        <v>1</v>
      </c>
      <c r="J251" s="719"/>
      <c r="K251" s="24">
        <f t="shared" si="42"/>
        <v>1</v>
      </c>
      <c r="L251" s="719"/>
      <c r="M251" s="24">
        <f t="shared" si="43"/>
        <v>1</v>
      </c>
      <c r="N251" s="719"/>
      <c r="O251" s="24">
        <f t="shared" si="44"/>
        <v>1</v>
      </c>
      <c r="P251" s="719"/>
      <c r="Q251" s="24">
        <f t="shared" si="45"/>
        <v>1</v>
      </c>
      <c r="R251" s="715">
        <f t="shared" si="46"/>
        <v>0</v>
      </c>
      <c r="S251" s="361">
        <f t="shared" si="47"/>
        <v>0</v>
      </c>
    </row>
    <row r="252" spans="1:19">
      <c r="A252" s="159"/>
      <c r="B252" s="59"/>
      <c r="C252" s="24">
        <f t="shared" si="38"/>
        <v>1</v>
      </c>
      <c r="D252" s="719"/>
      <c r="E252" s="24">
        <f t="shared" si="39"/>
        <v>1</v>
      </c>
      <c r="F252" s="719"/>
      <c r="G252" s="24">
        <f t="shared" si="40"/>
        <v>1</v>
      </c>
      <c r="H252" s="719"/>
      <c r="I252" s="24">
        <f t="shared" si="41"/>
        <v>1</v>
      </c>
      <c r="J252" s="719"/>
      <c r="K252" s="24">
        <f t="shared" si="42"/>
        <v>1</v>
      </c>
      <c r="L252" s="719"/>
      <c r="M252" s="24">
        <f t="shared" si="43"/>
        <v>1</v>
      </c>
      <c r="N252" s="719"/>
      <c r="O252" s="24">
        <f t="shared" si="44"/>
        <v>1</v>
      </c>
      <c r="P252" s="719"/>
      <c r="Q252" s="24">
        <f t="shared" si="45"/>
        <v>1</v>
      </c>
      <c r="R252" s="715">
        <f t="shared" si="46"/>
        <v>0</v>
      </c>
      <c r="S252" s="361">
        <f t="shared" si="47"/>
        <v>0</v>
      </c>
    </row>
    <row r="253" spans="1:19">
      <c r="A253" s="159"/>
      <c r="B253" s="59"/>
      <c r="C253" s="24">
        <f t="shared" si="38"/>
        <v>1</v>
      </c>
      <c r="D253" s="719"/>
      <c r="E253" s="24">
        <f t="shared" si="39"/>
        <v>1</v>
      </c>
      <c r="F253" s="719"/>
      <c r="G253" s="24">
        <f t="shared" si="40"/>
        <v>1</v>
      </c>
      <c r="H253" s="719"/>
      <c r="I253" s="24">
        <f t="shared" si="41"/>
        <v>1</v>
      </c>
      <c r="J253" s="719"/>
      <c r="K253" s="24">
        <f t="shared" si="42"/>
        <v>1</v>
      </c>
      <c r="L253" s="719"/>
      <c r="M253" s="24">
        <f t="shared" si="43"/>
        <v>1</v>
      </c>
      <c r="N253" s="719"/>
      <c r="O253" s="24">
        <f t="shared" si="44"/>
        <v>1</v>
      </c>
      <c r="P253" s="719"/>
      <c r="Q253" s="24">
        <f t="shared" si="45"/>
        <v>1</v>
      </c>
      <c r="R253" s="715">
        <f t="shared" si="46"/>
        <v>0</v>
      </c>
      <c r="S253" s="361">
        <f t="shared" si="47"/>
        <v>0</v>
      </c>
    </row>
    <row r="254" spans="1:19">
      <c r="A254" s="159"/>
      <c r="B254" s="59"/>
      <c r="C254" s="24">
        <f t="shared" si="38"/>
        <v>1</v>
      </c>
      <c r="D254" s="719"/>
      <c r="E254" s="24">
        <f t="shared" si="39"/>
        <v>1</v>
      </c>
      <c r="F254" s="719"/>
      <c r="G254" s="24">
        <f t="shared" si="40"/>
        <v>1</v>
      </c>
      <c r="H254" s="719"/>
      <c r="I254" s="24">
        <f t="shared" si="41"/>
        <v>1</v>
      </c>
      <c r="J254" s="719"/>
      <c r="K254" s="24">
        <f t="shared" si="42"/>
        <v>1</v>
      </c>
      <c r="L254" s="719"/>
      <c r="M254" s="24">
        <f t="shared" si="43"/>
        <v>1</v>
      </c>
      <c r="N254" s="719"/>
      <c r="O254" s="24">
        <f t="shared" si="44"/>
        <v>1</v>
      </c>
      <c r="P254" s="719"/>
      <c r="Q254" s="24">
        <f t="shared" si="45"/>
        <v>1</v>
      </c>
      <c r="R254" s="715">
        <f t="shared" si="46"/>
        <v>0</v>
      </c>
      <c r="S254" s="361">
        <f t="shared" si="47"/>
        <v>0</v>
      </c>
    </row>
    <row r="255" spans="1:19">
      <c r="A255" s="159"/>
      <c r="B255" s="59"/>
      <c r="C255" s="24">
        <f t="shared" si="38"/>
        <v>1</v>
      </c>
      <c r="D255" s="719"/>
      <c r="E255" s="24">
        <f t="shared" si="39"/>
        <v>1</v>
      </c>
      <c r="F255" s="719"/>
      <c r="G255" s="24">
        <f t="shared" si="40"/>
        <v>1</v>
      </c>
      <c r="H255" s="719"/>
      <c r="I255" s="24">
        <f t="shared" si="41"/>
        <v>1</v>
      </c>
      <c r="J255" s="719"/>
      <c r="K255" s="24">
        <f t="shared" si="42"/>
        <v>1</v>
      </c>
      <c r="L255" s="719"/>
      <c r="M255" s="24">
        <f t="shared" si="43"/>
        <v>1</v>
      </c>
      <c r="N255" s="719"/>
      <c r="O255" s="24">
        <f t="shared" si="44"/>
        <v>1</v>
      </c>
      <c r="P255" s="719"/>
      <c r="Q255" s="24">
        <f t="shared" si="45"/>
        <v>1</v>
      </c>
      <c r="R255" s="715">
        <f t="shared" si="46"/>
        <v>0</v>
      </c>
      <c r="S255" s="361">
        <f t="shared" si="47"/>
        <v>0</v>
      </c>
    </row>
    <row r="256" spans="1:19">
      <c r="A256" s="159"/>
      <c r="B256" s="59"/>
      <c r="C256" s="24">
        <f t="shared" si="38"/>
        <v>1</v>
      </c>
      <c r="D256" s="719"/>
      <c r="E256" s="24">
        <f t="shared" si="39"/>
        <v>1</v>
      </c>
      <c r="F256" s="719"/>
      <c r="G256" s="24">
        <f t="shared" si="40"/>
        <v>1</v>
      </c>
      <c r="H256" s="719"/>
      <c r="I256" s="24">
        <f t="shared" si="41"/>
        <v>1</v>
      </c>
      <c r="J256" s="719"/>
      <c r="K256" s="24">
        <f t="shared" si="42"/>
        <v>1</v>
      </c>
      <c r="L256" s="719"/>
      <c r="M256" s="24">
        <f t="shared" si="43"/>
        <v>1</v>
      </c>
      <c r="N256" s="719"/>
      <c r="O256" s="24">
        <f t="shared" si="44"/>
        <v>1</v>
      </c>
      <c r="P256" s="719"/>
      <c r="Q256" s="24">
        <f t="shared" si="45"/>
        <v>1</v>
      </c>
      <c r="R256" s="715">
        <f t="shared" si="46"/>
        <v>0</v>
      </c>
      <c r="S256" s="361">
        <f t="shared" si="47"/>
        <v>0</v>
      </c>
    </row>
    <row r="257" spans="1:19">
      <c r="A257" s="159"/>
      <c r="B257" s="59"/>
      <c r="C257" s="24">
        <f t="shared" si="38"/>
        <v>1</v>
      </c>
      <c r="D257" s="719"/>
      <c r="E257" s="24">
        <f t="shared" si="39"/>
        <v>1</v>
      </c>
      <c r="F257" s="719"/>
      <c r="G257" s="24">
        <f t="shared" si="40"/>
        <v>1</v>
      </c>
      <c r="H257" s="719"/>
      <c r="I257" s="24">
        <f t="shared" si="41"/>
        <v>1</v>
      </c>
      <c r="J257" s="719"/>
      <c r="K257" s="24">
        <f t="shared" si="42"/>
        <v>1</v>
      </c>
      <c r="L257" s="719"/>
      <c r="M257" s="24">
        <f t="shared" si="43"/>
        <v>1</v>
      </c>
      <c r="N257" s="719"/>
      <c r="O257" s="24">
        <f t="shared" si="44"/>
        <v>1</v>
      </c>
      <c r="P257" s="719"/>
      <c r="Q257" s="24">
        <f t="shared" si="45"/>
        <v>1</v>
      </c>
      <c r="R257" s="715">
        <f t="shared" si="46"/>
        <v>0</v>
      </c>
      <c r="S257" s="361">
        <f t="shared" si="47"/>
        <v>0</v>
      </c>
    </row>
    <row r="258" spans="1:19">
      <c r="A258" s="159"/>
      <c r="B258" s="59"/>
      <c r="C258" s="24">
        <f t="shared" si="38"/>
        <v>1</v>
      </c>
      <c r="D258" s="719"/>
      <c r="E258" s="24">
        <f t="shared" si="39"/>
        <v>1</v>
      </c>
      <c r="F258" s="719"/>
      <c r="G258" s="24">
        <f t="shared" si="40"/>
        <v>1</v>
      </c>
      <c r="H258" s="719"/>
      <c r="I258" s="24">
        <f t="shared" si="41"/>
        <v>1</v>
      </c>
      <c r="J258" s="719"/>
      <c r="K258" s="24">
        <f t="shared" si="42"/>
        <v>1</v>
      </c>
      <c r="L258" s="719"/>
      <c r="M258" s="24">
        <f t="shared" si="43"/>
        <v>1</v>
      </c>
      <c r="N258" s="719"/>
      <c r="O258" s="24">
        <f t="shared" si="44"/>
        <v>1</v>
      </c>
      <c r="P258" s="719"/>
      <c r="Q258" s="24">
        <f t="shared" si="45"/>
        <v>1</v>
      </c>
      <c r="R258" s="715">
        <f t="shared" si="46"/>
        <v>0</v>
      </c>
      <c r="S258" s="361">
        <f t="shared" si="47"/>
        <v>0</v>
      </c>
    </row>
    <row r="259" spans="1:19">
      <c r="A259" s="159"/>
      <c r="B259" s="59"/>
      <c r="C259" s="24">
        <f t="shared" si="38"/>
        <v>1</v>
      </c>
      <c r="D259" s="719"/>
      <c r="E259" s="24">
        <f t="shared" si="39"/>
        <v>1</v>
      </c>
      <c r="F259" s="719"/>
      <c r="G259" s="24">
        <f t="shared" si="40"/>
        <v>1</v>
      </c>
      <c r="H259" s="719"/>
      <c r="I259" s="24">
        <f t="shared" si="41"/>
        <v>1</v>
      </c>
      <c r="J259" s="719"/>
      <c r="K259" s="24">
        <f t="shared" si="42"/>
        <v>1</v>
      </c>
      <c r="L259" s="719"/>
      <c r="M259" s="24">
        <f t="shared" si="43"/>
        <v>1</v>
      </c>
      <c r="N259" s="719"/>
      <c r="O259" s="24">
        <f t="shared" si="44"/>
        <v>1</v>
      </c>
      <c r="P259" s="719"/>
      <c r="Q259" s="24">
        <f t="shared" si="45"/>
        <v>1</v>
      </c>
      <c r="R259" s="715">
        <f t="shared" si="46"/>
        <v>0</v>
      </c>
      <c r="S259" s="361">
        <f t="shared" si="47"/>
        <v>0</v>
      </c>
    </row>
    <row r="260" spans="1:19">
      <c r="A260" s="159"/>
      <c r="B260" s="59"/>
      <c r="C260" s="24">
        <f t="shared" si="38"/>
        <v>1</v>
      </c>
      <c r="D260" s="719"/>
      <c r="E260" s="24">
        <f t="shared" si="39"/>
        <v>1</v>
      </c>
      <c r="F260" s="719"/>
      <c r="G260" s="24">
        <f t="shared" si="40"/>
        <v>1</v>
      </c>
      <c r="H260" s="719"/>
      <c r="I260" s="24">
        <f t="shared" si="41"/>
        <v>1</v>
      </c>
      <c r="J260" s="719"/>
      <c r="K260" s="24">
        <f t="shared" si="42"/>
        <v>1</v>
      </c>
      <c r="L260" s="719"/>
      <c r="M260" s="24">
        <f t="shared" si="43"/>
        <v>1</v>
      </c>
      <c r="N260" s="719"/>
      <c r="O260" s="24">
        <f t="shared" si="44"/>
        <v>1</v>
      </c>
      <c r="P260" s="719"/>
      <c r="Q260" s="24">
        <f t="shared" si="45"/>
        <v>1</v>
      </c>
      <c r="R260" s="715">
        <f t="shared" si="46"/>
        <v>0</v>
      </c>
      <c r="S260" s="361">
        <f t="shared" si="47"/>
        <v>0</v>
      </c>
    </row>
    <row r="261" spans="1:19">
      <c r="A261" s="159"/>
      <c r="B261" s="59"/>
      <c r="C261" s="24">
        <f t="shared" si="38"/>
        <v>1</v>
      </c>
      <c r="D261" s="719"/>
      <c r="E261" s="24">
        <f t="shared" si="39"/>
        <v>1</v>
      </c>
      <c r="F261" s="719"/>
      <c r="G261" s="24">
        <f t="shared" si="40"/>
        <v>1</v>
      </c>
      <c r="H261" s="719"/>
      <c r="I261" s="24">
        <f t="shared" si="41"/>
        <v>1</v>
      </c>
      <c r="J261" s="719"/>
      <c r="K261" s="24">
        <f t="shared" si="42"/>
        <v>1</v>
      </c>
      <c r="L261" s="719"/>
      <c r="M261" s="24">
        <f t="shared" si="43"/>
        <v>1</v>
      </c>
      <c r="N261" s="719"/>
      <c r="O261" s="24">
        <f t="shared" si="44"/>
        <v>1</v>
      </c>
      <c r="P261" s="719"/>
      <c r="Q261" s="24">
        <f t="shared" si="45"/>
        <v>1</v>
      </c>
      <c r="R261" s="715">
        <f t="shared" si="46"/>
        <v>0</v>
      </c>
      <c r="S261" s="361">
        <f t="shared" si="47"/>
        <v>0</v>
      </c>
    </row>
    <row r="262" spans="1:19">
      <c r="A262" s="159"/>
      <c r="B262" s="59"/>
      <c r="C262" s="24">
        <f t="shared" si="38"/>
        <v>1</v>
      </c>
      <c r="D262" s="719"/>
      <c r="E262" s="24">
        <f t="shared" si="39"/>
        <v>1</v>
      </c>
      <c r="F262" s="719"/>
      <c r="G262" s="24">
        <f t="shared" si="40"/>
        <v>1</v>
      </c>
      <c r="H262" s="719"/>
      <c r="I262" s="24">
        <f t="shared" si="41"/>
        <v>1</v>
      </c>
      <c r="J262" s="719"/>
      <c r="K262" s="24">
        <f t="shared" si="42"/>
        <v>1</v>
      </c>
      <c r="L262" s="719"/>
      <c r="M262" s="24">
        <f t="shared" si="43"/>
        <v>1</v>
      </c>
      <c r="N262" s="719"/>
      <c r="O262" s="24">
        <f t="shared" si="44"/>
        <v>1</v>
      </c>
      <c r="P262" s="719"/>
      <c r="Q262" s="24">
        <f t="shared" si="45"/>
        <v>1</v>
      </c>
      <c r="R262" s="715">
        <f t="shared" si="46"/>
        <v>0</v>
      </c>
      <c r="S262" s="361">
        <f t="shared" si="47"/>
        <v>0</v>
      </c>
    </row>
    <row r="263" spans="1:19">
      <c r="A263" s="159"/>
      <c r="B263" s="59"/>
      <c r="C263" s="24">
        <f t="shared" si="38"/>
        <v>1</v>
      </c>
      <c r="D263" s="719"/>
      <c r="E263" s="24">
        <f t="shared" si="39"/>
        <v>1</v>
      </c>
      <c r="F263" s="719"/>
      <c r="G263" s="24">
        <f t="shared" si="40"/>
        <v>1</v>
      </c>
      <c r="H263" s="719"/>
      <c r="I263" s="24">
        <f t="shared" si="41"/>
        <v>1</v>
      </c>
      <c r="J263" s="719"/>
      <c r="K263" s="24">
        <f t="shared" si="42"/>
        <v>1</v>
      </c>
      <c r="L263" s="719"/>
      <c r="M263" s="24">
        <f t="shared" si="43"/>
        <v>1</v>
      </c>
      <c r="N263" s="719"/>
      <c r="O263" s="24">
        <f t="shared" si="44"/>
        <v>1</v>
      </c>
      <c r="P263" s="719"/>
      <c r="Q263" s="24">
        <f t="shared" si="45"/>
        <v>1</v>
      </c>
      <c r="R263" s="715">
        <f t="shared" si="46"/>
        <v>0</v>
      </c>
      <c r="S263" s="361">
        <f t="shared" si="47"/>
        <v>0</v>
      </c>
    </row>
    <row r="264" spans="1:19">
      <c r="A264" s="159"/>
      <c r="B264" s="59"/>
      <c r="C264" s="24">
        <f t="shared" si="38"/>
        <v>1</v>
      </c>
      <c r="D264" s="719"/>
      <c r="E264" s="24">
        <f t="shared" si="39"/>
        <v>1</v>
      </c>
      <c r="F264" s="719"/>
      <c r="G264" s="24">
        <f t="shared" si="40"/>
        <v>1</v>
      </c>
      <c r="H264" s="719"/>
      <c r="I264" s="24">
        <f t="shared" si="41"/>
        <v>1</v>
      </c>
      <c r="J264" s="719"/>
      <c r="K264" s="24">
        <f t="shared" si="42"/>
        <v>1</v>
      </c>
      <c r="L264" s="719"/>
      <c r="M264" s="24">
        <f t="shared" si="43"/>
        <v>1</v>
      </c>
      <c r="N264" s="719"/>
      <c r="O264" s="24">
        <f t="shared" si="44"/>
        <v>1</v>
      </c>
      <c r="P264" s="719"/>
      <c r="Q264" s="24">
        <f t="shared" si="45"/>
        <v>1</v>
      </c>
      <c r="R264" s="715">
        <f t="shared" si="46"/>
        <v>0</v>
      </c>
      <c r="S264" s="361">
        <f t="shared" si="47"/>
        <v>0</v>
      </c>
    </row>
    <row r="265" spans="1:19">
      <c r="A265" s="159"/>
      <c r="B265" s="59"/>
      <c r="C265" s="24">
        <f t="shared" si="38"/>
        <v>1</v>
      </c>
      <c r="D265" s="719"/>
      <c r="E265" s="24">
        <f t="shared" si="39"/>
        <v>1</v>
      </c>
      <c r="F265" s="719"/>
      <c r="G265" s="24">
        <f t="shared" si="40"/>
        <v>1</v>
      </c>
      <c r="H265" s="719"/>
      <c r="I265" s="24">
        <f t="shared" si="41"/>
        <v>1</v>
      </c>
      <c r="J265" s="719"/>
      <c r="K265" s="24">
        <f t="shared" si="42"/>
        <v>1</v>
      </c>
      <c r="L265" s="719"/>
      <c r="M265" s="24">
        <f t="shared" si="43"/>
        <v>1</v>
      </c>
      <c r="N265" s="719"/>
      <c r="O265" s="24">
        <f t="shared" si="44"/>
        <v>1</v>
      </c>
      <c r="P265" s="719"/>
      <c r="Q265" s="24">
        <f t="shared" si="45"/>
        <v>1</v>
      </c>
      <c r="R265" s="715">
        <f t="shared" si="46"/>
        <v>0</v>
      </c>
      <c r="S265" s="361">
        <f t="shared" si="47"/>
        <v>0</v>
      </c>
    </row>
    <row r="266" spans="1:19">
      <c r="A266" s="159"/>
      <c r="B266" s="59"/>
      <c r="C266" s="24">
        <f t="shared" si="38"/>
        <v>1</v>
      </c>
      <c r="D266" s="719"/>
      <c r="E266" s="24">
        <f t="shared" si="39"/>
        <v>1</v>
      </c>
      <c r="F266" s="719"/>
      <c r="G266" s="24">
        <f t="shared" si="40"/>
        <v>1</v>
      </c>
      <c r="H266" s="719"/>
      <c r="I266" s="24">
        <f t="shared" si="41"/>
        <v>1</v>
      </c>
      <c r="J266" s="719"/>
      <c r="K266" s="24">
        <f t="shared" si="42"/>
        <v>1</v>
      </c>
      <c r="L266" s="719"/>
      <c r="M266" s="24">
        <f t="shared" si="43"/>
        <v>1</v>
      </c>
      <c r="N266" s="719"/>
      <c r="O266" s="24">
        <f t="shared" si="44"/>
        <v>1</v>
      </c>
      <c r="P266" s="719"/>
      <c r="Q266" s="24">
        <f t="shared" si="45"/>
        <v>1</v>
      </c>
      <c r="R266" s="715">
        <f t="shared" si="46"/>
        <v>0</v>
      </c>
      <c r="S266" s="361">
        <f t="shared" si="47"/>
        <v>0</v>
      </c>
    </row>
    <row r="267" spans="1:19">
      <c r="A267" s="159"/>
      <c r="B267" s="59"/>
      <c r="C267" s="24">
        <f t="shared" si="38"/>
        <v>1</v>
      </c>
      <c r="D267" s="719"/>
      <c r="E267" s="24">
        <f t="shared" si="39"/>
        <v>1</v>
      </c>
      <c r="F267" s="719"/>
      <c r="G267" s="24">
        <f t="shared" si="40"/>
        <v>1</v>
      </c>
      <c r="H267" s="719"/>
      <c r="I267" s="24">
        <f t="shared" si="41"/>
        <v>1</v>
      </c>
      <c r="J267" s="719"/>
      <c r="K267" s="24">
        <f t="shared" si="42"/>
        <v>1</v>
      </c>
      <c r="L267" s="719"/>
      <c r="M267" s="24">
        <f t="shared" si="43"/>
        <v>1</v>
      </c>
      <c r="N267" s="719"/>
      <c r="O267" s="24">
        <f t="shared" si="44"/>
        <v>1</v>
      </c>
      <c r="P267" s="719"/>
      <c r="Q267" s="24">
        <f t="shared" si="45"/>
        <v>1</v>
      </c>
      <c r="R267" s="715">
        <f t="shared" si="46"/>
        <v>0</v>
      </c>
      <c r="S267" s="361">
        <f t="shared" si="47"/>
        <v>0</v>
      </c>
    </row>
    <row r="268" spans="1:19">
      <c r="A268" s="159"/>
      <c r="B268" s="59"/>
      <c r="C268" s="24">
        <f t="shared" si="38"/>
        <v>1</v>
      </c>
      <c r="D268" s="719"/>
      <c r="E268" s="24">
        <f t="shared" si="39"/>
        <v>1</v>
      </c>
      <c r="F268" s="719"/>
      <c r="G268" s="24">
        <f t="shared" si="40"/>
        <v>1</v>
      </c>
      <c r="H268" s="719"/>
      <c r="I268" s="24">
        <f t="shared" si="41"/>
        <v>1</v>
      </c>
      <c r="J268" s="719"/>
      <c r="K268" s="24">
        <f t="shared" si="42"/>
        <v>1</v>
      </c>
      <c r="L268" s="719"/>
      <c r="M268" s="24">
        <f t="shared" si="43"/>
        <v>1</v>
      </c>
      <c r="N268" s="719"/>
      <c r="O268" s="24">
        <f t="shared" si="44"/>
        <v>1</v>
      </c>
      <c r="P268" s="719"/>
      <c r="Q268" s="24">
        <f t="shared" si="45"/>
        <v>1</v>
      </c>
      <c r="R268" s="715">
        <f t="shared" si="46"/>
        <v>0</v>
      </c>
      <c r="S268" s="361">
        <f t="shared" si="47"/>
        <v>0</v>
      </c>
    </row>
    <row r="269" spans="1:19">
      <c r="A269" s="159"/>
      <c r="B269" s="59"/>
      <c r="C269" s="24">
        <f t="shared" si="38"/>
        <v>1</v>
      </c>
      <c r="D269" s="719"/>
      <c r="E269" s="24">
        <f t="shared" si="39"/>
        <v>1</v>
      </c>
      <c r="F269" s="719"/>
      <c r="G269" s="24">
        <f t="shared" si="40"/>
        <v>1</v>
      </c>
      <c r="H269" s="719"/>
      <c r="I269" s="24">
        <f t="shared" si="41"/>
        <v>1</v>
      </c>
      <c r="J269" s="719"/>
      <c r="K269" s="24">
        <f t="shared" si="42"/>
        <v>1</v>
      </c>
      <c r="L269" s="719"/>
      <c r="M269" s="24">
        <f t="shared" si="43"/>
        <v>1</v>
      </c>
      <c r="N269" s="719"/>
      <c r="O269" s="24">
        <f t="shared" si="44"/>
        <v>1</v>
      </c>
      <c r="P269" s="719"/>
      <c r="Q269" s="24">
        <f t="shared" si="45"/>
        <v>1</v>
      </c>
      <c r="R269" s="715">
        <f t="shared" si="46"/>
        <v>0</v>
      </c>
      <c r="S269" s="361">
        <f t="shared" si="47"/>
        <v>0</v>
      </c>
    </row>
    <row r="270" spans="1:19">
      <c r="A270" s="159"/>
      <c r="B270" s="59"/>
      <c r="C270" s="24">
        <f t="shared" si="38"/>
        <v>1</v>
      </c>
      <c r="D270" s="719"/>
      <c r="E270" s="24">
        <f t="shared" si="39"/>
        <v>1</v>
      </c>
      <c r="F270" s="719"/>
      <c r="G270" s="24">
        <f t="shared" si="40"/>
        <v>1</v>
      </c>
      <c r="H270" s="719"/>
      <c r="I270" s="24">
        <f t="shared" si="41"/>
        <v>1</v>
      </c>
      <c r="J270" s="719"/>
      <c r="K270" s="24">
        <f t="shared" si="42"/>
        <v>1</v>
      </c>
      <c r="L270" s="719"/>
      <c r="M270" s="24">
        <f t="shared" si="43"/>
        <v>1</v>
      </c>
      <c r="N270" s="719"/>
      <c r="O270" s="24">
        <f t="shared" si="44"/>
        <v>1</v>
      </c>
      <c r="P270" s="719"/>
      <c r="Q270" s="24">
        <f t="shared" si="45"/>
        <v>1</v>
      </c>
      <c r="R270" s="715">
        <f t="shared" si="46"/>
        <v>0</v>
      </c>
      <c r="S270" s="361">
        <f t="shared" si="47"/>
        <v>0</v>
      </c>
    </row>
    <row r="271" spans="1:19">
      <c r="A271" s="159"/>
      <c r="B271" s="59"/>
      <c r="C271" s="24">
        <f t="shared" si="38"/>
        <v>1</v>
      </c>
      <c r="D271" s="719"/>
      <c r="E271" s="24">
        <f t="shared" si="39"/>
        <v>1</v>
      </c>
      <c r="F271" s="719"/>
      <c r="G271" s="24">
        <f t="shared" si="40"/>
        <v>1</v>
      </c>
      <c r="H271" s="719"/>
      <c r="I271" s="24">
        <f t="shared" si="41"/>
        <v>1</v>
      </c>
      <c r="J271" s="719"/>
      <c r="K271" s="24">
        <f t="shared" si="42"/>
        <v>1</v>
      </c>
      <c r="L271" s="719"/>
      <c r="M271" s="24">
        <f t="shared" si="43"/>
        <v>1</v>
      </c>
      <c r="N271" s="719"/>
      <c r="O271" s="24">
        <f t="shared" si="44"/>
        <v>1</v>
      </c>
      <c r="P271" s="719"/>
      <c r="Q271" s="24">
        <f t="shared" si="45"/>
        <v>1</v>
      </c>
      <c r="R271" s="715">
        <f t="shared" si="46"/>
        <v>0</v>
      </c>
      <c r="S271" s="361">
        <f t="shared" si="47"/>
        <v>0</v>
      </c>
    </row>
    <row r="272" spans="1:19">
      <c r="A272" s="159"/>
      <c r="B272" s="59"/>
      <c r="C272" s="24">
        <f t="shared" si="38"/>
        <v>1</v>
      </c>
      <c r="D272" s="719"/>
      <c r="E272" s="24">
        <f t="shared" si="39"/>
        <v>1</v>
      </c>
      <c r="F272" s="719"/>
      <c r="G272" s="24">
        <f t="shared" si="40"/>
        <v>1</v>
      </c>
      <c r="H272" s="719"/>
      <c r="I272" s="24">
        <f t="shared" si="41"/>
        <v>1</v>
      </c>
      <c r="J272" s="719"/>
      <c r="K272" s="24">
        <f t="shared" si="42"/>
        <v>1</v>
      </c>
      <c r="L272" s="719"/>
      <c r="M272" s="24">
        <f t="shared" si="43"/>
        <v>1</v>
      </c>
      <c r="N272" s="719"/>
      <c r="O272" s="24">
        <f t="shared" si="44"/>
        <v>1</v>
      </c>
      <c r="P272" s="719"/>
      <c r="Q272" s="24">
        <f t="shared" si="45"/>
        <v>1</v>
      </c>
      <c r="R272" s="715">
        <f t="shared" si="46"/>
        <v>0</v>
      </c>
      <c r="S272" s="361">
        <f t="shared" si="47"/>
        <v>0</v>
      </c>
    </row>
    <row r="273" spans="1:19">
      <c r="A273" s="159"/>
      <c r="B273" s="59"/>
      <c r="C273" s="24">
        <f t="shared" si="38"/>
        <v>1</v>
      </c>
      <c r="D273" s="719"/>
      <c r="E273" s="24">
        <f t="shared" si="39"/>
        <v>1</v>
      </c>
      <c r="F273" s="719"/>
      <c r="G273" s="24">
        <f t="shared" si="40"/>
        <v>1</v>
      </c>
      <c r="H273" s="719"/>
      <c r="I273" s="24">
        <f t="shared" si="41"/>
        <v>1</v>
      </c>
      <c r="J273" s="719"/>
      <c r="K273" s="24">
        <f t="shared" si="42"/>
        <v>1</v>
      </c>
      <c r="L273" s="719"/>
      <c r="M273" s="24">
        <f t="shared" si="43"/>
        <v>1</v>
      </c>
      <c r="N273" s="719"/>
      <c r="O273" s="24">
        <f t="shared" si="44"/>
        <v>1</v>
      </c>
      <c r="P273" s="719"/>
      <c r="Q273" s="24">
        <f t="shared" si="45"/>
        <v>1</v>
      </c>
      <c r="R273" s="715">
        <f t="shared" si="46"/>
        <v>0</v>
      </c>
      <c r="S273" s="361">
        <f t="shared" si="47"/>
        <v>0</v>
      </c>
    </row>
    <row r="274" spans="1:19">
      <c r="A274" s="159"/>
      <c r="B274" s="59"/>
      <c r="C274" s="24">
        <f t="shared" si="38"/>
        <v>1</v>
      </c>
      <c r="D274" s="719"/>
      <c r="E274" s="24">
        <f t="shared" si="39"/>
        <v>1</v>
      </c>
      <c r="F274" s="719"/>
      <c r="G274" s="24">
        <f t="shared" si="40"/>
        <v>1</v>
      </c>
      <c r="H274" s="719"/>
      <c r="I274" s="24">
        <f t="shared" si="41"/>
        <v>1</v>
      </c>
      <c r="J274" s="719"/>
      <c r="K274" s="24">
        <f t="shared" si="42"/>
        <v>1</v>
      </c>
      <c r="L274" s="719"/>
      <c r="M274" s="24">
        <f t="shared" si="43"/>
        <v>1</v>
      </c>
      <c r="N274" s="719"/>
      <c r="O274" s="24">
        <f t="shared" si="44"/>
        <v>1</v>
      </c>
      <c r="P274" s="719"/>
      <c r="Q274" s="24">
        <f t="shared" si="45"/>
        <v>1</v>
      </c>
      <c r="R274" s="715">
        <f t="shared" si="46"/>
        <v>0</v>
      </c>
      <c r="S274" s="361">
        <f t="shared" si="47"/>
        <v>0</v>
      </c>
    </row>
    <row r="275" spans="1:19">
      <c r="A275" s="159"/>
      <c r="B275" s="59"/>
      <c r="C275" s="24">
        <f t="shared" si="38"/>
        <v>1</v>
      </c>
      <c r="D275" s="719"/>
      <c r="E275" s="24">
        <f t="shared" si="39"/>
        <v>1</v>
      </c>
      <c r="F275" s="719"/>
      <c r="G275" s="24">
        <f t="shared" si="40"/>
        <v>1</v>
      </c>
      <c r="H275" s="719"/>
      <c r="I275" s="24">
        <f t="shared" si="41"/>
        <v>1</v>
      </c>
      <c r="J275" s="719"/>
      <c r="K275" s="24">
        <f t="shared" si="42"/>
        <v>1</v>
      </c>
      <c r="L275" s="719"/>
      <c r="M275" s="24">
        <f t="shared" si="43"/>
        <v>1</v>
      </c>
      <c r="N275" s="719"/>
      <c r="O275" s="24">
        <f t="shared" si="44"/>
        <v>1</v>
      </c>
      <c r="P275" s="719"/>
      <c r="Q275" s="24">
        <f t="shared" si="45"/>
        <v>1</v>
      </c>
      <c r="R275" s="715">
        <f t="shared" si="46"/>
        <v>0</v>
      </c>
      <c r="S275" s="361">
        <f t="shared" si="47"/>
        <v>0</v>
      </c>
    </row>
    <row r="276" spans="1:19">
      <c r="A276" s="159"/>
      <c r="B276" s="59"/>
      <c r="C276" s="24">
        <f t="shared" si="38"/>
        <v>1</v>
      </c>
      <c r="D276" s="719"/>
      <c r="E276" s="24">
        <f t="shared" si="39"/>
        <v>1</v>
      </c>
      <c r="F276" s="719"/>
      <c r="G276" s="24">
        <f t="shared" si="40"/>
        <v>1</v>
      </c>
      <c r="H276" s="719"/>
      <c r="I276" s="24">
        <f t="shared" si="41"/>
        <v>1</v>
      </c>
      <c r="J276" s="719"/>
      <c r="K276" s="24">
        <f t="shared" si="42"/>
        <v>1</v>
      </c>
      <c r="L276" s="719"/>
      <c r="M276" s="24">
        <f t="shared" si="43"/>
        <v>1</v>
      </c>
      <c r="N276" s="719"/>
      <c r="O276" s="24">
        <f t="shared" si="44"/>
        <v>1</v>
      </c>
      <c r="P276" s="719"/>
      <c r="Q276" s="24">
        <f t="shared" si="45"/>
        <v>1</v>
      </c>
      <c r="R276" s="715">
        <f t="shared" si="46"/>
        <v>0</v>
      </c>
      <c r="S276" s="361">
        <f t="shared" si="47"/>
        <v>0</v>
      </c>
    </row>
    <row r="277" spans="1:19">
      <c r="A277" s="159"/>
      <c r="B277" s="59"/>
      <c r="C277" s="24">
        <f t="shared" si="38"/>
        <v>1</v>
      </c>
      <c r="D277" s="719"/>
      <c r="E277" s="24">
        <f t="shared" si="39"/>
        <v>1</v>
      </c>
      <c r="F277" s="719"/>
      <c r="G277" s="24">
        <f t="shared" si="40"/>
        <v>1</v>
      </c>
      <c r="H277" s="719"/>
      <c r="I277" s="24">
        <f t="shared" si="41"/>
        <v>1</v>
      </c>
      <c r="J277" s="719"/>
      <c r="K277" s="24">
        <f t="shared" si="42"/>
        <v>1</v>
      </c>
      <c r="L277" s="719"/>
      <c r="M277" s="24">
        <f t="shared" si="43"/>
        <v>1</v>
      </c>
      <c r="N277" s="719"/>
      <c r="O277" s="24">
        <f t="shared" si="44"/>
        <v>1</v>
      </c>
      <c r="P277" s="719"/>
      <c r="Q277" s="24">
        <f t="shared" si="45"/>
        <v>1</v>
      </c>
      <c r="R277" s="715">
        <f t="shared" si="46"/>
        <v>0</v>
      </c>
      <c r="S277" s="361">
        <f t="shared" si="47"/>
        <v>0</v>
      </c>
    </row>
    <row r="278" spans="1:19">
      <c r="A278" s="159"/>
      <c r="B278" s="59"/>
      <c r="C278" s="24">
        <f t="shared" si="38"/>
        <v>1</v>
      </c>
      <c r="D278" s="719"/>
      <c r="E278" s="24">
        <f t="shared" si="39"/>
        <v>1</v>
      </c>
      <c r="F278" s="719"/>
      <c r="G278" s="24">
        <f t="shared" si="40"/>
        <v>1</v>
      </c>
      <c r="H278" s="719"/>
      <c r="I278" s="24">
        <f t="shared" si="41"/>
        <v>1</v>
      </c>
      <c r="J278" s="719"/>
      <c r="K278" s="24">
        <f t="shared" si="42"/>
        <v>1</v>
      </c>
      <c r="L278" s="719"/>
      <c r="M278" s="24">
        <f t="shared" si="43"/>
        <v>1</v>
      </c>
      <c r="N278" s="719"/>
      <c r="O278" s="24">
        <f t="shared" si="44"/>
        <v>1</v>
      </c>
      <c r="P278" s="719"/>
      <c r="Q278" s="24">
        <f t="shared" si="45"/>
        <v>1</v>
      </c>
      <c r="R278" s="715">
        <f t="shared" si="46"/>
        <v>0</v>
      </c>
      <c r="S278" s="361">
        <f t="shared" si="47"/>
        <v>0</v>
      </c>
    </row>
    <row r="279" spans="1:19">
      <c r="A279" s="159"/>
      <c r="B279" s="59"/>
      <c r="C279" s="24">
        <f t="shared" si="38"/>
        <v>1</v>
      </c>
      <c r="D279" s="719"/>
      <c r="E279" s="24">
        <f t="shared" si="39"/>
        <v>1</v>
      </c>
      <c r="F279" s="719"/>
      <c r="G279" s="24">
        <f t="shared" si="40"/>
        <v>1</v>
      </c>
      <c r="H279" s="719"/>
      <c r="I279" s="24">
        <f t="shared" si="41"/>
        <v>1</v>
      </c>
      <c r="J279" s="719"/>
      <c r="K279" s="24">
        <f t="shared" si="42"/>
        <v>1</v>
      </c>
      <c r="L279" s="719"/>
      <c r="M279" s="24">
        <f t="shared" si="43"/>
        <v>1</v>
      </c>
      <c r="N279" s="719"/>
      <c r="O279" s="24">
        <f t="shared" si="44"/>
        <v>1</v>
      </c>
      <c r="P279" s="719"/>
      <c r="Q279" s="24">
        <f t="shared" si="45"/>
        <v>1</v>
      </c>
      <c r="R279" s="715">
        <f t="shared" si="46"/>
        <v>0</v>
      </c>
      <c r="S279" s="361">
        <f t="shared" si="47"/>
        <v>0</v>
      </c>
    </row>
    <row r="280" spans="1:19">
      <c r="A280" s="159"/>
      <c r="B280" s="59"/>
      <c r="C280" s="24">
        <f t="shared" si="38"/>
        <v>1</v>
      </c>
      <c r="D280" s="719"/>
      <c r="E280" s="24">
        <f t="shared" si="39"/>
        <v>1</v>
      </c>
      <c r="F280" s="719"/>
      <c r="G280" s="24">
        <f t="shared" si="40"/>
        <v>1</v>
      </c>
      <c r="H280" s="719"/>
      <c r="I280" s="24">
        <f t="shared" si="41"/>
        <v>1</v>
      </c>
      <c r="J280" s="719"/>
      <c r="K280" s="24">
        <f t="shared" si="42"/>
        <v>1</v>
      </c>
      <c r="L280" s="719"/>
      <c r="M280" s="24">
        <f t="shared" si="43"/>
        <v>1</v>
      </c>
      <c r="N280" s="719"/>
      <c r="O280" s="24">
        <f t="shared" si="44"/>
        <v>1</v>
      </c>
      <c r="P280" s="719"/>
      <c r="Q280" s="24">
        <f t="shared" si="45"/>
        <v>1</v>
      </c>
      <c r="R280" s="715">
        <f t="shared" si="46"/>
        <v>0</v>
      </c>
      <c r="S280" s="361">
        <f t="shared" si="47"/>
        <v>0</v>
      </c>
    </row>
    <row r="281" spans="1:19">
      <c r="A281" s="159"/>
      <c r="B281" s="59"/>
      <c r="C281" s="24">
        <f t="shared" si="38"/>
        <v>1</v>
      </c>
      <c r="D281" s="719"/>
      <c r="E281" s="24">
        <f t="shared" si="39"/>
        <v>1</v>
      </c>
      <c r="F281" s="719"/>
      <c r="G281" s="24">
        <f t="shared" si="40"/>
        <v>1</v>
      </c>
      <c r="H281" s="719"/>
      <c r="I281" s="24">
        <f t="shared" si="41"/>
        <v>1</v>
      </c>
      <c r="J281" s="719"/>
      <c r="K281" s="24">
        <f t="shared" si="42"/>
        <v>1</v>
      </c>
      <c r="L281" s="719"/>
      <c r="M281" s="24">
        <f t="shared" si="43"/>
        <v>1</v>
      </c>
      <c r="N281" s="719"/>
      <c r="O281" s="24">
        <f t="shared" si="44"/>
        <v>1</v>
      </c>
      <c r="P281" s="719"/>
      <c r="Q281" s="24">
        <f t="shared" si="45"/>
        <v>1</v>
      </c>
      <c r="R281" s="715">
        <f t="shared" si="46"/>
        <v>0</v>
      </c>
      <c r="S281" s="361">
        <f t="shared" si="47"/>
        <v>0</v>
      </c>
    </row>
    <row r="282" spans="1:19">
      <c r="A282" s="159"/>
      <c r="B282" s="59"/>
      <c r="C282" s="24">
        <f t="shared" ref="C282:C345" si="48">IF(B282="",1,(LOOKUP(B282,$3:$3,$4:$4)-LOOKUP($B$24,$3:$3,$4:$4)+100)/100)</f>
        <v>1</v>
      </c>
      <c r="D282" s="719"/>
      <c r="E282" s="24">
        <f t="shared" ref="E282:E345" si="49">(SUMIF($5:$5,D282,$6:$6)-SUMIF($5:$5,$D$24,$6:$6)+100)/100</f>
        <v>1</v>
      </c>
      <c r="F282" s="719"/>
      <c r="G282" s="24">
        <f t="shared" ref="G282:G345" si="50">(SUMIF($7:$7,F282,$8:$8)-SUMIF($7:$7,$F$24,$8:$8)+100)/100</f>
        <v>1</v>
      </c>
      <c r="H282" s="719"/>
      <c r="I282" s="24">
        <f t="shared" ref="I282:I345" si="51">(SUMIF($9:$9,H282,$10:$10)-SUMIF($9:$9,$H$24,$10:$10)+100)/100</f>
        <v>1</v>
      </c>
      <c r="J282" s="719"/>
      <c r="K282" s="24">
        <f t="shared" ref="K282:K345" si="52">(SUMIF($11:$11,J282,$12:$12)-SUMIF($11:$11,$J$24,$12:$12)+100)/100</f>
        <v>1</v>
      </c>
      <c r="L282" s="719"/>
      <c r="M282" s="24">
        <f t="shared" ref="M282:M345" si="53">(SUMIF($13:$13,L282,$14:$14)-SUMIF($13:$13,$L$24,$14:$14)+100)/100</f>
        <v>1</v>
      </c>
      <c r="N282" s="719"/>
      <c r="O282" s="24">
        <f t="shared" ref="O282:O345" si="54">(SUMIF($15:$15,N282,$16:$16)-SUMIF($15:$15,$N$24,$16:$16)+100)/100</f>
        <v>1</v>
      </c>
      <c r="P282" s="719"/>
      <c r="Q282" s="24">
        <f t="shared" ref="Q282:Q345" si="55">(SUMIF($17:$17,P282,$18:$18)-SUMIF($17:$17,$P$24,$18:$18)+100)/100</f>
        <v>1</v>
      </c>
      <c r="R282" s="715">
        <f t="shared" ref="R282:R345" si="56">IF(B282="",0,ROUND($R$24*C282*E282*G282*I282*K282*M282*O282*Q282,0))</f>
        <v>0</v>
      </c>
      <c r="S282" s="361">
        <f t="shared" si="47"/>
        <v>0</v>
      </c>
    </row>
    <row r="283" spans="1:19">
      <c r="A283" s="159"/>
      <c r="B283" s="59"/>
      <c r="C283" s="24">
        <f t="shared" si="48"/>
        <v>1</v>
      </c>
      <c r="D283" s="719"/>
      <c r="E283" s="24">
        <f t="shared" si="49"/>
        <v>1</v>
      </c>
      <c r="F283" s="719"/>
      <c r="G283" s="24">
        <f t="shared" si="50"/>
        <v>1</v>
      </c>
      <c r="H283" s="719"/>
      <c r="I283" s="24">
        <f t="shared" si="51"/>
        <v>1</v>
      </c>
      <c r="J283" s="719"/>
      <c r="K283" s="24">
        <f t="shared" si="52"/>
        <v>1</v>
      </c>
      <c r="L283" s="719"/>
      <c r="M283" s="24">
        <f t="shared" si="53"/>
        <v>1</v>
      </c>
      <c r="N283" s="719"/>
      <c r="O283" s="24">
        <f t="shared" si="54"/>
        <v>1</v>
      </c>
      <c r="P283" s="719"/>
      <c r="Q283" s="24">
        <f t="shared" si="55"/>
        <v>1</v>
      </c>
      <c r="R283" s="715">
        <f t="shared" si="56"/>
        <v>0</v>
      </c>
      <c r="S283" s="361">
        <f t="shared" si="47"/>
        <v>0</v>
      </c>
    </row>
    <row r="284" spans="1:19">
      <c r="A284" s="159"/>
      <c r="B284" s="59"/>
      <c r="C284" s="24">
        <f t="shared" si="48"/>
        <v>1</v>
      </c>
      <c r="D284" s="719"/>
      <c r="E284" s="24">
        <f t="shared" si="49"/>
        <v>1</v>
      </c>
      <c r="F284" s="719"/>
      <c r="G284" s="24">
        <f t="shared" si="50"/>
        <v>1</v>
      </c>
      <c r="H284" s="719"/>
      <c r="I284" s="24">
        <f t="shared" si="51"/>
        <v>1</v>
      </c>
      <c r="J284" s="719"/>
      <c r="K284" s="24">
        <f t="shared" si="52"/>
        <v>1</v>
      </c>
      <c r="L284" s="719"/>
      <c r="M284" s="24">
        <f t="shared" si="53"/>
        <v>1</v>
      </c>
      <c r="N284" s="719"/>
      <c r="O284" s="24">
        <f t="shared" si="54"/>
        <v>1</v>
      </c>
      <c r="P284" s="719"/>
      <c r="Q284" s="24">
        <f t="shared" si="55"/>
        <v>1</v>
      </c>
      <c r="R284" s="715">
        <f t="shared" si="56"/>
        <v>0</v>
      </c>
      <c r="S284" s="361">
        <f t="shared" si="47"/>
        <v>0</v>
      </c>
    </row>
    <row r="285" spans="1:19">
      <c r="A285" s="159"/>
      <c r="B285" s="59"/>
      <c r="C285" s="24">
        <f t="shared" si="48"/>
        <v>1</v>
      </c>
      <c r="D285" s="719"/>
      <c r="E285" s="24">
        <f t="shared" si="49"/>
        <v>1</v>
      </c>
      <c r="F285" s="719"/>
      <c r="G285" s="24">
        <f t="shared" si="50"/>
        <v>1</v>
      </c>
      <c r="H285" s="719"/>
      <c r="I285" s="24">
        <f t="shared" si="51"/>
        <v>1</v>
      </c>
      <c r="J285" s="719"/>
      <c r="K285" s="24">
        <f t="shared" si="52"/>
        <v>1</v>
      </c>
      <c r="L285" s="719"/>
      <c r="M285" s="24">
        <f t="shared" si="53"/>
        <v>1</v>
      </c>
      <c r="N285" s="719"/>
      <c r="O285" s="24">
        <f t="shared" si="54"/>
        <v>1</v>
      </c>
      <c r="P285" s="719"/>
      <c r="Q285" s="24">
        <f t="shared" si="55"/>
        <v>1</v>
      </c>
      <c r="R285" s="715">
        <f t="shared" si="56"/>
        <v>0</v>
      </c>
      <c r="S285" s="361">
        <f t="shared" si="47"/>
        <v>0</v>
      </c>
    </row>
    <row r="286" spans="1:19">
      <c r="A286" s="159"/>
      <c r="B286" s="59"/>
      <c r="C286" s="24">
        <f t="shared" si="48"/>
        <v>1</v>
      </c>
      <c r="D286" s="719"/>
      <c r="E286" s="24">
        <f t="shared" si="49"/>
        <v>1</v>
      </c>
      <c r="F286" s="719"/>
      <c r="G286" s="24">
        <f t="shared" si="50"/>
        <v>1</v>
      </c>
      <c r="H286" s="719"/>
      <c r="I286" s="24">
        <f t="shared" si="51"/>
        <v>1</v>
      </c>
      <c r="J286" s="719"/>
      <c r="K286" s="24">
        <f t="shared" si="52"/>
        <v>1</v>
      </c>
      <c r="L286" s="719"/>
      <c r="M286" s="24">
        <f t="shared" si="53"/>
        <v>1</v>
      </c>
      <c r="N286" s="719"/>
      <c r="O286" s="24">
        <f t="shared" si="54"/>
        <v>1</v>
      </c>
      <c r="P286" s="719"/>
      <c r="Q286" s="24">
        <f t="shared" si="55"/>
        <v>1</v>
      </c>
      <c r="R286" s="715">
        <f t="shared" si="56"/>
        <v>0</v>
      </c>
      <c r="S286" s="361">
        <f t="shared" si="47"/>
        <v>0</v>
      </c>
    </row>
    <row r="287" spans="1:19">
      <c r="A287" s="159"/>
      <c r="B287" s="59"/>
      <c r="C287" s="24">
        <f t="shared" si="48"/>
        <v>1</v>
      </c>
      <c r="D287" s="719"/>
      <c r="E287" s="24">
        <f t="shared" si="49"/>
        <v>1</v>
      </c>
      <c r="F287" s="719"/>
      <c r="G287" s="24">
        <f t="shared" si="50"/>
        <v>1</v>
      </c>
      <c r="H287" s="719"/>
      <c r="I287" s="24">
        <f t="shared" si="51"/>
        <v>1</v>
      </c>
      <c r="J287" s="719"/>
      <c r="K287" s="24">
        <f t="shared" si="52"/>
        <v>1</v>
      </c>
      <c r="L287" s="719"/>
      <c r="M287" s="24">
        <f t="shared" si="53"/>
        <v>1</v>
      </c>
      <c r="N287" s="719"/>
      <c r="O287" s="24">
        <f t="shared" si="54"/>
        <v>1</v>
      </c>
      <c r="P287" s="719"/>
      <c r="Q287" s="24">
        <f t="shared" si="55"/>
        <v>1</v>
      </c>
      <c r="R287" s="715">
        <f t="shared" si="56"/>
        <v>0</v>
      </c>
      <c r="S287" s="361">
        <f t="shared" ref="S287:S320" si="57">ROUND(R287*B287/10000,0)</f>
        <v>0</v>
      </c>
    </row>
    <row r="288" spans="1:19">
      <c r="A288" s="159"/>
      <c r="B288" s="59"/>
      <c r="C288" s="24">
        <f t="shared" si="48"/>
        <v>1</v>
      </c>
      <c r="D288" s="719"/>
      <c r="E288" s="24">
        <f t="shared" si="49"/>
        <v>1</v>
      </c>
      <c r="F288" s="719"/>
      <c r="G288" s="24">
        <f t="shared" si="50"/>
        <v>1</v>
      </c>
      <c r="H288" s="719"/>
      <c r="I288" s="24">
        <f t="shared" si="51"/>
        <v>1</v>
      </c>
      <c r="J288" s="719"/>
      <c r="K288" s="24">
        <f t="shared" si="52"/>
        <v>1</v>
      </c>
      <c r="L288" s="719"/>
      <c r="M288" s="24">
        <f t="shared" si="53"/>
        <v>1</v>
      </c>
      <c r="N288" s="719"/>
      <c r="O288" s="24">
        <f t="shared" si="54"/>
        <v>1</v>
      </c>
      <c r="P288" s="719"/>
      <c r="Q288" s="24">
        <f t="shared" si="55"/>
        <v>1</v>
      </c>
      <c r="R288" s="715">
        <f t="shared" si="56"/>
        <v>0</v>
      </c>
      <c r="S288" s="361">
        <f t="shared" si="57"/>
        <v>0</v>
      </c>
    </row>
    <row r="289" spans="1:19">
      <c r="A289" s="159"/>
      <c r="B289" s="59"/>
      <c r="C289" s="24">
        <f t="shared" si="48"/>
        <v>1</v>
      </c>
      <c r="D289" s="719"/>
      <c r="E289" s="24">
        <f t="shared" si="49"/>
        <v>1</v>
      </c>
      <c r="F289" s="719"/>
      <c r="G289" s="24">
        <f t="shared" si="50"/>
        <v>1</v>
      </c>
      <c r="H289" s="719"/>
      <c r="I289" s="24">
        <f t="shared" si="51"/>
        <v>1</v>
      </c>
      <c r="J289" s="719"/>
      <c r="K289" s="24">
        <f t="shared" si="52"/>
        <v>1</v>
      </c>
      <c r="L289" s="719"/>
      <c r="M289" s="24">
        <f t="shared" si="53"/>
        <v>1</v>
      </c>
      <c r="N289" s="719"/>
      <c r="O289" s="24">
        <f t="shared" si="54"/>
        <v>1</v>
      </c>
      <c r="P289" s="719"/>
      <c r="Q289" s="24">
        <f t="shared" si="55"/>
        <v>1</v>
      </c>
      <c r="R289" s="715">
        <f t="shared" si="56"/>
        <v>0</v>
      </c>
      <c r="S289" s="361">
        <f t="shared" si="57"/>
        <v>0</v>
      </c>
    </row>
    <row r="290" spans="1:19">
      <c r="A290" s="159"/>
      <c r="B290" s="59"/>
      <c r="C290" s="24">
        <f t="shared" si="48"/>
        <v>1</v>
      </c>
      <c r="D290" s="719"/>
      <c r="E290" s="24">
        <f t="shared" si="49"/>
        <v>1</v>
      </c>
      <c r="F290" s="719"/>
      <c r="G290" s="24">
        <f t="shared" si="50"/>
        <v>1</v>
      </c>
      <c r="H290" s="719"/>
      <c r="I290" s="24">
        <f t="shared" si="51"/>
        <v>1</v>
      </c>
      <c r="J290" s="719"/>
      <c r="K290" s="24">
        <f t="shared" si="52"/>
        <v>1</v>
      </c>
      <c r="L290" s="719"/>
      <c r="M290" s="24">
        <f t="shared" si="53"/>
        <v>1</v>
      </c>
      <c r="N290" s="719"/>
      <c r="O290" s="24">
        <f t="shared" si="54"/>
        <v>1</v>
      </c>
      <c r="P290" s="719"/>
      <c r="Q290" s="24">
        <f t="shared" si="55"/>
        <v>1</v>
      </c>
      <c r="R290" s="715">
        <f t="shared" si="56"/>
        <v>0</v>
      </c>
      <c r="S290" s="361">
        <f t="shared" si="57"/>
        <v>0</v>
      </c>
    </row>
    <row r="291" spans="1:19">
      <c r="A291" s="159"/>
      <c r="B291" s="59"/>
      <c r="C291" s="24">
        <f t="shared" si="48"/>
        <v>1</v>
      </c>
      <c r="D291" s="719"/>
      <c r="E291" s="24">
        <f t="shared" si="49"/>
        <v>1</v>
      </c>
      <c r="F291" s="719"/>
      <c r="G291" s="24">
        <f t="shared" si="50"/>
        <v>1</v>
      </c>
      <c r="H291" s="719"/>
      <c r="I291" s="24">
        <f t="shared" si="51"/>
        <v>1</v>
      </c>
      <c r="J291" s="719"/>
      <c r="K291" s="24">
        <f t="shared" si="52"/>
        <v>1</v>
      </c>
      <c r="L291" s="719"/>
      <c r="M291" s="24">
        <f t="shared" si="53"/>
        <v>1</v>
      </c>
      <c r="N291" s="719"/>
      <c r="O291" s="24">
        <f t="shared" si="54"/>
        <v>1</v>
      </c>
      <c r="P291" s="719"/>
      <c r="Q291" s="24">
        <f t="shared" si="55"/>
        <v>1</v>
      </c>
      <c r="R291" s="715">
        <f t="shared" si="56"/>
        <v>0</v>
      </c>
      <c r="S291" s="361">
        <f t="shared" si="57"/>
        <v>0</v>
      </c>
    </row>
    <row r="292" spans="1:19">
      <c r="A292" s="159"/>
      <c r="B292" s="59"/>
      <c r="C292" s="24">
        <f t="shared" si="48"/>
        <v>1</v>
      </c>
      <c r="D292" s="719"/>
      <c r="E292" s="24">
        <f t="shared" si="49"/>
        <v>1</v>
      </c>
      <c r="F292" s="719"/>
      <c r="G292" s="24">
        <f t="shared" si="50"/>
        <v>1</v>
      </c>
      <c r="H292" s="719"/>
      <c r="I292" s="24">
        <f t="shared" si="51"/>
        <v>1</v>
      </c>
      <c r="J292" s="719"/>
      <c r="K292" s="24">
        <f t="shared" si="52"/>
        <v>1</v>
      </c>
      <c r="L292" s="719"/>
      <c r="M292" s="24">
        <f t="shared" si="53"/>
        <v>1</v>
      </c>
      <c r="N292" s="719"/>
      <c r="O292" s="24">
        <f t="shared" si="54"/>
        <v>1</v>
      </c>
      <c r="P292" s="719"/>
      <c r="Q292" s="24">
        <f t="shared" si="55"/>
        <v>1</v>
      </c>
      <c r="R292" s="715">
        <f t="shared" si="56"/>
        <v>0</v>
      </c>
      <c r="S292" s="361">
        <f t="shared" si="57"/>
        <v>0</v>
      </c>
    </row>
    <row r="293" spans="1:19">
      <c r="A293" s="159"/>
      <c r="B293" s="59"/>
      <c r="C293" s="24">
        <f t="shared" si="48"/>
        <v>1</v>
      </c>
      <c r="D293" s="719"/>
      <c r="E293" s="24">
        <f t="shared" si="49"/>
        <v>1</v>
      </c>
      <c r="F293" s="719"/>
      <c r="G293" s="24">
        <f t="shared" si="50"/>
        <v>1</v>
      </c>
      <c r="H293" s="719"/>
      <c r="I293" s="24">
        <f t="shared" si="51"/>
        <v>1</v>
      </c>
      <c r="J293" s="719"/>
      <c r="K293" s="24">
        <f t="shared" si="52"/>
        <v>1</v>
      </c>
      <c r="L293" s="719"/>
      <c r="M293" s="24">
        <f t="shared" si="53"/>
        <v>1</v>
      </c>
      <c r="N293" s="719"/>
      <c r="O293" s="24">
        <f t="shared" si="54"/>
        <v>1</v>
      </c>
      <c r="P293" s="719"/>
      <c r="Q293" s="24">
        <f t="shared" si="55"/>
        <v>1</v>
      </c>
      <c r="R293" s="715">
        <f t="shared" si="56"/>
        <v>0</v>
      </c>
      <c r="S293" s="361">
        <f t="shared" si="57"/>
        <v>0</v>
      </c>
    </row>
    <row r="294" spans="1:19">
      <c r="A294" s="159"/>
      <c r="B294" s="59"/>
      <c r="C294" s="24">
        <f t="shared" si="48"/>
        <v>1</v>
      </c>
      <c r="D294" s="719"/>
      <c r="E294" s="24">
        <f t="shared" si="49"/>
        <v>1</v>
      </c>
      <c r="F294" s="719"/>
      <c r="G294" s="24">
        <f t="shared" si="50"/>
        <v>1</v>
      </c>
      <c r="H294" s="719"/>
      <c r="I294" s="24">
        <f t="shared" si="51"/>
        <v>1</v>
      </c>
      <c r="J294" s="719"/>
      <c r="K294" s="24">
        <f t="shared" si="52"/>
        <v>1</v>
      </c>
      <c r="L294" s="719"/>
      <c r="M294" s="24">
        <f t="shared" si="53"/>
        <v>1</v>
      </c>
      <c r="N294" s="719"/>
      <c r="O294" s="24">
        <f t="shared" si="54"/>
        <v>1</v>
      </c>
      <c r="P294" s="719"/>
      <c r="Q294" s="24">
        <f t="shared" si="55"/>
        <v>1</v>
      </c>
      <c r="R294" s="715">
        <f t="shared" si="56"/>
        <v>0</v>
      </c>
      <c r="S294" s="361">
        <f t="shared" si="57"/>
        <v>0</v>
      </c>
    </row>
    <row r="295" spans="1:19">
      <c r="A295" s="159"/>
      <c r="B295" s="59"/>
      <c r="C295" s="24">
        <f t="shared" si="48"/>
        <v>1</v>
      </c>
      <c r="D295" s="719"/>
      <c r="E295" s="24">
        <f t="shared" si="49"/>
        <v>1</v>
      </c>
      <c r="F295" s="719"/>
      <c r="G295" s="24">
        <f t="shared" si="50"/>
        <v>1</v>
      </c>
      <c r="H295" s="719"/>
      <c r="I295" s="24">
        <f t="shared" si="51"/>
        <v>1</v>
      </c>
      <c r="J295" s="719"/>
      <c r="K295" s="24">
        <f t="shared" si="52"/>
        <v>1</v>
      </c>
      <c r="L295" s="719"/>
      <c r="M295" s="24">
        <f t="shared" si="53"/>
        <v>1</v>
      </c>
      <c r="N295" s="719"/>
      <c r="O295" s="24">
        <f t="shared" si="54"/>
        <v>1</v>
      </c>
      <c r="P295" s="719"/>
      <c r="Q295" s="24">
        <f t="shared" si="55"/>
        <v>1</v>
      </c>
      <c r="R295" s="715">
        <f t="shared" si="56"/>
        <v>0</v>
      </c>
      <c r="S295" s="361">
        <f t="shared" si="57"/>
        <v>0</v>
      </c>
    </row>
    <row r="296" spans="1:19">
      <c r="A296" s="159"/>
      <c r="B296" s="59"/>
      <c r="C296" s="24">
        <f t="shared" si="48"/>
        <v>1</v>
      </c>
      <c r="D296" s="719"/>
      <c r="E296" s="24">
        <f t="shared" si="49"/>
        <v>1</v>
      </c>
      <c r="F296" s="719"/>
      <c r="G296" s="24">
        <f t="shared" si="50"/>
        <v>1</v>
      </c>
      <c r="H296" s="719"/>
      <c r="I296" s="24">
        <f t="shared" si="51"/>
        <v>1</v>
      </c>
      <c r="J296" s="719"/>
      <c r="K296" s="24">
        <f t="shared" si="52"/>
        <v>1</v>
      </c>
      <c r="L296" s="719"/>
      <c r="M296" s="24">
        <f t="shared" si="53"/>
        <v>1</v>
      </c>
      <c r="N296" s="719"/>
      <c r="O296" s="24">
        <f t="shared" si="54"/>
        <v>1</v>
      </c>
      <c r="P296" s="719"/>
      <c r="Q296" s="24">
        <f t="shared" si="55"/>
        <v>1</v>
      </c>
      <c r="R296" s="715">
        <f t="shared" si="56"/>
        <v>0</v>
      </c>
      <c r="S296" s="361">
        <f t="shared" si="57"/>
        <v>0</v>
      </c>
    </row>
    <row r="297" spans="1:19">
      <c r="A297" s="159"/>
      <c r="B297" s="59"/>
      <c r="C297" s="24">
        <f t="shared" si="48"/>
        <v>1</v>
      </c>
      <c r="D297" s="719"/>
      <c r="E297" s="24">
        <f t="shared" si="49"/>
        <v>1</v>
      </c>
      <c r="F297" s="719"/>
      <c r="G297" s="24">
        <f t="shared" si="50"/>
        <v>1</v>
      </c>
      <c r="H297" s="719"/>
      <c r="I297" s="24">
        <f t="shared" si="51"/>
        <v>1</v>
      </c>
      <c r="J297" s="719"/>
      <c r="K297" s="24">
        <f t="shared" si="52"/>
        <v>1</v>
      </c>
      <c r="L297" s="719"/>
      <c r="M297" s="24">
        <f t="shared" si="53"/>
        <v>1</v>
      </c>
      <c r="N297" s="719"/>
      <c r="O297" s="24">
        <f t="shared" si="54"/>
        <v>1</v>
      </c>
      <c r="P297" s="719"/>
      <c r="Q297" s="24">
        <f t="shared" si="55"/>
        <v>1</v>
      </c>
      <c r="R297" s="715">
        <f t="shared" si="56"/>
        <v>0</v>
      </c>
      <c r="S297" s="361">
        <f t="shared" si="57"/>
        <v>0</v>
      </c>
    </row>
    <row r="298" spans="1:19">
      <c r="A298" s="159"/>
      <c r="B298" s="59"/>
      <c r="C298" s="24">
        <f t="shared" si="48"/>
        <v>1</v>
      </c>
      <c r="D298" s="719"/>
      <c r="E298" s="24">
        <f t="shared" si="49"/>
        <v>1</v>
      </c>
      <c r="F298" s="719"/>
      <c r="G298" s="24">
        <f t="shared" si="50"/>
        <v>1</v>
      </c>
      <c r="H298" s="719"/>
      <c r="I298" s="24">
        <f t="shared" si="51"/>
        <v>1</v>
      </c>
      <c r="J298" s="719"/>
      <c r="K298" s="24">
        <f t="shared" si="52"/>
        <v>1</v>
      </c>
      <c r="L298" s="719"/>
      <c r="M298" s="24">
        <f t="shared" si="53"/>
        <v>1</v>
      </c>
      <c r="N298" s="719"/>
      <c r="O298" s="24">
        <f t="shared" si="54"/>
        <v>1</v>
      </c>
      <c r="P298" s="719"/>
      <c r="Q298" s="24">
        <f t="shared" si="55"/>
        <v>1</v>
      </c>
      <c r="R298" s="715">
        <f t="shared" si="56"/>
        <v>0</v>
      </c>
      <c r="S298" s="361">
        <f t="shared" si="57"/>
        <v>0</v>
      </c>
    </row>
    <row r="299" spans="1:19">
      <c r="A299" s="159"/>
      <c r="B299" s="59"/>
      <c r="C299" s="24">
        <f t="shared" si="48"/>
        <v>1</v>
      </c>
      <c r="D299" s="719"/>
      <c r="E299" s="24">
        <f t="shared" si="49"/>
        <v>1</v>
      </c>
      <c r="F299" s="719"/>
      <c r="G299" s="24">
        <f t="shared" si="50"/>
        <v>1</v>
      </c>
      <c r="H299" s="719"/>
      <c r="I299" s="24">
        <f t="shared" si="51"/>
        <v>1</v>
      </c>
      <c r="J299" s="719"/>
      <c r="K299" s="24">
        <f t="shared" si="52"/>
        <v>1</v>
      </c>
      <c r="L299" s="719"/>
      <c r="M299" s="24">
        <f t="shared" si="53"/>
        <v>1</v>
      </c>
      <c r="N299" s="719"/>
      <c r="O299" s="24">
        <f t="shared" si="54"/>
        <v>1</v>
      </c>
      <c r="P299" s="719"/>
      <c r="Q299" s="24">
        <f t="shared" si="55"/>
        <v>1</v>
      </c>
      <c r="R299" s="715">
        <f t="shared" si="56"/>
        <v>0</v>
      </c>
      <c r="S299" s="361">
        <f t="shared" si="57"/>
        <v>0</v>
      </c>
    </row>
    <row r="300" spans="1:19">
      <c r="A300" s="159"/>
      <c r="B300" s="59"/>
      <c r="C300" s="24">
        <f t="shared" si="48"/>
        <v>1</v>
      </c>
      <c r="D300" s="719"/>
      <c r="E300" s="24">
        <f t="shared" si="49"/>
        <v>1</v>
      </c>
      <c r="F300" s="719"/>
      <c r="G300" s="24">
        <f t="shared" si="50"/>
        <v>1</v>
      </c>
      <c r="H300" s="719"/>
      <c r="I300" s="24">
        <f t="shared" si="51"/>
        <v>1</v>
      </c>
      <c r="J300" s="719"/>
      <c r="K300" s="24">
        <f t="shared" si="52"/>
        <v>1</v>
      </c>
      <c r="L300" s="719"/>
      <c r="M300" s="24">
        <f t="shared" si="53"/>
        <v>1</v>
      </c>
      <c r="N300" s="719"/>
      <c r="O300" s="24">
        <f t="shared" si="54"/>
        <v>1</v>
      </c>
      <c r="P300" s="719"/>
      <c r="Q300" s="24">
        <f t="shared" si="55"/>
        <v>1</v>
      </c>
      <c r="R300" s="715">
        <f t="shared" si="56"/>
        <v>0</v>
      </c>
      <c r="S300" s="361">
        <f t="shared" si="57"/>
        <v>0</v>
      </c>
    </row>
    <row r="301" spans="1:19">
      <c r="A301" s="159"/>
      <c r="B301" s="59"/>
      <c r="C301" s="24">
        <f t="shared" si="48"/>
        <v>1</v>
      </c>
      <c r="D301" s="719"/>
      <c r="E301" s="24">
        <f t="shared" si="49"/>
        <v>1</v>
      </c>
      <c r="F301" s="719"/>
      <c r="G301" s="24">
        <f t="shared" si="50"/>
        <v>1</v>
      </c>
      <c r="H301" s="719"/>
      <c r="I301" s="24">
        <f t="shared" si="51"/>
        <v>1</v>
      </c>
      <c r="J301" s="719"/>
      <c r="K301" s="24">
        <f t="shared" si="52"/>
        <v>1</v>
      </c>
      <c r="L301" s="719"/>
      <c r="M301" s="24">
        <f t="shared" si="53"/>
        <v>1</v>
      </c>
      <c r="N301" s="719"/>
      <c r="O301" s="24">
        <f t="shared" si="54"/>
        <v>1</v>
      </c>
      <c r="P301" s="719"/>
      <c r="Q301" s="24">
        <f t="shared" si="55"/>
        <v>1</v>
      </c>
      <c r="R301" s="715">
        <f t="shared" si="56"/>
        <v>0</v>
      </c>
      <c r="S301" s="361">
        <f t="shared" si="57"/>
        <v>0</v>
      </c>
    </row>
    <row r="302" spans="1:19">
      <c r="A302" s="159"/>
      <c r="B302" s="59"/>
      <c r="C302" s="24">
        <f t="shared" si="48"/>
        <v>1</v>
      </c>
      <c r="D302" s="719"/>
      <c r="E302" s="24">
        <f t="shared" si="49"/>
        <v>1</v>
      </c>
      <c r="F302" s="719"/>
      <c r="G302" s="24">
        <f t="shared" si="50"/>
        <v>1</v>
      </c>
      <c r="H302" s="719"/>
      <c r="I302" s="24">
        <f t="shared" si="51"/>
        <v>1</v>
      </c>
      <c r="J302" s="719"/>
      <c r="K302" s="24">
        <f t="shared" si="52"/>
        <v>1</v>
      </c>
      <c r="L302" s="719"/>
      <c r="M302" s="24">
        <f t="shared" si="53"/>
        <v>1</v>
      </c>
      <c r="N302" s="719"/>
      <c r="O302" s="24">
        <f t="shared" si="54"/>
        <v>1</v>
      </c>
      <c r="P302" s="719"/>
      <c r="Q302" s="24">
        <f t="shared" si="55"/>
        <v>1</v>
      </c>
      <c r="R302" s="715">
        <f t="shared" si="56"/>
        <v>0</v>
      </c>
      <c r="S302" s="361">
        <f t="shared" si="57"/>
        <v>0</v>
      </c>
    </row>
    <row r="303" spans="1:19">
      <c r="A303" s="159"/>
      <c r="B303" s="59"/>
      <c r="C303" s="24">
        <f t="shared" si="48"/>
        <v>1</v>
      </c>
      <c r="D303" s="719"/>
      <c r="E303" s="24">
        <f t="shared" si="49"/>
        <v>1</v>
      </c>
      <c r="F303" s="719"/>
      <c r="G303" s="24">
        <f t="shared" si="50"/>
        <v>1</v>
      </c>
      <c r="H303" s="719"/>
      <c r="I303" s="24">
        <f t="shared" si="51"/>
        <v>1</v>
      </c>
      <c r="J303" s="719"/>
      <c r="K303" s="24">
        <f t="shared" si="52"/>
        <v>1</v>
      </c>
      <c r="L303" s="719"/>
      <c r="M303" s="24">
        <f t="shared" si="53"/>
        <v>1</v>
      </c>
      <c r="N303" s="719"/>
      <c r="O303" s="24">
        <f t="shared" si="54"/>
        <v>1</v>
      </c>
      <c r="P303" s="719"/>
      <c r="Q303" s="24">
        <f t="shared" si="55"/>
        <v>1</v>
      </c>
      <c r="R303" s="715">
        <f t="shared" si="56"/>
        <v>0</v>
      </c>
      <c r="S303" s="361">
        <f t="shared" si="57"/>
        <v>0</v>
      </c>
    </row>
    <row r="304" spans="1:19">
      <c r="A304" s="159"/>
      <c r="B304" s="59"/>
      <c r="C304" s="24">
        <f t="shared" si="48"/>
        <v>1</v>
      </c>
      <c r="D304" s="719"/>
      <c r="E304" s="24">
        <f t="shared" si="49"/>
        <v>1</v>
      </c>
      <c r="F304" s="719"/>
      <c r="G304" s="24">
        <f t="shared" si="50"/>
        <v>1</v>
      </c>
      <c r="H304" s="719"/>
      <c r="I304" s="24">
        <f t="shared" si="51"/>
        <v>1</v>
      </c>
      <c r="J304" s="719"/>
      <c r="K304" s="24">
        <f t="shared" si="52"/>
        <v>1</v>
      </c>
      <c r="L304" s="719"/>
      <c r="M304" s="24">
        <f t="shared" si="53"/>
        <v>1</v>
      </c>
      <c r="N304" s="719"/>
      <c r="O304" s="24">
        <f t="shared" si="54"/>
        <v>1</v>
      </c>
      <c r="P304" s="719"/>
      <c r="Q304" s="24">
        <f t="shared" si="55"/>
        <v>1</v>
      </c>
      <c r="R304" s="715">
        <f t="shared" si="56"/>
        <v>0</v>
      </c>
      <c r="S304" s="361">
        <f t="shared" si="57"/>
        <v>0</v>
      </c>
    </row>
    <row r="305" spans="1:19">
      <c r="A305" s="159"/>
      <c r="B305" s="59"/>
      <c r="C305" s="24">
        <f t="shared" si="48"/>
        <v>1</v>
      </c>
      <c r="D305" s="719"/>
      <c r="E305" s="24">
        <f t="shared" si="49"/>
        <v>1</v>
      </c>
      <c r="F305" s="719"/>
      <c r="G305" s="24">
        <f t="shared" si="50"/>
        <v>1</v>
      </c>
      <c r="H305" s="719"/>
      <c r="I305" s="24">
        <f t="shared" si="51"/>
        <v>1</v>
      </c>
      <c r="J305" s="719"/>
      <c r="K305" s="24">
        <f t="shared" si="52"/>
        <v>1</v>
      </c>
      <c r="L305" s="719"/>
      <c r="M305" s="24">
        <f t="shared" si="53"/>
        <v>1</v>
      </c>
      <c r="N305" s="719"/>
      <c r="O305" s="24">
        <f t="shared" si="54"/>
        <v>1</v>
      </c>
      <c r="P305" s="719"/>
      <c r="Q305" s="24">
        <f t="shared" si="55"/>
        <v>1</v>
      </c>
      <c r="R305" s="715">
        <f t="shared" si="56"/>
        <v>0</v>
      </c>
      <c r="S305" s="361">
        <f t="shared" si="57"/>
        <v>0</v>
      </c>
    </row>
    <row r="306" spans="1:19">
      <c r="A306" s="159"/>
      <c r="B306" s="59"/>
      <c r="C306" s="24">
        <f t="shared" si="48"/>
        <v>1</v>
      </c>
      <c r="D306" s="719"/>
      <c r="E306" s="24">
        <f t="shared" si="49"/>
        <v>1</v>
      </c>
      <c r="F306" s="719"/>
      <c r="G306" s="24">
        <f t="shared" si="50"/>
        <v>1</v>
      </c>
      <c r="H306" s="719"/>
      <c r="I306" s="24">
        <f t="shared" si="51"/>
        <v>1</v>
      </c>
      <c r="J306" s="719"/>
      <c r="K306" s="24">
        <f t="shared" si="52"/>
        <v>1</v>
      </c>
      <c r="L306" s="719"/>
      <c r="M306" s="24">
        <f t="shared" si="53"/>
        <v>1</v>
      </c>
      <c r="N306" s="719"/>
      <c r="O306" s="24">
        <f t="shared" si="54"/>
        <v>1</v>
      </c>
      <c r="P306" s="719"/>
      <c r="Q306" s="24">
        <f t="shared" si="55"/>
        <v>1</v>
      </c>
      <c r="R306" s="715">
        <f t="shared" si="56"/>
        <v>0</v>
      </c>
      <c r="S306" s="361">
        <f t="shared" si="57"/>
        <v>0</v>
      </c>
    </row>
    <row r="307" spans="1:19">
      <c r="A307" s="159"/>
      <c r="B307" s="59"/>
      <c r="C307" s="24">
        <f t="shared" si="48"/>
        <v>1</v>
      </c>
      <c r="D307" s="719"/>
      <c r="E307" s="24">
        <f t="shared" si="49"/>
        <v>1</v>
      </c>
      <c r="F307" s="719"/>
      <c r="G307" s="24">
        <f t="shared" si="50"/>
        <v>1</v>
      </c>
      <c r="H307" s="719"/>
      <c r="I307" s="24">
        <f t="shared" si="51"/>
        <v>1</v>
      </c>
      <c r="J307" s="719"/>
      <c r="K307" s="24">
        <f t="shared" si="52"/>
        <v>1</v>
      </c>
      <c r="L307" s="719"/>
      <c r="M307" s="24">
        <f t="shared" si="53"/>
        <v>1</v>
      </c>
      <c r="N307" s="719"/>
      <c r="O307" s="24">
        <f t="shared" si="54"/>
        <v>1</v>
      </c>
      <c r="P307" s="719"/>
      <c r="Q307" s="24">
        <f t="shared" si="55"/>
        <v>1</v>
      </c>
      <c r="R307" s="715">
        <f t="shared" si="56"/>
        <v>0</v>
      </c>
      <c r="S307" s="361">
        <f t="shared" si="57"/>
        <v>0</v>
      </c>
    </row>
    <row r="308" spans="1:19">
      <c r="A308" s="159"/>
      <c r="B308" s="59"/>
      <c r="C308" s="24">
        <f t="shared" si="48"/>
        <v>1</v>
      </c>
      <c r="D308" s="719"/>
      <c r="E308" s="24">
        <f t="shared" si="49"/>
        <v>1</v>
      </c>
      <c r="F308" s="719"/>
      <c r="G308" s="24">
        <f t="shared" si="50"/>
        <v>1</v>
      </c>
      <c r="H308" s="719"/>
      <c r="I308" s="24">
        <f t="shared" si="51"/>
        <v>1</v>
      </c>
      <c r="J308" s="719"/>
      <c r="K308" s="24">
        <f t="shared" si="52"/>
        <v>1</v>
      </c>
      <c r="L308" s="719"/>
      <c r="M308" s="24">
        <f t="shared" si="53"/>
        <v>1</v>
      </c>
      <c r="N308" s="719"/>
      <c r="O308" s="24">
        <f t="shared" si="54"/>
        <v>1</v>
      </c>
      <c r="P308" s="719"/>
      <c r="Q308" s="24">
        <f t="shared" si="55"/>
        <v>1</v>
      </c>
      <c r="R308" s="715">
        <f t="shared" si="56"/>
        <v>0</v>
      </c>
      <c r="S308" s="361">
        <f t="shared" si="57"/>
        <v>0</v>
      </c>
    </row>
    <row r="309" spans="1:19">
      <c r="A309" s="159"/>
      <c r="B309" s="59"/>
      <c r="C309" s="24">
        <f t="shared" si="48"/>
        <v>1</v>
      </c>
      <c r="D309" s="719"/>
      <c r="E309" s="24">
        <f t="shared" si="49"/>
        <v>1</v>
      </c>
      <c r="F309" s="719"/>
      <c r="G309" s="24">
        <f t="shared" si="50"/>
        <v>1</v>
      </c>
      <c r="H309" s="719"/>
      <c r="I309" s="24">
        <f t="shared" si="51"/>
        <v>1</v>
      </c>
      <c r="J309" s="719"/>
      <c r="K309" s="24">
        <f t="shared" si="52"/>
        <v>1</v>
      </c>
      <c r="L309" s="719"/>
      <c r="M309" s="24">
        <f t="shared" si="53"/>
        <v>1</v>
      </c>
      <c r="N309" s="719"/>
      <c r="O309" s="24">
        <f t="shared" si="54"/>
        <v>1</v>
      </c>
      <c r="P309" s="719"/>
      <c r="Q309" s="24">
        <f t="shared" si="55"/>
        <v>1</v>
      </c>
      <c r="R309" s="715">
        <f t="shared" si="56"/>
        <v>0</v>
      </c>
      <c r="S309" s="361">
        <f t="shared" si="57"/>
        <v>0</v>
      </c>
    </row>
    <row r="310" spans="1:19">
      <c r="A310" s="159"/>
      <c r="B310" s="59"/>
      <c r="C310" s="24">
        <f t="shared" si="48"/>
        <v>1</v>
      </c>
      <c r="D310" s="719"/>
      <c r="E310" s="24">
        <f t="shared" si="49"/>
        <v>1</v>
      </c>
      <c r="F310" s="719"/>
      <c r="G310" s="24">
        <f t="shared" si="50"/>
        <v>1</v>
      </c>
      <c r="H310" s="719"/>
      <c r="I310" s="24">
        <f t="shared" si="51"/>
        <v>1</v>
      </c>
      <c r="J310" s="719"/>
      <c r="K310" s="24">
        <f t="shared" si="52"/>
        <v>1</v>
      </c>
      <c r="L310" s="719"/>
      <c r="M310" s="24">
        <f t="shared" si="53"/>
        <v>1</v>
      </c>
      <c r="N310" s="719"/>
      <c r="O310" s="24">
        <f t="shared" si="54"/>
        <v>1</v>
      </c>
      <c r="P310" s="719"/>
      <c r="Q310" s="24">
        <f t="shared" si="55"/>
        <v>1</v>
      </c>
      <c r="R310" s="715">
        <f t="shared" si="56"/>
        <v>0</v>
      </c>
      <c r="S310" s="361">
        <f t="shared" si="57"/>
        <v>0</v>
      </c>
    </row>
    <row r="311" spans="1:19">
      <c r="A311" s="159"/>
      <c r="B311" s="59"/>
      <c r="C311" s="24">
        <f t="shared" si="48"/>
        <v>1</v>
      </c>
      <c r="D311" s="719"/>
      <c r="E311" s="24">
        <f t="shared" si="49"/>
        <v>1</v>
      </c>
      <c r="F311" s="719"/>
      <c r="G311" s="24">
        <f t="shared" si="50"/>
        <v>1</v>
      </c>
      <c r="H311" s="719"/>
      <c r="I311" s="24">
        <f t="shared" si="51"/>
        <v>1</v>
      </c>
      <c r="J311" s="719"/>
      <c r="K311" s="24">
        <f t="shared" si="52"/>
        <v>1</v>
      </c>
      <c r="L311" s="719"/>
      <c r="M311" s="24">
        <f t="shared" si="53"/>
        <v>1</v>
      </c>
      <c r="N311" s="719"/>
      <c r="O311" s="24">
        <f t="shared" si="54"/>
        <v>1</v>
      </c>
      <c r="P311" s="719"/>
      <c r="Q311" s="24">
        <f t="shared" si="55"/>
        <v>1</v>
      </c>
      <c r="R311" s="715">
        <f t="shared" si="56"/>
        <v>0</v>
      </c>
      <c r="S311" s="361">
        <f t="shared" si="57"/>
        <v>0</v>
      </c>
    </row>
    <row r="312" spans="1:19">
      <c r="A312" s="159"/>
      <c r="B312" s="59"/>
      <c r="C312" s="24">
        <f t="shared" si="48"/>
        <v>1</v>
      </c>
      <c r="D312" s="719"/>
      <c r="E312" s="24">
        <f t="shared" si="49"/>
        <v>1</v>
      </c>
      <c r="F312" s="719"/>
      <c r="G312" s="24">
        <f t="shared" si="50"/>
        <v>1</v>
      </c>
      <c r="H312" s="719"/>
      <c r="I312" s="24">
        <f t="shared" si="51"/>
        <v>1</v>
      </c>
      <c r="J312" s="719"/>
      <c r="K312" s="24">
        <f t="shared" si="52"/>
        <v>1</v>
      </c>
      <c r="L312" s="719"/>
      <c r="M312" s="24">
        <f t="shared" si="53"/>
        <v>1</v>
      </c>
      <c r="N312" s="719"/>
      <c r="O312" s="24">
        <f t="shared" si="54"/>
        <v>1</v>
      </c>
      <c r="P312" s="719"/>
      <c r="Q312" s="24">
        <f t="shared" si="55"/>
        <v>1</v>
      </c>
      <c r="R312" s="715">
        <f t="shared" si="56"/>
        <v>0</v>
      </c>
      <c r="S312" s="361">
        <f t="shared" si="57"/>
        <v>0</v>
      </c>
    </row>
    <row r="313" spans="1:19">
      <c r="A313" s="159"/>
      <c r="B313" s="59"/>
      <c r="C313" s="24">
        <f t="shared" si="48"/>
        <v>1</v>
      </c>
      <c r="D313" s="719"/>
      <c r="E313" s="24">
        <f t="shared" si="49"/>
        <v>1</v>
      </c>
      <c r="F313" s="719"/>
      <c r="G313" s="24">
        <f t="shared" si="50"/>
        <v>1</v>
      </c>
      <c r="H313" s="719"/>
      <c r="I313" s="24">
        <f t="shared" si="51"/>
        <v>1</v>
      </c>
      <c r="J313" s="719"/>
      <c r="K313" s="24">
        <f t="shared" si="52"/>
        <v>1</v>
      </c>
      <c r="L313" s="719"/>
      <c r="M313" s="24">
        <f t="shared" si="53"/>
        <v>1</v>
      </c>
      <c r="N313" s="719"/>
      <c r="O313" s="24">
        <f t="shared" si="54"/>
        <v>1</v>
      </c>
      <c r="P313" s="719"/>
      <c r="Q313" s="24">
        <f t="shared" si="55"/>
        <v>1</v>
      </c>
      <c r="R313" s="715">
        <f t="shared" si="56"/>
        <v>0</v>
      </c>
      <c r="S313" s="361">
        <f t="shared" si="57"/>
        <v>0</v>
      </c>
    </row>
    <row r="314" spans="1:19">
      <c r="A314" s="159"/>
      <c r="B314" s="59"/>
      <c r="C314" s="24">
        <f t="shared" si="48"/>
        <v>1</v>
      </c>
      <c r="D314" s="719"/>
      <c r="E314" s="24">
        <f t="shared" si="49"/>
        <v>1</v>
      </c>
      <c r="F314" s="719"/>
      <c r="G314" s="24">
        <f t="shared" si="50"/>
        <v>1</v>
      </c>
      <c r="H314" s="719"/>
      <c r="I314" s="24">
        <f t="shared" si="51"/>
        <v>1</v>
      </c>
      <c r="J314" s="719"/>
      <c r="K314" s="24">
        <f t="shared" si="52"/>
        <v>1</v>
      </c>
      <c r="L314" s="719"/>
      <c r="M314" s="24">
        <f t="shared" si="53"/>
        <v>1</v>
      </c>
      <c r="N314" s="719"/>
      <c r="O314" s="24">
        <f t="shared" si="54"/>
        <v>1</v>
      </c>
      <c r="P314" s="719"/>
      <c r="Q314" s="24">
        <f t="shared" si="55"/>
        <v>1</v>
      </c>
      <c r="R314" s="715">
        <f t="shared" si="56"/>
        <v>0</v>
      </c>
      <c r="S314" s="361">
        <f t="shared" si="57"/>
        <v>0</v>
      </c>
    </row>
    <row r="315" spans="1:19">
      <c r="A315" s="159"/>
      <c r="B315" s="59"/>
      <c r="C315" s="24">
        <f t="shared" si="48"/>
        <v>1</v>
      </c>
      <c r="D315" s="719"/>
      <c r="E315" s="24">
        <f t="shared" si="49"/>
        <v>1</v>
      </c>
      <c r="F315" s="719"/>
      <c r="G315" s="24">
        <f t="shared" si="50"/>
        <v>1</v>
      </c>
      <c r="H315" s="719"/>
      <c r="I315" s="24">
        <f t="shared" si="51"/>
        <v>1</v>
      </c>
      <c r="J315" s="719"/>
      <c r="K315" s="24">
        <f t="shared" si="52"/>
        <v>1</v>
      </c>
      <c r="L315" s="719"/>
      <c r="M315" s="24">
        <f t="shared" si="53"/>
        <v>1</v>
      </c>
      <c r="N315" s="719"/>
      <c r="O315" s="24">
        <f t="shared" si="54"/>
        <v>1</v>
      </c>
      <c r="P315" s="719"/>
      <c r="Q315" s="24">
        <f t="shared" si="55"/>
        <v>1</v>
      </c>
      <c r="R315" s="715">
        <f t="shared" si="56"/>
        <v>0</v>
      </c>
      <c r="S315" s="361">
        <f t="shared" si="57"/>
        <v>0</v>
      </c>
    </row>
    <row r="316" spans="1:19">
      <c r="A316" s="159"/>
      <c r="B316" s="59"/>
      <c r="C316" s="24">
        <f t="shared" si="48"/>
        <v>1</v>
      </c>
      <c r="D316" s="719"/>
      <c r="E316" s="24">
        <f t="shared" si="49"/>
        <v>1</v>
      </c>
      <c r="F316" s="719"/>
      <c r="G316" s="24">
        <f t="shared" si="50"/>
        <v>1</v>
      </c>
      <c r="H316" s="719"/>
      <c r="I316" s="24">
        <f t="shared" si="51"/>
        <v>1</v>
      </c>
      <c r="J316" s="719"/>
      <c r="K316" s="24">
        <f t="shared" si="52"/>
        <v>1</v>
      </c>
      <c r="L316" s="719"/>
      <c r="M316" s="24">
        <f t="shared" si="53"/>
        <v>1</v>
      </c>
      <c r="N316" s="719"/>
      <c r="O316" s="24">
        <f t="shared" si="54"/>
        <v>1</v>
      </c>
      <c r="P316" s="719"/>
      <c r="Q316" s="24">
        <f t="shared" si="55"/>
        <v>1</v>
      </c>
      <c r="R316" s="715">
        <f t="shared" si="56"/>
        <v>0</v>
      </c>
      <c r="S316" s="361">
        <f t="shared" si="57"/>
        <v>0</v>
      </c>
    </row>
    <row r="317" spans="1:19">
      <c r="A317" s="159"/>
      <c r="B317" s="59"/>
      <c r="C317" s="24">
        <f t="shared" si="48"/>
        <v>1</v>
      </c>
      <c r="D317" s="719"/>
      <c r="E317" s="24">
        <f t="shared" si="49"/>
        <v>1</v>
      </c>
      <c r="F317" s="719"/>
      <c r="G317" s="24">
        <f t="shared" si="50"/>
        <v>1</v>
      </c>
      <c r="H317" s="719"/>
      <c r="I317" s="24">
        <f t="shared" si="51"/>
        <v>1</v>
      </c>
      <c r="J317" s="719"/>
      <c r="K317" s="24">
        <f t="shared" si="52"/>
        <v>1</v>
      </c>
      <c r="L317" s="719"/>
      <c r="M317" s="24">
        <f t="shared" si="53"/>
        <v>1</v>
      </c>
      <c r="N317" s="719"/>
      <c r="O317" s="24">
        <f t="shared" si="54"/>
        <v>1</v>
      </c>
      <c r="P317" s="719"/>
      <c r="Q317" s="24">
        <f t="shared" si="55"/>
        <v>1</v>
      </c>
      <c r="R317" s="715">
        <f t="shared" si="56"/>
        <v>0</v>
      </c>
      <c r="S317" s="361">
        <f t="shared" si="57"/>
        <v>0</v>
      </c>
    </row>
    <row r="318" spans="1:19">
      <c r="A318" s="159"/>
      <c r="B318" s="59"/>
      <c r="C318" s="24">
        <f t="shared" si="48"/>
        <v>1</v>
      </c>
      <c r="D318" s="719"/>
      <c r="E318" s="24">
        <f t="shared" si="49"/>
        <v>1</v>
      </c>
      <c r="F318" s="719"/>
      <c r="G318" s="24">
        <f t="shared" si="50"/>
        <v>1</v>
      </c>
      <c r="H318" s="719"/>
      <c r="I318" s="24">
        <f t="shared" si="51"/>
        <v>1</v>
      </c>
      <c r="J318" s="719"/>
      <c r="K318" s="24">
        <f t="shared" si="52"/>
        <v>1</v>
      </c>
      <c r="L318" s="719"/>
      <c r="M318" s="24">
        <f t="shared" si="53"/>
        <v>1</v>
      </c>
      <c r="N318" s="719"/>
      <c r="O318" s="24">
        <f t="shared" si="54"/>
        <v>1</v>
      </c>
      <c r="P318" s="719"/>
      <c r="Q318" s="24">
        <f t="shared" si="55"/>
        <v>1</v>
      </c>
      <c r="R318" s="715">
        <f t="shared" si="56"/>
        <v>0</v>
      </c>
      <c r="S318" s="361">
        <f t="shared" si="57"/>
        <v>0</v>
      </c>
    </row>
    <row r="319" spans="1:19">
      <c r="A319" s="159"/>
      <c r="B319" s="59"/>
      <c r="C319" s="24">
        <f t="shared" si="48"/>
        <v>1</v>
      </c>
      <c r="D319" s="719"/>
      <c r="E319" s="24">
        <f t="shared" si="49"/>
        <v>1</v>
      </c>
      <c r="F319" s="719"/>
      <c r="G319" s="24">
        <f t="shared" si="50"/>
        <v>1</v>
      </c>
      <c r="H319" s="719"/>
      <c r="I319" s="24">
        <f t="shared" si="51"/>
        <v>1</v>
      </c>
      <c r="J319" s="719"/>
      <c r="K319" s="24">
        <f t="shared" si="52"/>
        <v>1</v>
      </c>
      <c r="L319" s="719"/>
      <c r="M319" s="24">
        <f t="shared" si="53"/>
        <v>1</v>
      </c>
      <c r="N319" s="719"/>
      <c r="O319" s="24">
        <f t="shared" si="54"/>
        <v>1</v>
      </c>
      <c r="P319" s="719"/>
      <c r="Q319" s="24">
        <f t="shared" si="55"/>
        <v>1</v>
      </c>
      <c r="R319" s="715">
        <f t="shared" si="56"/>
        <v>0</v>
      </c>
      <c r="S319" s="361">
        <f t="shared" si="57"/>
        <v>0</v>
      </c>
    </row>
    <row r="320" spans="1:19">
      <c r="A320" s="159"/>
      <c r="B320" s="59"/>
      <c r="C320" s="24">
        <f t="shared" si="48"/>
        <v>1</v>
      </c>
      <c r="D320" s="719"/>
      <c r="E320" s="24">
        <f t="shared" si="49"/>
        <v>1</v>
      </c>
      <c r="F320" s="719"/>
      <c r="G320" s="24">
        <f t="shared" si="50"/>
        <v>1</v>
      </c>
      <c r="H320" s="719"/>
      <c r="I320" s="24">
        <f t="shared" si="51"/>
        <v>1</v>
      </c>
      <c r="J320" s="719"/>
      <c r="K320" s="24">
        <f t="shared" si="52"/>
        <v>1</v>
      </c>
      <c r="L320" s="719"/>
      <c r="M320" s="24">
        <f t="shared" si="53"/>
        <v>1</v>
      </c>
      <c r="N320" s="719"/>
      <c r="O320" s="24">
        <f t="shared" si="54"/>
        <v>1</v>
      </c>
      <c r="P320" s="719"/>
      <c r="Q320" s="24">
        <f t="shared" si="55"/>
        <v>1</v>
      </c>
      <c r="R320" s="715">
        <f t="shared" si="56"/>
        <v>0</v>
      </c>
      <c r="S320" s="361">
        <f t="shared" si="57"/>
        <v>0</v>
      </c>
    </row>
    <row r="321" spans="1:19">
      <c r="A321" s="159"/>
      <c r="B321" s="59"/>
      <c r="C321" s="24">
        <f t="shared" si="48"/>
        <v>1</v>
      </c>
      <c r="D321" s="719"/>
      <c r="E321" s="24">
        <f t="shared" si="49"/>
        <v>1</v>
      </c>
      <c r="F321" s="719"/>
      <c r="G321" s="24">
        <f t="shared" si="50"/>
        <v>1</v>
      </c>
      <c r="H321" s="719"/>
      <c r="I321" s="24">
        <f t="shared" si="51"/>
        <v>1</v>
      </c>
      <c r="J321" s="719"/>
      <c r="K321" s="24">
        <f t="shared" si="52"/>
        <v>1</v>
      </c>
      <c r="L321" s="719"/>
      <c r="M321" s="24">
        <f t="shared" si="53"/>
        <v>1</v>
      </c>
      <c r="N321" s="719"/>
      <c r="O321" s="24">
        <f t="shared" si="54"/>
        <v>1</v>
      </c>
      <c r="P321" s="719"/>
      <c r="Q321" s="24">
        <f t="shared" si="55"/>
        <v>1</v>
      </c>
      <c r="R321" s="715">
        <f t="shared" si="56"/>
        <v>0</v>
      </c>
      <c r="S321" s="361">
        <f t="shared" ref="S321:S384" si="58">ROUND(R321*B321/10000,0)</f>
        <v>0</v>
      </c>
    </row>
    <row r="322" spans="1:19">
      <c r="A322" s="159"/>
      <c r="B322" s="59"/>
      <c r="C322" s="24">
        <f t="shared" si="48"/>
        <v>1</v>
      </c>
      <c r="D322" s="719"/>
      <c r="E322" s="24">
        <f t="shared" si="49"/>
        <v>1</v>
      </c>
      <c r="F322" s="719"/>
      <c r="G322" s="24">
        <f t="shared" si="50"/>
        <v>1</v>
      </c>
      <c r="H322" s="719"/>
      <c r="I322" s="24">
        <f t="shared" si="51"/>
        <v>1</v>
      </c>
      <c r="J322" s="719"/>
      <c r="K322" s="24">
        <f t="shared" si="52"/>
        <v>1</v>
      </c>
      <c r="L322" s="719"/>
      <c r="M322" s="24">
        <f t="shared" si="53"/>
        <v>1</v>
      </c>
      <c r="N322" s="719"/>
      <c r="O322" s="24">
        <f t="shared" si="54"/>
        <v>1</v>
      </c>
      <c r="P322" s="719"/>
      <c r="Q322" s="24">
        <f t="shared" si="55"/>
        <v>1</v>
      </c>
      <c r="R322" s="715">
        <f t="shared" si="56"/>
        <v>0</v>
      </c>
      <c r="S322" s="361">
        <f t="shared" si="58"/>
        <v>0</v>
      </c>
    </row>
    <row r="323" spans="1:19">
      <c r="A323" s="159"/>
      <c r="B323" s="59"/>
      <c r="C323" s="24">
        <f t="shared" si="48"/>
        <v>1</v>
      </c>
      <c r="D323" s="719"/>
      <c r="E323" s="24">
        <f t="shared" si="49"/>
        <v>1</v>
      </c>
      <c r="F323" s="719"/>
      <c r="G323" s="24">
        <f t="shared" si="50"/>
        <v>1</v>
      </c>
      <c r="H323" s="719"/>
      <c r="I323" s="24">
        <f t="shared" si="51"/>
        <v>1</v>
      </c>
      <c r="J323" s="719"/>
      <c r="K323" s="24">
        <f t="shared" si="52"/>
        <v>1</v>
      </c>
      <c r="L323" s="719"/>
      <c r="M323" s="24">
        <f t="shared" si="53"/>
        <v>1</v>
      </c>
      <c r="N323" s="719"/>
      <c r="O323" s="24">
        <f t="shared" si="54"/>
        <v>1</v>
      </c>
      <c r="P323" s="719"/>
      <c r="Q323" s="24">
        <f t="shared" si="55"/>
        <v>1</v>
      </c>
      <c r="R323" s="715">
        <f t="shared" si="56"/>
        <v>0</v>
      </c>
      <c r="S323" s="361">
        <f t="shared" si="58"/>
        <v>0</v>
      </c>
    </row>
    <row r="324" spans="1:19">
      <c r="A324" s="159"/>
      <c r="B324" s="59"/>
      <c r="C324" s="24">
        <f t="shared" si="48"/>
        <v>1</v>
      </c>
      <c r="D324" s="719"/>
      <c r="E324" s="24">
        <f t="shared" si="49"/>
        <v>1</v>
      </c>
      <c r="F324" s="719"/>
      <c r="G324" s="24">
        <f t="shared" si="50"/>
        <v>1</v>
      </c>
      <c r="H324" s="719"/>
      <c r="I324" s="24">
        <f t="shared" si="51"/>
        <v>1</v>
      </c>
      <c r="J324" s="719"/>
      <c r="K324" s="24">
        <f t="shared" si="52"/>
        <v>1</v>
      </c>
      <c r="L324" s="719"/>
      <c r="M324" s="24">
        <f t="shared" si="53"/>
        <v>1</v>
      </c>
      <c r="N324" s="719"/>
      <c r="O324" s="24">
        <f t="shared" si="54"/>
        <v>1</v>
      </c>
      <c r="P324" s="719"/>
      <c r="Q324" s="24">
        <f t="shared" si="55"/>
        <v>1</v>
      </c>
      <c r="R324" s="715">
        <f t="shared" si="56"/>
        <v>0</v>
      </c>
      <c r="S324" s="361">
        <f t="shared" si="58"/>
        <v>0</v>
      </c>
    </row>
    <row r="325" spans="1:19">
      <c r="A325" s="159"/>
      <c r="B325" s="59"/>
      <c r="C325" s="24">
        <f t="shared" si="48"/>
        <v>1</v>
      </c>
      <c r="D325" s="719"/>
      <c r="E325" s="24">
        <f t="shared" si="49"/>
        <v>1</v>
      </c>
      <c r="F325" s="719"/>
      <c r="G325" s="24">
        <f t="shared" si="50"/>
        <v>1</v>
      </c>
      <c r="H325" s="719"/>
      <c r="I325" s="24">
        <f t="shared" si="51"/>
        <v>1</v>
      </c>
      <c r="J325" s="719"/>
      <c r="K325" s="24">
        <f t="shared" si="52"/>
        <v>1</v>
      </c>
      <c r="L325" s="719"/>
      <c r="M325" s="24">
        <f t="shared" si="53"/>
        <v>1</v>
      </c>
      <c r="N325" s="719"/>
      <c r="O325" s="24">
        <f t="shared" si="54"/>
        <v>1</v>
      </c>
      <c r="P325" s="719"/>
      <c r="Q325" s="24">
        <f t="shared" si="55"/>
        <v>1</v>
      </c>
      <c r="R325" s="715">
        <f t="shared" si="56"/>
        <v>0</v>
      </c>
      <c r="S325" s="361">
        <f t="shared" si="58"/>
        <v>0</v>
      </c>
    </row>
    <row r="326" spans="1:19">
      <c r="A326" s="159"/>
      <c r="B326" s="59"/>
      <c r="C326" s="24">
        <f t="shared" si="48"/>
        <v>1</v>
      </c>
      <c r="D326" s="719"/>
      <c r="E326" s="24">
        <f t="shared" si="49"/>
        <v>1</v>
      </c>
      <c r="F326" s="719"/>
      <c r="G326" s="24">
        <f t="shared" si="50"/>
        <v>1</v>
      </c>
      <c r="H326" s="719"/>
      <c r="I326" s="24">
        <f t="shared" si="51"/>
        <v>1</v>
      </c>
      <c r="J326" s="719"/>
      <c r="K326" s="24">
        <f t="shared" si="52"/>
        <v>1</v>
      </c>
      <c r="L326" s="719"/>
      <c r="M326" s="24">
        <f t="shared" si="53"/>
        <v>1</v>
      </c>
      <c r="N326" s="719"/>
      <c r="O326" s="24">
        <f t="shared" si="54"/>
        <v>1</v>
      </c>
      <c r="P326" s="719"/>
      <c r="Q326" s="24">
        <f t="shared" si="55"/>
        <v>1</v>
      </c>
      <c r="R326" s="715">
        <f t="shared" si="56"/>
        <v>0</v>
      </c>
      <c r="S326" s="361">
        <f t="shared" si="58"/>
        <v>0</v>
      </c>
    </row>
    <row r="327" spans="1:19">
      <c r="A327" s="159"/>
      <c r="B327" s="59"/>
      <c r="C327" s="24">
        <f t="shared" si="48"/>
        <v>1</v>
      </c>
      <c r="D327" s="719"/>
      <c r="E327" s="24">
        <f t="shared" si="49"/>
        <v>1</v>
      </c>
      <c r="F327" s="719"/>
      <c r="G327" s="24">
        <f t="shared" si="50"/>
        <v>1</v>
      </c>
      <c r="H327" s="719"/>
      <c r="I327" s="24">
        <f t="shared" si="51"/>
        <v>1</v>
      </c>
      <c r="J327" s="719"/>
      <c r="K327" s="24">
        <f t="shared" si="52"/>
        <v>1</v>
      </c>
      <c r="L327" s="719"/>
      <c r="M327" s="24">
        <f t="shared" si="53"/>
        <v>1</v>
      </c>
      <c r="N327" s="719"/>
      <c r="O327" s="24">
        <f t="shared" si="54"/>
        <v>1</v>
      </c>
      <c r="P327" s="719"/>
      <c r="Q327" s="24">
        <f t="shared" si="55"/>
        <v>1</v>
      </c>
      <c r="R327" s="715">
        <f t="shared" si="56"/>
        <v>0</v>
      </c>
      <c r="S327" s="361">
        <f t="shared" si="58"/>
        <v>0</v>
      </c>
    </row>
    <row r="328" spans="1:19">
      <c r="A328" s="159"/>
      <c r="B328" s="59"/>
      <c r="C328" s="24">
        <f t="shared" si="48"/>
        <v>1</v>
      </c>
      <c r="D328" s="719"/>
      <c r="E328" s="24">
        <f t="shared" si="49"/>
        <v>1</v>
      </c>
      <c r="F328" s="719"/>
      <c r="G328" s="24">
        <f t="shared" si="50"/>
        <v>1</v>
      </c>
      <c r="H328" s="719"/>
      <c r="I328" s="24">
        <f t="shared" si="51"/>
        <v>1</v>
      </c>
      <c r="J328" s="719"/>
      <c r="K328" s="24">
        <f t="shared" si="52"/>
        <v>1</v>
      </c>
      <c r="L328" s="719"/>
      <c r="M328" s="24">
        <f t="shared" si="53"/>
        <v>1</v>
      </c>
      <c r="N328" s="719"/>
      <c r="O328" s="24">
        <f t="shared" si="54"/>
        <v>1</v>
      </c>
      <c r="P328" s="719"/>
      <c r="Q328" s="24">
        <f t="shared" si="55"/>
        <v>1</v>
      </c>
      <c r="R328" s="715">
        <f t="shared" si="56"/>
        <v>0</v>
      </c>
      <c r="S328" s="361">
        <f t="shared" si="58"/>
        <v>0</v>
      </c>
    </row>
    <row r="329" spans="1:19">
      <c r="A329" s="159"/>
      <c r="B329" s="59"/>
      <c r="C329" s="24">
        <f t="shared" si="48"/>
        <v>1</v>
      </c>
      <c r="D329" s="719"/>
      <c r="E329" s="24">
        <f t="shared" si="49"/>
        <v>1</v>
      </c>
      <c r="F329" s="719"/>
      <c r="G329" s="24">
        <f t="shared" si="50"/>
        <v>1</v>
      </c>
      <c r="H329" s="719"/>
      <c r="I329" s="24">
        <f t="shared" si="51"/>
        <v>1</v>
      </c>
      <c r="J329" s="719"/>
      <c r="K329" s="24">
        <f t="shared" si="52"/>
        <v>1</v>
      </c>
      <c r="L329" s="719"/>
      <c r="M329" s="24">
        <f t="shared" si="53"/>
        <v>1</v>
      </c>
      <c r="N329" s="719"/>
      <c r="O329" s="24">
        <f t="shared" si="54"/>
        <v>1</v>
      </c>
      <c r="P329" s="719"/>
      <c r="Q329" s="24">
        <f t="shared" si="55"/>
        <v>1</v>
      </c>
      <c r="R329" s="715">
        <f t="shared" si="56"/>
        <v>0</v>
      </c>
      <c r="S329" s="361">
        <f t="shared" si="58"/>
        <v>0</v>
      </c>
    </row>
    <row r="330" spans="1:19">
      <c r="A330" s="159"/>
      <c r="B330" s="59"/>
      <c r="C330" s="24">
        <f t="shared" si="48"/>
        <v>1</v>
      </c>
      <c r="D330" s="719"/>
      <c r="E330" s="24">
        <f t="shared" si="49"/>
        <v>1</v>
      </c>
      <c r="F330" s="719"/>
      <c r="G330" s="24">
        <f t="shared" si="50"/>
        <v>1</v>
      </c>
      <c r="H330" s="719"/>
      <c r="I330" s="24">
        <f t="shared" si="51"/>
        <v>1</v>
      </c>
      <c r="J330" s="719"/>
      <c r="K330" s="24">
        <f t="shared" si="52"/>
        <v>1</v>
      </c>
      <c r="L330" s="719"/>
      <c r="M330" s="24">
        <f t="shared" si="53"/>
        <v>1</v>
      </c>
      <c r="N330" s="719"/>
      <c r="O330" s="24">
        <f t="shared" si="54"/>
        <v>1</v>
      </c>
      <c r="P330" s="719"/>
      <c r="Q330" s="24">
        <f t="shared" si="55"/>
        <v>1</v>
      </c>
      <c r="R330" s="715">
        <f t="shared" si="56"/>
        <v>0</v>
      </c>
      <c r="S330" s="361">
        <f t="shared" si="58"/>
        <v>0</v>
      </c>
    </row>
    <row r="331" spans="1:19">
      <c r="A331" s="159"/>
      <c r="B331" s="59"/>
      <c r="C331" s="24">
        <f t="shared" si="48"/>
        <v>1</v>
      </c>
      <c r="D331" s="719"/>
      <c r="E331" s="24">
        <f t="shared" si="49"/>
        <v>1</v>
      </c>
      <c r="F331" s="719"/>
      <c r="G331" s="24">
        <f t="shared" si="50"/>
        <v>1</v>
      </c>
      <c r="H331" s="719"/>
      <c r="I331" s="24">
        <f t="shared" si="51"/>
        <v>1</v>
      </c>
      <c r="J331" s="719"/>
      <c r="K331" s="24">
        <f t="shared" si="52"/>
        <v>1</v>
      </c>
      <c r="L331" s="719"/>
      <c r="M331" s="24">
        <f t="shared" si="53"/>
        <v>1</v>
      </c>
      <c r="N331" s="719"/>
      <c r="O331" s="24">
        <f t="shared" si="54"/>
        <v>1</v>
      </c>
      <c r="P331" s="719"/>
      <c r="Q331" s="24">
        <f t="shared" si="55"/>
        <v>1</v>
      </c>
      <c r="R331" s="715">
        <f t="shared" si="56"/>
        <v>0</v>
      </c>
      <c r="S331" s="361">
        <f t="shared" si="58"/>
        <v>0</v>
      </c>
    </row>
    <row r="332" spans="1:19">
      <c r="A332" s="159"/>
      <c r="B332" s="59"/>
      <c r="C332" s="24">
        <f t="shared" si="48"/>
        <v>1</v>
      </c>
      <c r="D332" s="719"/>
      <c r="E332" s="24">
        <f t="shared" si="49"/>
        <v>1</v>
      </c>
      <c r="F332" s="719"/>
      <c r="G332" s="24">
        <f t="shared" si="50"/>
        <v>1</v>
      </c>
      <c r="H332" s="719"/>
      <c r="I332" s="24">
        <f t="shared" si="51"/>
        <v>1</v>
      </c>
      <c r="J332" s="719"/>
      <c r="K332" s="24">
        <f t="shared" si="52"/>
        <v>1</v>
      </c>
      <c r="L332" s="719"/>
      <c r="M332" s="24">
        <f t="shared" si="53"/>
        <v>1</v>
      </c>
      <c r="N332" s="719"/>
      <c r="O332" s="24">
        <f t="shared" si="54"/>
        <v>1</v>
      </c>
      <c r="P332" s="719"/>
      <c r="Q332" s="24">
        <f t="shared" si="55"/>
        <v>1</v>
      </c>
      <c r="R332" s="715">
        <f t="shared" si="56"/>
        <v>0</v>
      </c>
      <c r="S332" s="361">
        <f t="shared" si="58"/>
        <v>0</v>
      </c>
    </row>
    <row r="333" spans="1:19">
      <c r="A333" s="159"/>
      <c r="B333" s="59"/>
      <c r="C333" s="24">
        <f t="shared" si="48"/>
        <v>1</v>
      </c>
      <c r="D333" s="719"/>
      <c r="E333" s="24">
        <f t="shared" si="49"/>
        <v>1</v>
      </c>
      <c r="F333" s="719"/>
      <c r="G333" s="24">
        <f t="shared" si="50"/>
        <v>1</v>
      </c>
      <c r="H333" s="719"/>
      <c r="I333" s="24">
        <f t="shared" si="51"/>
        <v>1</v>
      </c>
      <c r="J333" s="719"/>
      <c r="K333" s="24">
        <f t="shared" si="52"/>
        <v>1</v>
      </c>
      <c r="L333" s="719"/>
      <c r="M333" s="24">
        <f t="shared" si="53"/>
        <v>1</v>
      </c>
      <c r="N333" s="719"/>
      <c r="O333" s="24">
        <f t="shared" si="54"/>
        <v>1</v>
      </c>
      <c r="P333" s="719"/>
      <c r="Q333" s="24">
        <f t="shared" si="55"/>
        <v>1</v>
      </c>
      <c r="R333" s="715">
        <f t="shared" si="56"/>
        <v>0</v>
      </c>
      <c r="S333" s="361">
        <f t="shared" si="58"/>
        <v>0</v>
      </c>
    </row>
    <row r="334" spans="1:19">
      <c r="A334" s="159"/>
      <c r="B334" s="59"/>
      <c r="C334" s="24">
        <f t="shared" si="48"/>
        <v>1</v>
      </c>
      <c r="D334" s="719"/>
      <c r="E334" s="24">
        <f t="shared" si="49"/>
        <v>1</v>
      </c>
      <c r="F334" s="719"/>
      <c r="G334" s="24">
        <f t="shared" si="50"/>
        <v>1</v>
      </c>
      <c r="H334" s="719"/>
      <c r="I334" s="24">
        <f t="shared" si="51"/>
        <v>1</v>
      </c>
      <c r="J334" s="719"/>
      <c r="K334" s="24">
        <f t="shared" si="52"/>
        <v>1</v>
      </c>
      <c r="L334" s="719"/>
      <c r="M334" s="24">
        <f t="shared" si="53"/>
        <v>1</v>
      </c>
      <c r="N334" s="719"/>
      <c r="O334" s="24">
        <f t="shared" si="54"/>
        <v>1</v>
      </c>
      <c r="P334" s="719"/>
      <c r="Q334" s="24">
        <f t="shared" si="55"/>
        <v>1</v>
      </c>
      <c r="R334" s="715">
        <f t="shared" si="56"/>
        <v>0</v>
      </c>
      <c r="S334" s="361">
        <f t="shared" si="58"/>
        <v>0</v>
      </c>
    </row>
    <row r="335" spans="1:19">
      <c r="A335" s="159"/>
      <c r="B335" s="59"/>
      <c r="C335" s="24">
        <f t="shared" si="48"/>
        <v>1</v>
      </c>
      <c r="D335" s="719"/>
      <c r="E335" s="24">
        <f t="shared" si="49"/>
        <v>1</v>
      </c>
      <c r="F335" s="719"/>
      <c r="G335" s="24">
        <f t="shared" si="50"/>
        <v>1</v>
      </c>
      <c r="H335" s="719"/>
      <c r="I335" s="24">
        <f t="shared" si="51"/>
        <v>1</v>
      </c>
      <c r="J335" s="719"/>
      <c r="K335" s="24">
        <f t="shared" si="52"/>
        <v>1</v>
      </c>
      <c r="L335" s="719"/>
      <c r="M335" s="24">
        <f t="shared" si="53"/>
        <v>1</v>
      </c>
      <c r="N335" s="719"/>
      <c r="O335" s="24">
        <f t="shared" si="54"/>
        <v>1</v>
      </c>
      <c r="P335" s="719"/>
      <c r="Q335" s="24">
        <f t="shared" si="55"/>
        <v>1</v>
      </c>
      <c r="R335" s="715">
        <f t="shared" si="56"/>
        <v>0</v>
      </c>
      <c r="S335" s="361">
        <f t="shared" si="58"/>
        <v>0</v>
      </c>
    </row>
    <row r="336" spans="1:19">
      <c r="A336" s="159"/>
      <c r="B336" s="59"/>
      <c r="C336" s="24">
        <f t="shared" si="48"/>
        <v>1</v>
      </c>
      <c r="D336" s="719"/>
      <c r="E336" s="24">
        <f t="shared" si="49"/>
        <v>1</v>
      </c>
      <c r="F336" s="719"/>
      <c r="G336" s="24">
        <f t="shared" si="50"/>
        <v>1</v>
      </c>
      <c r="H336" s="719"/>
      <c r="I336" s="24">
        <f t="shared" si="51"/>
        <v>1</v>
      </c>
      <c r="J336" s="719"/>
      <c r="K336" s="24">
        <f t="shared" si="52"/>
        <v>1</v>
      </c>
      <c r="L336" s="719"/>
      <c r="M336" s="24">
        <f t="shared" si="53"/>
        <v>1</v>
      </c>
      <c r="N336" s="719"/>
      <c r="O336" s="24">
        <f t="shared" si="54"/>
        <v>1</v>
      </c>
      <c r="P336" s="719"/>
      <c r="Q336" s="24">
        <f t="shared" si="55"/>
        <v>1</v>
      </c>
      <c r="R336" s="715">
        <f t="shared" si="56"/>
        <v>0</v>
      </c>
      <c r="S336" s="361">
        <f t="shared" si="58"/>
        <v>0</v>
      </c>
    </row>
    <row r="337" spans="1:19">
      <c r="A337" s="159"/>
      <c r="B337" s="59"/>
      <c r="C337" s="24">
        <f t="shared" si="48"/>
        <v>1</v>
      </c>
      <c r="D337" s="719"/>
      <c r="E337" s="24">
        <f t="shared" si="49"/>
        <v>1</v>
      </c>
      <c r="F337" s="719"/>
      <c r="G337" s="24">
        <f t="shared" si="50"/>
        <v>1</v>
      </c>
      <c r="H337" s="719"/>
      <c r="I337" s="24">
        <f t="shared" si="51"/>
        <v>1</v>
      </c>
      <c r="J337" s="719"/>
      <c r="K337" s="24">
        <f t="shared" si="52"/>
        <v>1</v>
      </c>
      <c r="L337" s="719"/>
      <c r="M337" s="24">
        <f t="shared" si="53"/>
        <v>1</v>
      </c>
      <c r="N337" s="719"/>
      <c r="O337" s="24">
        <f t="shared" si="54"/>
        <v>1</v>
      </c>
      <c r="P337" s="719"/>
      <c r="Q337" s="24">
        <f t="shared" si="55"/>
        <v>1</v>
      </c>
      <c r="R337" s="715">
        <f t="shared" si="56"/>
        <v>0</v>
      </c>
      <c r="S337" s="361">
        <f t="shared" si="58"/>
        <v>0</v>
      </c>
    </row>
    <row r="338" spans="1:19">
      <c r="A338" s="159"/>
      <c r="B338" s="59"/>
      <c r="C338" s="24">
        <f t="shared" si="48"/>
        <v>1</v>
      </c>
      <c r="D338" s="719"/>
      <c r="E338" s="24">
        <f t="shared" si="49"/>
        <v>1</v>
      </c>
      <c r="F338" s="719"/>
      <c r="G338" s="24">
        <f t="shared" si="50"/>
        <v>1</v>
      </c>
      <c r="H338" s="719"/>
      <c r="I338" s="24">
        <f t="shared" si="51"/>
        <v>1</v>
      </c>
      <c r="J338" s="719"/>
      <c r="K338" s="24">
        <f t="shared" si="52"/>
        <v>1</v>
      </c>
      <c r="L338" s="719"/>
      <c r="M338" s="24">
        <f t="shared" si="53"/>
        <v>1</v>
      </c>
      <c r="N338" s="719"/>
      <c r="O338" s="24">
        <f t="shared" si="54"/>
        <v>1</v>
      </c>
      <c r="P338" s="719"/>
      <c r="Q338" s="24">
        <f t="shared" si="55"/>
        <v>1</v>
      </c>
      <c r="R338" s="715">
        <f t="shared" si="56"/>
        <v>0</v>
      </c>
      <c r="S338" s="361">
        <f t="shared" si="58"/>
        <v>0</v>
      </c>
    </row>
    <row r="339" spans="1:19">
      <c r="A339" s="159"/>
      <c r="B339" s="59"/>
      <c r="C339" s="24">
        <f t="shared" si="48"/>
        <v>1</v>
      </c>
      <c r="D339" s="719"/>
      <c r="E339" s="24">
        <f t="shared" si="49"/>
        <v>1</v>
      </c>
      <c r="F339" s="719"/>
      <c r="G339" s="24">
        <f t="shared" si="50"/>
        <v>1</v>
      </c>
      <c r="H339" s="719"/>
      <c r="I339" s="24">
        <f t="shared" si="51"/>
        <v>1</v>
      </c>
      <c r="J339" s="719"/>
      <c r="K339" s="24">
        <f t="shared" si="52"/>
        <v>1</v>
      </c>
      <c r="L339" s="719"/>
      <c r="M339" s="24">
        <f t="shared" si="53"/>
        <v>1</v>
      </c>
      <c r="N339" s="719"/>
      <c r="O339" s="24">
        <f t="shared" si="54"/>
        <v>1</v>
      </c>
      <c r="P339" s="719"/>
      <c r="Q339" s="24">
        <f t="shared" si="55"/>
        <v>1</v>
      </c>
      <c r="R339" s="715">
        <f t="shared" si="56"/>
        <v>0</v>
      </c>
      <c r="S339" s="361">
        <f t="shared" si="58"/>
        <v>0</v>
      </c>
    </row>
    <row r="340" spans="1:19">
      <c r="A340" s="159"/>
      <c r="B340" s="59"/>
      <c r="C340" s="24">
        <f t="shared" si="48"/>
        <v>1</v>
      </c>
      <c r="D340" s="719"/>
      <c r="E340" s="24">
        <f t="shared" si="49"/>
        <v>1</v>
      </c>
      <c r="F340" s="719"/>
      <c r="G340" s="24">
        <f t="shared" si="50"/>
        <v>1</v>
      </c>
      <c r="H340" s="719"/>
      <c r="I340" s="24">
        <f t="shared" si="51"/>
        <v>1</v>
      </c>
      <c r="J340" s="719"/>
      <c r="K340" s="24">
        <f t="shared" si="52"/>
        <v>1</v>
      </c>
      <c r="L340" s="719"/>
      <c r="M340" s="24">
        <f t="shared" si="53"/>
        <v>1</v>
      </c>
      <c r="N340" s="719"/>
      <c r="O340" s="24">
        <f t="shared" si="54"/>
        <v>1</v>
      </c>
      <c r="P340" s="719"/>
      <c r="Q340" s="24">
        <f t="shared" si="55"/>
        <v>1</v>
      </c>
      <c r="R340" s="715">
        <f t="shared" si="56"/>
        <v>0</v>
      </c>
      <c r="S340" s="361">
        <f t="shared" si="58"/>
        <v>0</v>
      </c>
    </row>
    <row r="341" spans="1:19">
      <c r="A341" s="159"/>
      <c r="B341" s="59"/>
      <c r="C341" s="24">
        <f t="shared" si="48"/>
        <v>1</v>
      </c>
      <c r="D341" s="719"/>
      <c r="E341" s="24">
        <f t="shared" si="49"/>
        <v>1</v>
      </c>
      <c r="F341" s="719"/>
      <c r="G341" s="24">
        <f t="shared" si="50"/>
        <v>1</v>
      </c>
      <c r="H341" s="719"/>
      <c r="I341" s="24">
        <f t="shared" si="51"/>
        <v>1</v>
      </c>
      <c r="J341" s="719"/>
      <c r="K341" s="24">
        <f t="shared" si="52"/>
        <v>1</v>
      </c>
      <c r="L341" s="719"/>
      <c r="M341" s="24">
        <f t="shared" si="53"/>
        <v>1</v>
      </c>
      <c r="N341" s="719"/>
      <c r="O341" s="24">
        <f t="shared" si="54"/>
        <v>1</v>
      </c>
      <c r="P341" s="719"/>
      <c r="Q341" s="24">
        <f t="shared" si="55"/>
        <v>1</v>
      </c>
      <c r="R341" s="715">
        <f t="shared" si="56"/>
        <v>0</v>
      </c>
      <c r="S341" s="361">
        <f t="shared" si="58"/>
        <v>0</v>
      </c>
    </row>
    <row r="342" spans="1:19">
      <c r="A342" s="159"/>
      <c r="B342" s="59"/>
      <c r="C342" s="24">
        <f t="shared" si="48"/>
        <v>1</v>
      </c>
      <c r="D342" s="719"/>
      <c r="E342" s="24">
        <f t="shared" si="49"/>
        <v>1</v>
      </c>
      <c r="F342" s="719"/>
      <c r="G342" s="24">
        <f t="shared" si="50"/>
        <v>1</v>
      </c>
      <c r="H342" s="719"/>
      <c r="I342" s="24">
        <f t="shared" si="51"/>
        <v>1</v>
      </c>
      <c r="J342" s="719"/>
      <c r="K342" s="24">
        <f t="shared" si="52"/>
        <v>1</v>
      </c>
      <c r="L342" s="719"/>
      <c r="M342" s="24">
        <f t="shared" si="53"/>
        <v>1</v>
      </c>
      <c r="N342" s="719"/>
      <c r="O342" s="24">
        <f t="shared" si="54"/>
        <v>1</v>
      </c>
      <c r="P342" s="719"/>
      <c r="Q342" s="24">
        <f t="shared" si="55"/>
        <v>1</v>
      </c>
      <c r="R342" s="715">
        <f t="shared" si="56"/>
        <v>0</v>
      </c>
      <c r="S342" s="361">
        <f t="shared" si="58"/>
        <v>0</v>
      </c>
    </row>
    <row r="343" spans="1:19">
      <c r="A343" s="159"/>
      <c r="B343" s="59"/>
      <c r="C343" s="24">
        <f t="shared" si="48"/>
        <v>1</v>
      </c>
      <c r="D343" s="719"/>
      <c r="E343" s="24">
        <f t="shared" si="49"/>
        <v>1</v>
      </c>
      <c r="F343" s="719"/>
      <c r="G343" s="24">
        <f t="shared" si="50"/>
        <v>1</v>
      </c>
      <c r="H343" s="719"/>
      <c r="I343" s="24">
        <f t="shared" si="51"/>
        <v>1</v>
      </c>
      <c r="J343" s="719"/>
      <c r="K343" s="24">
        <f t="shared" si="52"/>
        <v>1</v>
      </c>
      <c r="L343" s="719"/>
      <c r="M343" s="24">
        <f t="shared" si="53"/>
        <v>1</v>
      </c>
      <c r="N343" s="719"/>
      <c r="O343" s="24">
        <f t="shared" si="54"/>
        <v>1</v>
      </c>
      <c r="P343" s="719"/>
      <c r="Q343" s="24">
        <f t="shared" si="55"/>
        <v>1</v>
      </c>
      <c r="R343" s="715">
        <f t="shared" si="56"/>
        <v>0</v>
      </c>
      <c r="S343" s="361">
        <f t="shared" si="58"/>
        <v>0</v>
      </c>
    </row>
    <row r="344" spans="1:19">
      <c r="A344" s="159"/>
      <c r="B344" s="59"/>
      <c r="C344" s="24">
        <f t="shared" si="48"/>
        <v>1</v>
      </c>
      <c r="D344" s="719"/>
      <c r="E344" s="24">
        <f t="shared" si="49"/>
        <v>1</v>
      </c>
      <c r="F344" s="719"/>
      <c r="G344" s="24">
        <f t="shared" si="50"/>
        <v>1</v>
      </c>
      <c r="H344" s="719"/>
      <c r="I344" s="24">
        <f t="shared" si="51"/>
        <v>1</v>
      </c>
      <c r="J344" s="719"/>
      <c r="K344" s="24">
        <f t="shared" si="52"/>
        <v>1</v>
      </c>
      <c r="L344" s="719"/>
      <c r="M344" s="24">
        <f t="shared" si="53"/>
        <v>1</v>
      </c>
      <c r="N344" s="719"/>
      <c r="O344" s="24">
        <f t="shared" si="54"/>
        <v>1</v>
      </c>
      <c r="P344" s="719"/>
      <c r="Q344" s="24">
        <f t="shared" si="55"/>
        <v>1</v>
      </c>
      <c r="R344" s="715">
        <f t="shared" si="56"/>
        <v>0</v>
      </c>
      <c r="S344" s="361">
        <f t="shared" si="58"/>
        <v>0</v>
      </c>
    </row>
    <row r="345" spans="1:19">
      <c r="A345" s="159"/>
      <c r="B345" s="59"/>
      <c r="C345" s="24">
        <f t="shared" si="48"/>
        <v>1</v>
      </c>
      <c r="D345" s="719"/>
      <c r="E345" s="24">
        <f t="shared" si="49"/>
        <v>1</v>
      </c>
      <c r="F345" s="719"/>
      <c r="G345" s="24">
        <f t="shared" si="50"/>
        <v>1</v>
      </c>
      <c r="H345" s="719"/>
      <c r="I345" s="24">
        <f t="shared" si="51"/>
        <v>1</v>
      </c>
      <c r="J345" s="719"/>
      <c r="K345" s="24">
        <f t="shared" si="52"/>
        <v>1</v>
      </c>
      <c r="L345" s="719"/>
      <c r="M345" s="24">
        <f t="shared" si="53"/>
        <v>1</v>
      </c>
      <c r="N345" s="719"/>
      <c r="O345" s="24">
        <f t="shared" si="54"/>
        <v>1</v>
      </c>
      <c r="P345" s="719"/>
      <c r="Q345" s="24">
        <f t="shared" si="55"/>
        <v>1</v>
      </c>
      <c r="R345" s="715">
        <f t="shared" si="56"/>
        <v>0</v>
      </c>
      <c r="S345" s="361">
        <f t="shared" si="58"/>
        <v>0</v>
      </c>
    </row>
    <row r="346" spans="1:19">
      <c r="A346" s="159"/>
      <c r="B346" s="59"/>
      <c r="C346" s="24">
        <f t="shared" ref="C346:C409" si="59">IF(B346="",1,(LOOKUP(B346,$3:$3,$4:$4)-LOOKUP($B$24,$3:$3,$4:$4)+100)/100)</f>
        <v>1</v>
      </c>
      <c r="D346" s="719"/>
      <c r="E346" s="24">
        <f t="shared" ref="E346:E409" si="60">(SUMIF($5:$5,D346,$6:$6)-SUMIF($5:$5,$D$24,$6:$6)+100)/100</f>
        <v>1</v>
      </c>
      <c r="F346" s="719"/>
      <c r="G346" s="24">
        <f t="shared" ref="G346:G409" si="61">(SUMIF($7:$7,F346,$8:$8)-SUMIF($7:$7,$F$24,$8:$8)+100)/100</f>
        <v>1</v>
      </c>
      <c r="H346" s="719"/>
      <c r="I346" s="24">
        <f t="shared" ref="I346:I409" si="62">(SUMIF($9:$9,H346,$10:$10)-SUMIF($9:$9,$H$24,$10:$10)+100)/100</f>
        <v>1</v>
      </c>
      <c r="J346" s="719"/>
      <c r="K346" s="24">
        <f t="shared" ref="K346:K409" si="63">(SUMIF($11:$11,J346,$12:$12)-SUMIF($11:$11,$J$24,$12:$12)+100)/100</f>
        <v>1</v>
      </c>
      <c r="L346" s="719"/>
      <c r="M346" s="24">
        <f t="shared" ref="M346:M409" si="64">(SUMIF($13:$13,L346,$14:$14)-SUMIF($13:$13,$L$24,$14:$14)+100)/100</f>
        <v>1</v>
      </c>
      <c r="N346" s="719"/>
      <c r="O346" s="24">
        <f t="shared" ref="O346:O409" si="65">(SUMIF($15:$15,N346,$16:$16)-SUMIF($15:$15,$N$24,$16:$16)+100)/100</f>
        <v>1</v>
      </c>
      <c r="P346" s="719"/>
      <c r="Q346" s="24">
        <f t="shared" ref="Q346:Q409" si="66">(SUMIF($17:$17,P346,$18:$18)-SUMIF($17:$17,$P$24,$18:$18)+100)/100</f>
        <v>1</v>
      </c>
      <c r="R346" s="715">
        <f t="shared" ref="R346:R409" si="67">IF(B346="",0,ROUND($R$24*C346*E346*G346*I346*K346*M346*O346*Q346,0))</f>
        <v>0</v>
      </c>
      <c r="S346" s="361">
        <f t="shared" si="58"/>
        <v>0</v>
      </c>
    </row>
    <row r="347" spans="1:19">
      <c r="A347" s="159"/>
      <c r="B347" s="59"/>
      <c r="C347" s="24">
        <f t="shared" si="59"/>
        <v>1</v>
      </c>
      <c r="D347" s="719"/>
      <c r="E347" s="24">
        <f t="shared" si="60"/>
        <v>1</v>
      </c>
      <c r="F347" s="719"/>
      <c r="G347" s="24">
        <f t="shared" si="61"/>
        <v>1</v>
      </c>
      <c r="H347" s="719"/>
      <c r="I347" s="24">
        <f t="shared" si="62"/>
        <v>1</v>
      </c>
      <c r="J347" s="719"/>
      <c r="K347" s="24">
        <f t="shared" si="63"/>
        <v>1</v>
      </c>
      <c r="L347" s="719"/>
      <c r="M347" s="24">
        <f t="shared" si="64"/>
        <v>1</v>
      </c>
      <c r="N347" s="719"/>
      <c r="O347" s="24">
        <f t="shared" si="65"/>
        <v>1</v>
      </c>
      <c r="P347" s="719"/>
      <c r="Q347" s="24">
        <f t="shared" si="66"/>
        <v>1</v>
      </c>
      <c r="R347" s="715">
        <f t="shared" si="67"/>
        <v>0</v>
      </c>
      <c r="S347" s="361">
        <f t="shared" si="58"/>
        <v>0</v>
      </c>
    </row>
    <row r="348" spans="1:19">
      <c r="A348" s="159"/>
      <c r="B348" s="59"/>
      <c r="C348" s="24">
        <f t="shared" si="59"/>
        <v>1</v>
      </c>
      <c r="D348" s="719"/>
      <c r="E348" s="24">
        <f t="shared" si="60"/>
        <v>1</v>
      </c>
      <c r="F348" s="719"/>
      <c r="G348" s="24">
        <f t="shared" si="61"/>
        <v>1</v>
      </c>
      <c r="H348" s="719"/>
      <c r="I348" s="24">
        <f t="shared" si="62"/>
        <v>1</v>
      </c>
      <c r="J348" s="719"/>
      <c r="K348" s="24">
        <f t="shared" si="63"/>
        <v>1</v>
      </c>
      <c r="L348" s="719"/>
      <c r="M348" s="24">
        <f t="shared" si="64"/>
        <v>1</v>
      </c>
      <c r="N348" s="719"/>
      <c r="O348" s="24">
        <f t="shared" si="65"/>
        <v>1</v>
      </c>
      <c r="P348" s="719"/>
      <c r="Q348" s="24">
        <f t="shared" si="66"/>
        <v>1</v>
      </c>
      <c r="R348" s="715">
        <f t="shared" si="67"/>
        <v>0</v>
      </c>
      <c r="S348" s="361">
        <f t="shared" si="58"/>
        <v>0</v>
      </c>
    </row>
    <row r="349" spans="1:19">
      <c r="A349" s="159"/>
      <c r="B349" s="59"/>
      <c r="C349" s="24">
        <f t="shared" si="59"/>
        <v>1</v>
      </c>
      <c r="D349" s="719"/>
      <c r="E349" s="24">
        <f t="shared" si="60"/>
        <v>1</v>
      </c>
      <c r="F349" s="719"/>
      <c r="G349" s="24">
        <f t="shared" si="61"/>
        <v>1</v>
      </c>
      <c r="H349" s="719"/>
      <c r="I349" s="24">
        <f t="shared" si="62"/>
        <v>1</v>
      </c>
      <c r="J349" s="719"/>
      <c r="K349" s="24">
        <f t="shared" si="63"/>
        <v>1</v>
      </c>
      <c r="L349" s="719"/>
      <c r="M349" s="24">
        <f t="shared" si="64"/>
        <v>1</v>
      </c>
      <c r="N349" s="719"/>
      <c r="O349" s="24">
        <f t="shared" si="65"/>
        <v>1</v>
      </c>
      <c r="P349" s="719"/>
      <c r="Q349" s="24">
        <f t="shared" si="66"/>
        <v>1</v>
      </c>
      <c r="R349" s="715">
        <f t="shared" si="67"/>
        <v>0</v>
      </c>
      <c r="S349" s="361">
        <f t="shared" si="58"/>
        <v>0</v>
      </c>
    </row>
    <row r="350" spans="1:19">
      <c r="A350" s="159"/>
      <c r="B350" s="59"/>
      <c r="C350" s="24">
        <f t="shared" si="59"/>
        <v>1</v>
      </c>
      <c r="D350" s="719"/>
      <c r="E350" s="24">
        <f t="shared" si="60"/>
        <v>1</v>
      </c>
      <c r="F350" s="719"/>
      <c r="G350" s="24">
        <f t="shared" si="61"/>
        <v>1</v>
      </c>
      <c r="H350" s="719"/>
      <c r="I350" s="24">
        <f t="shared" si="62"/>
        <v>1</v>
      </c>
      <c r="J350" s="719"/>
      <c r="K350" s="24">
        <f t="shared" si="63"/>
        <v>1</v>
      </c>
      <c r="L350" s="719"/>
      <c r="M350" s="24">
        <f t="shared" si="64"/>
        <v>1</v>
      </c>
      <c r="N350" s="719"/>
      <c r="O350" s="24">
        <f t="shared" si="65"/>
        <v>1</v>
      </c>
      <c r="P350" s="719"/>
      <c r="Q350" s="24">
        <f t="shared" si="66"/>
        <v>1</v>
      </c>
      <c r="R350" s="715">
        <f t="shared" si="67"/>
        <v>0</v>
      </c>
      <c r="S350" s="361">
        <f t="shared" si="58"/>
        <v>0</v>
      </c>
    </row>
    <row r="351" spans="1:19">
      <c r="A351" s="159"/>
      <c r="B351" s="59"/>
      <c r="C351" s="24">
        <f t="shared" si="59"/>
        <v>1</v>
      </c>
      <c r="D351" s="719"/>
      <c r="E351" s="24">
        <f t="shared" si="60"/>
        <v>1</v>
      </c>
      <c r="F351" s="719"/>
      <c r="G351" s="24">
        <f t="shared" si="61"/>
        <v>1</v>
      </c>
      <c r="H351" s="719"/>
      <c r="I351" s="24">
        <f t="shared" si="62"/>
        <v>1</v>
      </c>
      <c r="J351" s="719"/>
      <c r="K351" s="24">
        <f t="shared" si="63"/>
        <v>1</v>
      </c>
      <c r="L351" s="719"/>
      <c r="M351" s="24">
        <f t="shared" si="64"/>
        <v>1</v>
      </c>
      <c r="N351" s="719"/>
      <c r="O351" s="24">
        <f t="shared" si="65"/>
        <v>1</v>
      </c>
      <c r="P351" s="719"/>
      <c r="Q351" s="24">
        <f t="shared" si="66"/>
        <v>1</v>
      </c>
      <c r="R351" s="715">
        <f t="shared" si="67"/>
        <v>0</v>
      </c>
      <c r="S351" s="361">
        <f t="shared" si="58"/>
        <v>0</v>
      </c>
    </row>
    <row r="352" spans="1:19">
      <c r="A352" s="159"/>
      <c r="B352" s="59"/>
      <c r="C352" s="24">
        <f t="shared" si="59"/>
        <v>1</v>
      </c>
      <c r="D352" s="719"/>
      <c r="E352" s="24">
        <f t="shared" si="60"/>
        <v>1</v>
      </c>
      <c r="F352" s="719"/>
      <c r="G352" s="24">
        <f t="shared" si="61"/>
        <v>1</v>
      </c>
      <c r="H352" s="719"/>
      <c r="I352" s="24">
        <f t="shared" si="62"/>
        <v>1</v>
      </c>
      <c r="J352" s="719"/>
      <c r="K352" s="24">
        <f t="shared" si="63"/>
        <v>1</v>
      </c>
      <c r="L352" s="719"/>
      <c r="M352" s="24">
        <f t="shared" si="64"/>
        <v>1</v>
      </c>
      <c r="N352" s="719"/>
      <c r="O352" s="24">
        <f t="shared" si="65"/>
        <v>1</v>
      </c>
      <c r="P352" s="719"/>
      <c r="Q352" s="24">
        <f t="shared" si="66"/>
        <v>1</v>
      </c>
      <c r="R352" s="715">
        <f t="shared" si="67"/>
        <v>0</v>
      </c>
      <c r="S352" s="361">
        <f t="shared" si="58"/>
        <v>0</v>
      </c>
    </row>
    <row r="353" spans="1:19">
      <c r="A353" s="159"/>
      <c r="B353" s="59"/>
      <c r="C353" s="24">
        <f t="shared" si="59"/>
        <v>1</v>
      </c>
      <c r="D353" s="719"/>
      <c r="E353" s="24">
        <f t="shared" si="60"/>
        <v>1</v>
      </c>
      <c r="F353" s="719"/>
      <c r="G353" s="24">
        <f t="shared" si="61"/>
        <v>1</v>
      </c>
      <c r="H353" s="719"/>
      <c r="I353" s="24">
        <f t="shared" si="62"/>
        <v>1</v>
      </c>
      <c r="J353" s="719"/>
      <c r="K353" s="24">
        <f t="shared" si="63"/>
        <v>1</v>
      </c>
      <c r="L353" s="719"/>
      <c r="M353" s="24">
        <f t="shared" si="64"/>
        <v>1</v>
      </c>
      <c r="N353" s="719"/>
      <c r="O353" s="24">
        <f t="shared" si="65"/>
        <v>1</v>
      </c>
      <c r="P353" s="719"/>
      <c r="Q353" s="24">
        <f t="shared" si="66"/>
        <v>1</v>
      </c>
      <c r="R353" s="715">
        <f t="shared" si="67"/>
        <v>0</v>
      </c>
      <c r="S353" s="361">
        <f t="shared" si="58"/>
        <v>0</v>
      </c>
    </row>
    <row r="354" spans="1:19">
      <c r="A354" s="159"/>
      <c r="B354" s="59"/>
      <c r="C354" s="24">
        <f t="shared" si="59"/>
        <v>1</v>
      </c>
      <c r="D354" s="719"/>
      <c r="E354" s="24">
        <f t="shared" si="60"/>
        <v>1</v>
      </c>
      <c r="F354" s="719"/>
      <c r="G354" s="24">
        <f t="shared" si="61"/>
        <v>1</v>
      </c>
      <c r="H354" s="719"/>
      <c r="I354" s="24">
        <f t="shared" si="62"/>
        <v>1</v>
      </c>
      <c r="J354" s="719"/>
      <c r="K354" s="24">
        <f t="shared" si="63"/>
        <v>1</v>
      </c>
      <c r="L354" s="719"/>
      <c r="M354" s="24">
        <f t="shared" si="64"/>
        <v>1</v>
      </c>
      <c r="N354" s="719"/>
      <c r="O354" s="24">
        <f t="shared" si="65"/>
        <v>1</v>
      </c>
      <c r="P354" s="719"/>
      <c r="Q354" s="24">
        <f t="shared" si="66"/>
        <v>1</v>
      </c>
      <c r="R354" s="715">
        <f t="shared" si="67"/>
        <v>0</v>
      </c>
      <c r="S354" s="361">
        <f t="shared" si="58"/>
        <v>0</v>
      </c>
    </row>
    <row r="355" spans="1:19">
      <c r="A355" s="159"/>
      <c r="B355" s="59"/>
      <c r="C355" s="24">
        <f t="shared" si="59"/>
        <v>1</v>
      </c>
      <c r="D355" s="719"/>
      <c r="E355" s="24">
        <f t="shared" si="60"/>
        <v>1</v>
      </c>
      <c r="F355" s="719"/>
      <c r="G355" s="24">
        <f t="shared" si="61"/>
        <v>1</v>
      </c>
      <c r="H355" s="719"/>
      <c r="I355" s="24">
        <f t="shared" si="62"/>
        <v>1</v>
      </c>
      <c r="J355" s="719"/>
      <c r="K355" s="24">
        <f t="shared" si="63"/>
        <v>1</v>
      </c>
      <c r="L355" s="719"/>
      <c r="M355" s="24">
        <f t="shared" si="64"/>
        <v>1</v>
      </c>
      <c r="N355" s="719"/>
      <c r="O355" s="24">
        <f t="shared" si="65"/>
        <v>1</v>
      </c>
      <c r="P355" s="719"/>
      <c r="Q355" s="24">
        <f t="shared" si="66"/>
        <v>1</v>
      </c>
      <c r="R355" s="715">
        <f t="shared" si="67"/>
        <v>0</v>
      </c>
      <c r="S355" s="361">
        <f t="shared" si="58"/>
        <v>0</v>
      </c>
    </row>
    <row r="356" spans="1:19">
      <c r="A356" s="159"/>
      <c r="B356" s="59"/>
      <c r="C356" s="24">
        <f t="shared" si="59"/>
        <v>1</v>
      </c>
      <c r="D356" s="719"/>
      <c r="E356" s="24">
        <f t="shared" si="60"/>
        <v>1</v>
      </c>
      <c r="F356" s="719"/>
      <c r="G356" s="24">
        <f t="shared" si="61"/>
        <v>1</v>
      </c>
      <c r="H356" s="719"/>
      <c r="I356" s="24">
        <f t="shared" si="62"/>
        <v>1</v>
      </c>
      <c r="J356" s="719"/>
      <c r="K356" s="24">
        <f t="shared" si="63"/>
        <v>1</v>
      </c>
      <c r="L356" s="719"/>
      <c r="M356" s="24">
        <f t="shared" si="64"/>
        <v>1</v>
      </c>
      <c r="N356" s="719"/>
      <c r="O356" s="24">
        <f t="shared" si="65"/>
        <v>1</v>
      </c>
      <c r="P356" s="719"/>
      <c r="Q356" s="24">
        <f t="shared" si="66"/>
        <v>1</v>
      </c>
      <c r="R356" s="715">
        <f t="shared" si="67"/>
        <v>0</v>
      </c>
      <c r="S356" s="361">
        <f t="shared" si="58"/>
        <v>0</v>
      </c>
    </row>
    <row r="357" spans="1:19">
      <c r="A357" s="159"/>
      <c r="B357" s="59"/>
      <c r="C357" s="24">
        <f t="shared" si="59"/>
        <v>1</v>
      </c>
      <c r="D357" s="719"/>
      <c r="E357" s="24">
        <f t="shared" si="60"/>
        <v>1</v>
      </c>
      <c r="F357" s="719"/>
      <c r="G357" s="24">
        <f t="shared" si="61"/>
        <v>1</v>
      </c>
      <c r="H357" s="719"/>
      <c r="I357" s="24">
        <f t="shared" si="62"/>
        <v>1</v>
      </c>
      <c r="J357" s="719"/>
      <c r="K357" s="24">
        <f t="shared" si="63"/>
        <v>1</v>
      </c>
      <c r="L357" s="719"/>
      <c r="M357" s="24">
        <f t="shared" si="64"/>
        <v>1</v>
      </c>
      <c r="N357" s="719"/>
      <c r="O357" s="24">
        <f t="shared" si="65"/>
        <v>1</v>
      </c>
      <c r="P357" s="719"/>
      <c r="Q357" s="24">
        <f t="shared" si="66"/>
        <v>1</v>
      </c>
      <c r="R357" s="715">
        <f t="shared" si="67"/>
        <v>0</v>
      </c>
      <c r="S357" s="361">
        <f t="shared" si="58"/>
        <v>0</v>
      </c>
    </row>
    <row r="358" spans="1:19">
      <c r="A358" s="159"/>
      <c r="B358" s="59"/>
      <c r="C358" s="24">
        <f t="shared" si="59"/>
        <v>1</v>
      </c>
      <c r="D358" s="719"/>
      <c r="E358" s="24">
        <f t="shared" si="60"/>
        <v>1</v>
      </c>
      <c r="F358" s="719"/>
      <c r="G358" s="24">
        <f t="shared" si="61"/>
        <v>1</v>
      </c>
      <c r="H358" s="719"/>
      <c r="I358" s="24">
        <f t="shared" si="62"/>
        <v>1</v>
      </c>
      <c r="J358" s="719"/>
      <c r="K358" s="24">
        <f t="shared" si="63"/>
        <v>1</v>
      </c>
      <c r="L358" s="719"/>
      <c r="M358" s="24">
        <f t="shared" si="64"/>
        <v>1</v>
      </c>
      <c r="N358" s="719"/>
      <c r="O358" s="24">
        <f t="shared" si="65"/>
        <v>1</v>
      </c>
      <c r="P358" s="719"/>
      <c r="Q358" s="24">
        <f t="shared" si="66"/>
        <v>1</v>
      </c>
      <c r="R358" s="715">
        <f t="shared" si="67"/>
        <v>0</v>
      </c>
      <c r="S358" s="361">
        <f t="shared" si="58"/>
        <v>0</v>
      </c>
    </row>
    <row r="359" spans="1:19">
      <c r="A359" s="159"/>
      <c r="B359" s="59"/>
      <c r="C359" s="24">
        <f t="shared" si="59"/>
        <v>1</v>
      </c>
      <c r="D359" s="719"/>
      <c r="E359" s="24">
        <f t="shared" si="60"/>
        <v>1</v>
      </c>
      <c r="F359" s="719"/>
      <c r="G359" s="24">
        <f t="shared" si="61"/>
        <v>1</v>
      </c>
      <c r="H359" s="719"/>
      <c r="I359" s="24">
        <f t="shared" si="62"/>
        <v>1</v>
      </c>
      <c r="J359" s="719"/>
      <c r="K359" s="24">
        <f t="shared" si="63"/>
        <v>1</v>
      </c>
      <c r="L359" s="719"/>
      <c r="M359" s="24">
        <f t="shared" si="64"/>
        <v>1</v>
      </c>
      <c r="N359" s="719"/>
      <c r="O359" s="24">
        <f t="shared" si="65"/>
        <v>1</v>
      </c>
      <c r="P359" s="719"/>
      <c r="Q359" s="24">
        <f t="shared" si="66"/>
        <v>1</v>
      </c>
      <c r="R359" s="715">
        <f t="shared" si="67"/>
        <v>0</v>
      </c>
      <c r="S359" s="361">
        <f t="shared" si="58"/>
        <v>0</v>
      </c>
    </row>
    <row r="360" spans="1:19">
      <c r="A360" s="159"/>
      <c r="B360" s="59"/>
      <c r="C360" s="24">
        <f t="shared" si="59"/>
        <v>1</v>
      </c>
      <c r="D360" s="719"/>
      <c r="E360" s="24">
        <f t="shared" si="60"/>
        <v>1</v>
      </c>
      <c r="F360" s="719"/>
      <c r="G360" s="24">
        <f t="shared" si="61"/>
        <v>1</v>
      </c>
      <c r="H360" s="719"/>
      <c r="I360" s="24">
        <f t="shared" si="62"/>
        <v>1</v>
      </c>
      <c r="J360" s="719"/>
      <c r="K360" s="24">
        <f t="shared" si="63"/>
        <v>1</v>
      </c>
      <c r="L360" s="719"/>
      <c r="M360" s="24">
        <f t="shared" si="64"/>
        <v>1</v>
      </c>
      <c r="N360" s="719"/>
      <c r="O360" s="24">
        <f t="shared" si="65"/>
        <v>1</v>
      </c>
      <c r="P360" s="719"/>
      <c r="Q360" s="24">
        <f t="shared" si="66"/>
        <v>1</v>
      </c>
      <c r="R360" s="715">
        <f t="shared" si="67"/>
        <v>0</v>
      </c>
      <c r="S360" s="361">
        <f t="shared" si="58"/>
        <v>0</v>
      </c>
    </row>
    <row r="361" spans="1:19">
      <c r="A361" s="159"/>
      <c r="B361" s="59"/>
      <c r="C361" s="24">
        <f t="shared" si="59"/>
        <v>1</v>
      </c>
      <c r="D361" s="719"/>
      <c r="E361" s="24">
        <f t="shared" si="60"/>
        <v>1</v>
      </c>
      <c r="F361" s="719"/>
      <c r="G361" s="24">
        <f t="shared" si="61"/>
        <v>1</v>
      </c>
      <c r="H361" s="719"/>
      <c r="I361" s="24">
        <f t="shared" si="62"/>
        <v>1</v>
      </c>
      <c r="J361" s="719"/>
      <c r="K361" s="24">
        <f t="shared" si="63"/>
        <v>1</v>
      </c>
      <c r="L361" s="719"/>
      <c r="M361" s="24">
        <f t="shared" si="64"/>
        <v>1</v>
      </c>
      <c r="N361" s="719"/>
      <c r="O361" s="24">
        <f t="shared" si="65"/>
        <v>1</v>
      </c>
      <c r="P361" s="719"/>
      <c r="Q361" s="24">
        <f t="shared" si="66"/>
        <v>1</v>
      </c>
      <c r="R361" s="715">
        <f t="shared" si="67"/>
        <v>0</v>
      </c>
      <c r="S361" s="361">
        <f t="shared" si="58"/>
        <v>0</v>
      </c>
    </row>
    <row r="362" spans="1:19">
      <c r="A362" s="159"/>
      <c r="B362" s="59"/>
      <c r="C362" s="24">
        <f t="shared" si="59"/>
        <v>1</v>
      </c>
      <c r="D362" s="719"/>
      <c r="E362" s="24">
        <f t="shared" si="60"/>
        <v>1</v>
      </c>
      <c r="F362" s="719"/>
      <c r="G362" s="24">
        <f t="shared" si="61"/>
        <v>1</v>
      </c>
      <c r="H362" s="719"/>
      <c r="I362" s="24">
        <f t="shared" si="62"/>
        <v>1</v>
      </c>
      <c r="J362" s="719"/>
      <c r="K362" s="24">
        <f t="shared" si="63"/>
        <v>1</v>
      </c>
      <c r="L362" s="719"/>
      <c r="M362" s="24">
        <f t="shared" si="64"/>
        <v>1</v>
      </c>
      <c r="N362" s="719"/>
      <c r="O362" s="24">
        <f t="shared" si="65"/>
        <v>1</v>
      </c>
      <c r="P362" s="719"/>
      <c r="Q362" s="24">
        <f t="shared" si="66"/>
        <v>1</v>
      </c>
      <c r="R362" s="715">
        <f t="shared" si="67"/>
        <v>0</v>
      </c>
      <c r="S362" s="361">
        <f t="shared" si="58"/>
        <v>0</v>
      </c>
    </row>
    <row r="363" spans="1:19">
      <c r="A363" s="159"/>
      <c r="B363" s="59"/>
      <c r="C363" s="24">
        <f t="shared" si="59"/>
        <v>1</v>
      </c>
      <c r="D363" s="719"/>
      <c r="E363" s="24">
        <f t="shared" si="60"/>
        <v>1</v>
      </c>
      <c r="F363" s="719"/>
      <c r="G363" s="24">
        <f t="shared" si="61"/>
        <v>1</v>
      </c>
      <c r="H363" s="719"/>
      <c r="I363" s="24">
        <f t="shared" si="62"/>
        <v>1</v>
      </c>
      <c r="J363" s="719"/>
      <c r="K363" s="24">
        <f t="shared" si="63"/>
        <v>1</v>
      </c>
      <c r="L363" s="719"/>
      <c r="M363" s="24">
        <f t="shared" si="64"/>
        <v>1</v>
      </c>
      <c r="N363" s="719"/>
      <c r="O363" s="24">
        <f t="shared" si="65"/>
        <v>1</v>
      </c>
      <c r="P363" s="719"/>
      <c r="Q363" s="24">
        <f t="shared" si="66"/>
        <v>1</v>
      </c>
      <c r="R363" s="715">
        <f t="shared" si="67"/>
        <v>0</v>
      </c>
      <c r="S363" s="361">
        <f t="shared" si="58"/>
        <v>0</v>
      </c>
    </row>
    <row r="364" spans="1:19">
      <c r="A364" s="159"/>
      <c r="B364" s="59"/>
      <c r="C364" s="24">
        <f t="shared" si="59"/>
        <v>1</v>
      </c>
      <c r="D364" s="719"/>
      <c r="E364" s="24">
        <f t="shared" si="60"/>
        <v>1</v>
      </c>
      <c r="F364" s="719"/>
      <c r="G364" s="24">
        <f t="shared" si="61"/>
        <v>1</v>
      </c>
      <c r="H364" s="719"/>
      <c r="I364" s="24">
        <f t="shared" si="62"/>
        <v>1</v>
      </c>
      <c r="J364" s="719"/>
      <c r="K364" s="24">
        <f t="shared" si="63"/>
        <v>1</v>
      </c>
      <c r="L364" s="719"/>
      <c r="M364" s="24">
        <f t="shared" si="64"/>
        <v>1</v>
      </c>
      <c r="N364" s="719"/>
      <c r="O364" s="24">
        <f t="shared" si="65"/>
        <v>1</v>
      </c>
      <c r="P364" s="719"/>
      <c r="Q364" s="24">
        <f t="shared" si="66"/>
        <v>1</v>
      </c>
      <c r="R364" s="715">
        <f t="shared" si="67"/>
        <v>0</v>
      </c>
      <c r="S364" s="361">
        <f t="shared" si="58"/>
        <v>0</v>
      </c>
    </row>
    <row r="365" spans="1:19">
      <c r="A365" s="159"/>
      <c r="B365" s="59"/>
      <c r="C365" s="24">
        <f t="shared" si="59"/>
        <v>1</v>
      </c>
      <c r="D365" s="719"/>
      <c r="E365" s="24">
        <f t="shared" si="60"/>
        <v>1</v>
      </c>
      <c r="F365" s="719"/>
      <c r="G365" s="24">
        <f t="shared" si="61"/>
        <v>1</v>
      </c>
      <c r="H365" s="719"/>
      <c r="I365" s="24">
        <f t="shared" si="62"/>
        <v>1</v>
      </c>
      <c r="J365" s="719"/>
      <c r="K365" s="24">
        <f t="shared" si="63"/>
        <v>1</v>
      </c>
      <c r="L365" s="719"/>
      <c r="M365" s="24">
        <f t="shared" si="64"/>
        <v>1</v>
      </c>
      <c r="N365" s="719"/>
      <c r="O365" s="24">
        <f t="shared" si="65"/>
        <v>1</v>
      </c>
      <c r="P365" s="719"/>
      <c r="Q365" s="24">
        <f t="shared" si="66"/>
        <v>1</v>
      </c>
      <c r="R365" s="715">
        <f t="shared" si="67"/>
        <v>0</v>
      </c>
      <c r="S365" s="361">
        <f t="shared" si="58"/>
        <v>0</v>
      </c>
    </row>
    <row r="366" spans="1:19">
      <c r="A366" s="159"/>
      <c r="B366" s="59"/>
      <c r="C366" s="24">
        <f t="shared" si="59"/>
        <v>1</v>
      </c>
      <c r="D366" s="719"/>
      <c r="E366" s="24">
        <f t="shared" si="60"/>
        <v>1</v>
      </c>
      <c r="F366" s="719"/>
      <c r="G366" s="24">
        <f t="shared" si="61"/>
        <v>1</v>
      </c>
      <c r="H366" s="719"/>
      <c r="I366" s="24">
        <f t="shared" si="62"/>
        <v>1</v>
      </c>
      <c r="J366" s="719"/>
      <c r="K366" s="24">
        <f t="shared" si="63"/>
        <v>1</v>
      </c>
      <c r="L366" s="719"/>
      <c r="M366" s="24">
        <f t="shared" si="64"/>
        <v>1</v>
      </c>
      <c r="N366" s="719"/>
      <c r="O366" s="24">
        <f t="shared" si="65"/>
        <v>1</v>
      </c>
      <c r="P366" s="719"/>
      <c r="Q366" s="24">
        <f t="shared" si="66"/>
        <v>1</v>
      </c>
      <c r="R366" s="715">
        <f t="shared" si="67"/>
        <v>0</v>
      </c>
      <c r="S366" s="361">
        <f t="shared" si="58"/>
        <v>0</v>
      </c>
    </row>
    <row r="367" spans="1:19">
      <c r="A367" s="159"/>
      <c r="B367" s="59"/>
      <c r="C367" s="24">
        <f t="shared" si="59"/>
        <v>1</v>
      </c>
      <c r="D367" s="719"/>
      <c r="E367" s="24">
        <f t="shared" si="60"/>
        <v>1</v>
      </c>
      <c r="F367" s="719"/>
      <c r="G367" s="24">
        <f t="shared" si="61"/>
        <v>1</v>
      </c>
      <c r="H367" s="719"/>
      <c r="I367" s="24">
        <f t="shared" si="62"/>
        <v>1</v>
      </c>
      <c r="J367" s="719"/>
      <c r="K367" s="24">
        <f t="shared" si="63"/>
        <v>1</v>
      </c>
      <c r="L367" s="719"/>
      <c r="M367" s="24">
        <f t="shared" si="64"/>
        <v>1</v>
      </c>
      <c r="N367" s="719"/>
      <c r="O367" s="24">
        <f t="shared" si="65"/>
        <v>1</v>
      </c>
      <c r="P367" s="719"/>
      <c r="Q367" s="24">
        <f t="shared" si="66"/>
        <v>1</v>
      </c>
      <c r="R367" s="715">
        <f t="shared" si="67"/>
        <v>0</v>
      </c>
      <c r="S367" s="361">
        <f t="shared" si="58"/>
        <v>0</v>
      </c>
    </row>
    <row r="368" spans="1:19">
      <c r="A368" s="159"/>
      <c r="B368" s="59"/>
      <c r="C368" s="24">
        <f t="shared" si="59"/>
        <v>1</v>
      </c>
      <c r="D368" s="719"/>
      <c r="E368" s="24">
        <f t="shared" si="60"/>
        <v>1</v>
      </c>
      <c r="F368" s="719"/>
      <c r="G368" s="24">
        <f t="shared" si="61"/>
        <v>1</v>
      </c>
      <c r="H368" s="719"/>
      <c r="I368" s="24">
        <f t="shared" si="62"/>
        <v>1</v>
      </c>
      <c r="J368" s="719"/>
      <c r="K368" s="24">
        <f t="shared" si="63"/>
        <v>1</v>
      </c>
      <c r="L368" s="719"/>
      <c r="M368" s="24">
        <f t="shared" si="64"/>
        <v>1</v>
      </c>
      <c r="N368" s="719"/>
      <c r="O368" s="24">
        <f t="shared" si="65"/>
        <v>1</v>
      </c>
      <c r="P368" s="719"/>
      <c r="Q368" s="24">
        <f t="shared" si="66"/>
        <v>1</v>
      </c>
      <c r="R368" s="715">
        <f t="shared" si="67"/>
        <v>0</v>
      </c>
      <c r="S368" s="361">
        <f t="shared" si="58"/>
        <v>0</v>
      </c>
    </row>
    <row r="369" spans="1:19">
      <c r="A369" s="159"/>
      <c r="B369" s="59"/>
      <c r="C369" s="24">
        <f t="shared" si="59"/>
        <v>1</v>
      </c>
      <c r="D369" s="719"/>
      <c r="E369" s="24">
        <f t="shared" si="60"/>
        <v>1</v>
      </c>
      <c r="F369" s="719"/>
      <c r="G369" s="24">
        <f t="shared" si="61"/>
        <v>1</v>
      </c>
      <c r="H369" s="719"/>
      <c r="I369" s="24">
        <f t="shared" si="62"/>
        <v>1</v>
      </c>
      <c r="J369" s="719"/>
      <c r="K369" s="24">
        <f t="shared" si="63"/>
        <v>1</v>
      </c>
      <c r="L369" s="719"/>
      <c r="M369" s="24">
        <f t="shared" si="64"/>
        <v>1</v>
      </c>
      <c r="N369" s="719"/>
      <c r="O369" s="24">
        <f t="shared" si="65"/>
        <v>1</v>
      </c>
      <c r="P369" s="719"/>
      <c r="Q369" s="24">
        <f t="shared" si="66"/>
        <v>1</v>
      </c>
      <c r="R369" s="715">
        <f t="shared" si="67"/>
        <v>0</v>
      </c>
      <c r="S369" s="361">
        <f t="shared" si="58"/>
        <v>0</v>
      </c>
    </row>
    <row r="370" spans="1:19">
      <c r="A370" s="159"/>
      <c r="B370" s="59"/>
      <c r="C370" s="24">
        <f t="shared" si="59"/>
        <v>1</v>
      </c>
      <c r="D370" s="719"/>
      <c r="E370" s="24">
        <f t="shared" si="60"/>
        <v>1</v>
      </c>
      <c r="F370" s="719"/>
      <c r="G370" s="24">
        <f t="shared" si="61"/>
        <v>1</v>
      </c>
      <c r="H370" s="719"/>
      <c r="I370" s="24">
        <f t="shared" si="62"/>
        <v>1</v>
      </c>
      <c r="J370" s="719"/>
      <c r="K370" s="24">
        <f t="shared" si="63"/>
        <v>1</v>
      </c>
      <c r="L370" s="719"/>
      <c r="M370" s="24">
        <f t="shared" si="64"/>
        <v>1</v>
      </c>
      <c r="N370" s="719"/>
      <c r="O370" s="24">
        <f t="shared" si="65"/>
        <v>1</v>
      </c>
      <c r="P370" s="719"/>
      <c r="Q370" s="24">
        <f t="shared" si="66"/>
        <v>1</v>
      </c>
      <c r="R370" s="715">
        <f t="shared" si="67"/>
        <v>0</v>
      </c>
      <c r="S370" s="361">
        <f t="shared" si="58"/>
        <v>0</v>
      </c>
    </row>
    <row r="371" spans="1:19">
      <c r="A371" s="159"/>
      <c r="B371" s="59"/>
      <c r="C371" s="24">
        <f t="shared" si="59"/>
        <v>1</v>
      </c>
      <c r="D371" s="719"/>
      <c r="E371" s="24">
        <f t="shared" si="60"/>
        <v>1</v>
      </c>
      <c r="F371" s="719"/>
      <c r="G371" s="24">
        <f t="shared" si="61"/>
        <v>1</v>
      </c>
      <c r="H371" s="719"/>
      <c r="I371" s="24">
        <f t="shared" si="62"/>
        <v>1</v>
      </c>
      <c r="J371" s="719"/>
      <c r="K371" s="24">
        <f t="shared" si="63"/>
        <v>1</v>
      </c>
      <c r="L371" s="719"/>
      <c r="M371" s="24">
        <f t="shared" si="64"/>
        <v>1</v>
      </c>
      <c r="N371" s="719"/>
      <c r="O371" s="24">
        <f t="shared" si="65"/>
        <v>1</v>
      </c>
      <c r="P371" s="719"/>
      <c r="Q371" s="24">
        <f t="shared" si="66"/>
        <v>1</v>
      </c>
      <c r="R371" s="715">
        <f t="shared" si="67"/>
        <v>0</v>
      </c>
      <c r="S371" s="361">
        <f t="shared" si="58"/>
        <v>0</v>
      </c>
    </row>
    <row r="372" spans="1:19">
      <c r="A372" s="159"/>
      <c r="B372" s="59"/>
      <c r="C372" s="24">
        <f t="shared" si="59"/>
        <v>1</v>
      </c>
      <c r="D372" s="719"/>
      <c r="E372" s="24">
        <f t="shared" si="60"/>
        <v>1</v>
      </c>
      <c r="F372" s="719"/>
      <c r="G372" s="24">
        <f t="shared" si="61"/>
        <v>1</v>
      </c>
      <c r="H372" s="719"/>
      <c r="I372" s="24">
        <f t="shared" si="62"/>
        <v>1</v>
      </c>
      <c r="J372" s="719"/>
      <c r="K372" s="24">
        <f t="shared" si="63"/>
        <v>1</v>
      </c>
      <c r="L372" s="719"/>
      <c r="M372" s="24">
        <f t="shared" si="64"/>
        <v>1</v>
      </c>
      <c r="N372" s="719"/>
      <c r="O372" s="24">
        <f t="shared" si="65"/>
        <v>1</v>
      </c>
      <c r="P372" s="719"/>
      <c r="Q372" s="24">
        <f t="shared" si="66"/>
        <v>1</v>
      </c>
      <c r="R372" s="715">
        <f t="shared" si="67"/>
        <v>0</v>
      </c>
      <c r="S372" s="361">
        <f t="shared" si="58"/>
        <v>0</v>
      </c>
    </row>
    <row r="373" spans="1:19">
      <c r="A373" s="159"/>
      <c r="B373" s="59"/>
      <c r="C373" s="24">
        <f t="shared" si="59"/>
        <v>1</v>
      </c>
      <c r="D373" s="719"/>
      <c r="E373" s="24">
        <f t="shared" si="60"/>
        <v>1</v>
      </c>
      <c r="F373" s="719"/>
      <c r="G373" s="24">
        <f t="shared" si="61"/>
        <v>1</v>
      </c>
      <c r="H373" s="719"/>
      <c r="I373" s="24">
        <f t="shared" si="62"/>
        <v>1</v>
      </c>
      <c r="J373" s="719"/>
      <c r="K373" s="24">
        <f t="shared" si="63"/>
        <v>1</v>
      </c>
      <c r="L373" s="719"/>
      <c r="M373" s="24">
        <f t="shared" si="64"/>
        <v>1</v>
      </c>
      <c r="N373" s="719"/>
      <c r="O373" s="24">
        <f t="shared" si="65"/>
        <v>1</v>
      </c>
      <c r="P373" s="719"/>
      <c r="Q373" s="24">
        <f t="shared" si="66"/>
        <v>1</v>
      </c>
      <c r="R373" s="715">
        <f t="shared" si="67"/>
        <v>0</v>
      </c>
      <c r="S373" s="361">
        <f t="shared" si="58"/>
        <v>0</v>
      </c>
    </row>
    <row r="374" spans="1:19">
      <c r="A374" s="159"/>
      <c r="B374" s="59"/>
      <c r="C374" s="24">
        <f t="shared" si="59"/>
        <v>1</v>
      </c>
      <c r="D374" s="719"/>
      <c r="E374" s="24">
        <f t="shared" si="60"/>
        <v>1</v>
      </c>
      <c r="F374" s="719"/>
      <c r="G374" s="24">
        <f t="shared" si="61"/>
        <v>1</v>
      </c>
      <c r="H374" s="719"/>
      <c r="I374" s="24">
        <f t="shared" si="62"/>
        <v>1</v>
      </c>
      <c r="J374" s="719"/>
      <c r="K374" s="24">
        <f t="shared" si="63"/>
        <v>1</v>
      </c>
      <c r="L374" s="719"/>
      <c r="M374" s="24">
        <f t="shared" si="64"/>
        <v>1</v>
      </c>
      <c r="N374" s="719"/>
      <c r="O374" s="24">
        <f t="shared" si="65"/>
        <v>1</v>
      </c>
      <c r="P374" s="719"/>
      <c r="Q374" s="24">
        <f t="shared" si="66"/>
        <v>1</v>
      </c>
      <c r="R374" s="715">
        <f t="shared" si="67"/>
        <v>0</v>
      </c>
      <c r="S374" s="361">
        <f t="shared" si="58"/>
        <v>0</v>
      </c>
    </row>
    <row r="375" spans="1:19">
      <c r="A375" s="159"/>
      <c r="B375" s="59"/>
      <c r="C375" s="24">
        <f t="shared" si="59"/>
        <v>1</v>
      </c>
      <c r="D375" s="719"/>
      <c r="E375" s="24">
        <f t="shared" si="60"/>
        <v>1</v>
      </c>
      <c r="F375" s="719"/>
      <c r="G375" s="24">
        <f t="shared" si="61"/>
        <v>1</v>
      </c>
      <c r="H375" s="719"/>
      <c r="I375" s="24">
        <f t="shared" si="62"/>
        <v>1</v>
      </c>
      <c r="J375" s="719"/>
      <c r="K375" s="24">
        <f t="shared" si="63"/>
        <v>1</v>
      </c>
      <c r="L375" s="719"/>
      <c r="M375" s="24">
        <f t="shared" si="64"/>
        <v>1</v>
      </c>
      <c r="N375" s="719"/>
      <c r="O375" s="24">
        <f t="shared" si="65"/>
        <v>1</v>
      </c>
      <c r="P375" s="719"/>
      <c r="Q375" s="24">
        <f t="shared" si="66"/>
        <v>1</v>
      </c>
      <c r="R375" s="715">
        <f t="shared" si="67"/>
        <v>0</v>
      </c>
      <c r="S375" s="361">
        <f t="shared" si="58"/>
        <v>0</v>
      </c>
    </row>
    <row r="376" spans="1:19">
      <c r="A376" s="159"/>
      <c r="B376" s="59"/>
      <c r="C376" s="24">
        <f t="shared" si="59"/>
        <v>1</v>
      </c>
      <c r="D376" s="719"/>
      <c r="E376" s="24">
        <f t="shared" si="60"/>
        <v>1</v>
      </c>
      <c r="F376" s="719"/>
      <c r="G376" s="24">
        <f t="shared" si="61"/>
        <v>1</v>
      </c>
      <c r="H376" s="719"/>
      <c r="I376" s="24">
        <f t="shared" si="62"/>
        <v>1</v>
      </c>
      <c r="J376" s="719"/>
      <c r="K376" s="24">
        <f t="shared" si="63"/>
        <v>1</v>
      </c>
      <c r="L376" s="719"/>
      <c r="M376" s="24">
        <f t="shared" si="64"/>
        <v>1</v>
      </c>
      <c r="N376" s="719"/>
      <c r="O376" s="24">
        <f t="shared" si="65"/>
        <v>1</v>
      </c>
      <c r="P376" s="719"/>
      <c r="Q376" s="24">
        <f t="shared" si="66"/>
        <v>1</v>
      </c>
      <c r="R376" s="715">
        <f t="shared" si="67"/>
        <v>0</v>
      </c>
      <c r="S376" s="361">
        <f t="shared" si="58"/>
        <v>0</v>
      </c>
    </row>
    <row r="377" spans="1:19">
      <c r="A377" s="159"/>
      <c r="B377" s="59"/>
      <c r="C377" s="24">
        <f t="shared" si="59"/>
        <v>1</v>
      </c>
      <c r="D377" s="719"/>
      <c r="E377" s="24">
        <f t="shared" si="60"/>
        <v>1</v>
      </c>
      <c r="F377" s="719"/>
      <c r="G377" s="24">
        <f t="shared" si="61"/>
        <v>1</v>
      </c>
      <c r="H377" s="719"/>
      <c r="I377" s="24">
        <f t="shared" si="62"/>
        <v>1</v>
      </c>
      <c r="J377" s="719"/>
      <c r="K377" s="24">
        <f t="shared" si="63"/>
        <v>1</v>
      </c>
      <c r="L377" s="719"/>
      <c r="M377" s="24">
        <f t="shared" si="64"/>
        <v>1</v>
      </c>
      <c r="N377" s="719"/>
      <c r="O377" s="24">
        <f t="shared" si="65"/>
        <v>1</v>
      </c>
      <c r="P377" s="719"/>
      <c r="Q377" s="24">
        <f t="shared" si="66"/>
        <v>1</v>
      </c>
      <c r="R377" s="715">
        <f t="shared" si="67"/>
        <v>0</v>
      </c>
      <c r="S377" s="361">
        <f t="shared" si="58"/>
        <v>0</v>
      </c>
    </row>
    <row r="378" spans="1:19">
      <c r="A378" s="159"/>
      <c r="B378" s="59"/>
      <c r="C378" s="24">
        <f t="shared" si="59"/>
        <v>1</v>
      </c>
      <c r="D378" s="719"/>
      <c r="E378" s="24">
        <f t="shared" si="60"/>
        <v>1</v>
      </c>
      <c r="F378" s="719"/>
      <c r="G378" s="24">
        <f t="shared" si="61"/>
        <v>1</v>
      </c>
      <c r="H378" s="719"/>
      <c r="I378" s="24">
        <f t="shared" si="62"/>
        <v>1</v>
      </c>
      <c r="J378" s="719"/>
      <c r="K378" s="24">
        <f t="shared" si="63"/>
        <v>1</v>
      </c>
      <c r="L378" s="719"/>
      <c r="M378" s="24">
        <f t="shared" si="64"/>
        <v>1</v>
      </c>
      <c r="N378" s="719"/>
      <c r="O378" s="24">
        <f t="shared" si="65"/>
        <v>1</v>
      </c>
      <c r="P378" s="719"/>
      <c r="Q378" s="24">
        <f t="shared" si="66"/>
        <v>1</v>
      </c>
      <c r="R378" s="715">
        <f t="shared" si="67"/>
        <v>0</v>
      </c>
      <c r="S378" s="361">
        <f t="shared" si="58"/>
        <v>0</v>
      </c>
    </row>
    <row r="379" spans="1:19">
      <c r="A379" s="159"/>
      <c r="B379" s="59"/>
      <c r="C379" s="24">
        <f t="shared" si="59"/>
        <v>1</v>
      </c>
      <c r="D379" s="719"/>
      <c r="E379" s="24">
        <f t="shared" si="60"/>
        <v>1</v>
      </c>
      <c r="F379" s="719"/>
      <c r="G379" s="24">
        <f t="shared" si="61"/>
        <v>1</v>
      </c>
      <c r="H379" s="719"/>
      <c r="I379" s="24">
        <f t="shared" si="62"/>
        <v>1</v>
      </c>
      <c r="J379" s="719"/>
      <c r="K379" s="24">
        <f t="shared" si="63"/>
        <v>1</v>
      </c>
      <c r="L379" s="719"/>
      <c r="M379" s="24">
        <f t="shared" si="64"/>
        <v>1</v>
      </c>
      <c r="N379" s="719"/>
      <c r="O379" s="24">
        <f t="shared" si="65"/>
        <v>1</v>
      </c>
      <c r="P379" s="719"/>
      <c r="Q379" s="24">
        <f t="shared" si="66"/>
        <v>1</v>
      </c>
      <c r="R379" s="715">
        <f t="shared" si="67"/>
        <v>0</v>
      </c>
      <c r="S379" s="361">
        <f t="shared" si="58"/>
        <v>0</v>
      </c>
    </row>
    <row r="380" spans="1:19">
      <c r="A380" s="159"/>
      <c r="B380" s="59"/>
      <c r="C380" s="24">
        <f t="shared" si="59"/>
        <v>1</v>
      </c>
      <c r="D380" s="719"/>
      <c r="E380" s="24">
        <f t="shared" si="60"/>
        <v>1</v>
      </c>
      <c r="F380" s="719"/>
      <c r="G380" s="24">
        <f t="shared" si="61"/>
        <v>1</v>
      </c>
      <c r="H380" s="719"/>
      <c r="I380" s="24">
        <f t="shared" si="62"/>
        <v>1</v>
      </c>
      <c r="J380" s="719"/>
      <c r="K380" s="24">
        <f t="shared" si="63"/>
        <v>1</v>
      </c>
      <c r="L380" s="719"/>
      <c r="M380" s="24">
        <f t="shared" si="64"/>
        <v>1</v>
      </c>
      <c r="N380" s="719"/>
      <c r="O380" s="24">
        <f t="shared" si="65"/>
        <v>1</v>
      </c>
      <c r="P380" s="719"/>
      <c r="Q380" s="24">
        <f t="shared" si="66"/>
        <v>1</v>
      </c>
      <c r="R380" s="715">
        <f t="shared" si="67"/>
        <v>0</v>
      </c>
      <c r="S380" s="361">
        <f t="shared" si="58"/>
        <v>0</v>
      </c>
    </row>
    <row r="381" spans="1:19">
      <c r="A381" s="159"/>
      <c r="B381" s="59"/>
      <c r="C381" s="24">
        <f t="shared" si="59"/>
        <v>1</v>
      </c>
      <c r="D381" s="719"/>
      <c r="E381" s="24">
        <f t="shared" si="60"/>
        <v>1</v>
      </c>
      <c r="F381" s="719"/>
      <c r="G381" s="24">
        <f t="shared" si="61"/>
        <v>1</v>
      </c>
      <c r="H381" s="719"/>
      <c r="I381" s="24">
        <f t="shared" si="62"/>
        <v>1</v>
      </c>
      <c r="J381" s="719"/>
      <c r="K381" s="24">
        <f t="shared" si="63"/>
        <v>1</v>
      </c>
      <c r="L381" s="719"/>
      <c r="M381" s="24">
        <f t="shared" si="64"/>
        <v>1</v>
      </c>
      <c r="N381" s="719"/>
      <c r="O381" s="24">
        <f t="shared" si="65"/>
        <v>1</v>
      </c>
      <c r="P381" s="719"/>
      <c r="Q381" s="24">
        <f t="shared" si="66"/>
        <v>1</v>
      </c>
      <c r="R381" s="715">
        <f t="shared" si="67"/>
        <v>0</v>
      </c>
      <c r="S381" s="361">
        <f t="shared" si="58"/>
        <v>0</v>
      </c>
    </row>
    <row r="382" spans="1:19">
      <c r="A382" s="159"/>
      <c r="B382" s="59"/>
      <c r="C382" s="24">
        <f t="shared" si="59"/>
        <v>1</v>
      </c>
      <c r="D382" s="719"/>
      <c r="E382" s="24">
        <f t="shared" si="60"/>
        <v>1</v>
      </c>
      <c r="F382" s="719"/>
      <c r="G382" s="24">
        <f t="shared" si="61"/>
        <v>1</v>
      </c>
      <c r="H382" s="719"/>
      <c r="I382" s="24">
        <f t="shared" si="62"/>
        <v>1</v>
      </c>
      <c r="J382" s="719"/>
      <c r="K382" s="24">
        <f t="shared" si="63"/>
        <v>1</v>
      </c>
      <c r="L382" s="719"/>
      <c r="M382" s="24">
        <f t="shared" si="64"/>
        <v>1</v>
      </c>
      <c r="N382" s="719"/>
      <c r="O382" s="24">
        <f t="shared" si="65"/>
        <v>1</v>
      </c>
      <c r="P382" s="719"/>
      <c r="Q382" s="24">
        <f t="shared" si="66"/>
        <v>1</v>
      </c>
      <c r="R382" s="715">
        <f t="shared" si="67"/>
        <v>0</v>
      </c>
      <c r="S382" s="361">
        <f t="shared" si="58"/>
        <v>0</v>
      </c>
    </row>
    <row r="383" spans="1:19">
      <c r="A383" s="159"/>
      <c r="B383" s="59"/>
      <c r="C383" s="24">
        <f t="shared" si="59"/>
        <v>1</v>
      </c>
      <c r="D383" s="719"/>
      <c r="E383" s="24">
        <f t="shared" si="60"/>
        <v>1</v>
      </c>
      <c r="F383" s="719"/>
      <c r="G383" s="24">
        <f t="shared" si="61"/>
        <v>1</v>
      </c>
      <c r="H383" s="719"/>
      <c r="I383" s="24">
        <f t="shared" si="62"/>
        <v>1</v>
      </c>
      <c r="J383" s="719"/>
      <c r="K383" s="24">
        <f t="shared" si="63"/>
        <v>1</v>
      </c>
      <c r="L383" s="719"/>
      <c r="M383" s="24">
        <f t="shared" si="64"/>
        <v>1</v>
      </c>
      <c r="N383" s="719"/>
      <c r="O383" s="24">
        <f t="shared" si="65"/>
        <v>1</v>
      </c>
      <c r="P383" s="719"/>
      <c r="Q383" s="24">
        <f t="shared" si="66"/>
        <v>1</v>
      </c>
      <c r="R383" s="715">
        <f t="shared" si="67"/>
        <v>0</v>
      </c>
      <c r="S383" s="361">
        <f t="shared" si="58"/>
        <v>0</v>
      </c>
    </row>
    <row r="384" spans="1:19">
      <c r="A384" s="159"/>
      <c r="B384" s="59"/>
      <c r="C384" s="24">
        <f t="shared" si="59"/>
        <v>1</v>
      </c>
      <c r="D384" s="719"/>
      <c r="E384" s="24">
        <f t="shared" si="60"/>
        <v>1</v>
      </c>
      <c r="F384" s="719"/>
      <c r="G384" s="24">
        <f t="shared" si="61"/>
        <v>1</v>
      </c>
      <c r="H384" s="719"/>
      <c r="I384" s="24">
        <f t="shared" si="62"/>
        <v>1</v>
      </c>
      <c r="J384" s="719"/>
      <c r="K384" s="24">
        <f t="shared" si="63"/>
        <v>1</v>
      </c>
      <c r="L384" s="719"/>
      <c r="M384" s="24">
        <f t="shared" si="64"/>
        <v>1</v>
      </c>
      <c r="N384" s="719"/>
      <c r="O384" s="24">
        <f t="shared" si="65"/>
        <v>1</v>
      </c>
      <c r="P384" s="719"/>
      <c r="Q384" s="24">
        <f t="shared" si="66"/>
        <v>1</v>
      </c>
      <c r="R384" s="715">
        <f t="shared" si="67"/>
        <v>0</v>
      </c>
      <c r="S384" s="361">
        <f t="shared" si="58"/>
        <v>0</v>
      </c>
    </row>
    <row r="385" spans="1:19">
      <c r="A385" s="159"/>
      <c r="B385" s="59"/>
      <c r="C385" s="24">
        <f t="shared" si="59"/>
        <v>1</v>
      </c>
      <c r="D385" s="719"/>
      <c r="E385" s="24">
        <f t="shared" si="60"/>
        <v>1</v>
      </c>
      <c r="F385" s="719"/>
      <c r="G385" s="24">
        <f t="shared" si="61"/>
        <v>1</v>
      </c>
      <c r="H385" s="719"/>
      <c r="I385" s="24">
        <f t="shared" si="62"/>
        <v>1</v>
      </c>
      <c r="J385" s="719"/>
      <c r="K385" s="24">
        <f t="shared" si="63"/>
        <v>1</v>
      </c>
      <c r="L385" s="719"/>
      <c r="M385" s="24">
        <f t="shared" si="64"/>
        <v>1</v>
      </c>
      <c r="N385" s="719"/>
      <c r="O385" s="24">
        <f t="shared" si="65"/>
        <v>1</v>
      </c>
      <c r="P385" s="719"/>
      <c r="Q385" s="24">
        <f t="shared" si="66"/>
        <v>1</v>
      </c>
      <c r="R385" s="715">
        <f t="shared" si="67"/>
        <v>0</v>
      </c>
      <c r="S385" s="361">
        <f t="shared" ref="S385:S422" si="68">ROUND(R385*B385/10000,0)</f>
        <v>0</v>
      </c>
    </row>
    <row r="386" spans="1:19">
      <c r="A386" s="159"/>
      <c r="B386" s="59"/>
      <c r="C386" s="24">
        <f t="shared" si="59"/>
        <v>1</v>
      </c>
      <c r="D386" s="719"/>
      <c r="E386" s="24">
        <f t="shared" si="60"/>
        <v>1</v>
      </c>
      <c r="F386" s="719"/>
      <c r="G386" s="24">
        <f t="shared" si="61"/>
        <v>1</v>
      </c>
      <c r="H386" s="719"/>
      <c r="I386" s="24">
        <f t="shared" si="62"/>
        <v>1</v>
      </c>
      <c r="J386" s="719"/>
      <c r="K386" s="24">
        <f t="shared" si="63"/>
        <v>1</v>
      </c>
      <c r="L386" s="719"/>
      <c r="M386" s="24">
        <f t="shared" si="64"/>
        <v>1</v>
      </c>
      <c r="N386" s="719"/>
      <c r="O386" s="24">
        <f t="shared" si="65"/>
        <v>1</v>
      </c>
      <c r="P386" s="719"/>
      <c r="Q386" s="24">
        <f t="shared" si="66"/>
        <v>1</v>
      </c>
      <c r="R386" s="715">
        <f t="shared" si="67"/>
        <v>0</v>
      </c>
      <c r="S386" s="361">
        <f t="shared" si="68"/>
        <v>0</v>
      </c>
    </row>
    <row r="387" spans="1:19">
      <c r="A387" s="159"/>
      <c r="B387" s="59"/>
      <c r="C387" s="24">
        <f t="shared" si="59"/>
        <v>1</v>
      </c>
      <c r="D387" s="719"/>
      <c r="E387" s="24">
        <f t="shared" si="60"/>
        <v>1</v>
      </c>
      <c r="F387" s="719"/>
      <c r="G387" s="24">
        <f t="shared" si="61"/>
        <v>1</v>
      </c>
      <c r="H387" s="719"/>
      <c r="I387" s="24">
        <f t="shared" si="62"/>
        <v>1</v>
      </c>
      <c r="J387" s="719"/>
      <c r="K387" s="24">
        <f t="shared" si="63"/>
        <v>1</v>
      </c>
      <c r="L387" s="719"/>
      <c r="M387" s="24">
        <f t="shared" si="64"/>
        <v>1</v>
      </c>
      <c r="N387" s="719"/>
      <c r="O387" s="24">
        <f t="shared" si="65"/>
        <v>1</v>
      </c>
      <c r="P387" s="719"/>
      <c r="Q387" s="24">
        <f t="shared" si="66"/>
        <v>1</v>
      </c>
      <c r="R387" s="715">
        <f t="shared" si="67"/>
        <v>0</v>
      </c>
      <c r="S387" s="361">
        <f t="shared" si="68"/>
        <v>0</v>
      </c>
    </row>
    <row r="388" spans="1:19">
      <c r="A388" s="159"/>
      <c r="B388" s="59"/>
      <c r="C388" s="24">
        <f t="shared" si="59"/>
        <v>1</v>
      </c>
      <c r="D388" s="719"/>
      <c r="E388" s="24">
        <f t="shared" si="60"/>
        <v>1</v>
      </c>
      <c r="F388" s="719"/>
      <c r="G388" s="24">
        <f t="shared" si="61"/>
        <v>1</v>
      </c>
      <c r="H388" s="719"/>
      <c r="I388" s="24">
        <f t="shared" si="62"/>
        <v>1</v>
      </c>
      <c r="J388" s="719"/>
      <c r="K388" s="24">
        <f t="shared" si="63"/>
        <v>1</v>
      </c>
      <c r="L388" s="719"/>
      <c r="M388" s="24">
        <f t="shared" si="64"/>
        <v>1</v>
      </c>
      <c r="N388" s="719"/>
      <c r="O388" s="24">
        <f t="shared" si="65"/>
        <v>1</v>
      </c>
      <c r="P388" s="719"/>
      <c r="Q388" s="24">
        <f t="shared" si="66"/>
        <v>1</v>
      </c>
      <c r="R388" s="715">
        <f t="shared" si="67"/>
        <v>0</v>
      </c>
      <c r="S388" s="361">
        <f t="shared" si="68"/>
        <v>0</v>
      </c>
    </row>
    <row r="389" spans="1:19">
      <c r="A389" s="159"/>
      <c r="B389" s="59"/>
      <c r="C389" s="24">
        <f t="shared" si="59"/>
        <v>1</v>
      </c>
      <c r="D389" s="719"/>
      <c r="E389" s="24">
        <f t="shared" si="60"/>
        <v>1</v>
      </c>
      <c r="F389" s="719"/>
      <c r="G389" s="24">
        <f t="shared" si="61"/>
        <v>1</v>
      </c>
      <c r="H389" s="719"/>
      <c r="I389" s="24">
        <f t="shared" si="62"/>
        <v>1</v>
      </c>
      <c r="J389" s="719"/>
      <c r="K389" s="24">
        <f t="shared" si="63"/>
        <v>1</v>
      </c>
      <c r="L389" s="719"/>
      <c r="M389" s="24">
        <f t="shared" si="64"/>
        <v>1</v>
      </c>
      <c r="N389" s="719"/>
      <c r="O389" s="24">
        <f t="shared" si="65"/>
        <v>1</v>
      </c>
      <c r="P389" s="719"/>
      <c r="Q389" s="24">
        <f t="shared" si="66"/>
        <v>1</v>
      </c>
      <c r="R389" s="715">
        <f t="shared" si="67"/>
        <v>0</v>
      </c>
      <c r="S389" s="361">
        <f t="shared" si="68"/>
        <v>0</v>
      </c>
    </row>
    <row r="390" spans="1:19">
      <c r="A390" s="159"/>
      <c r="B390" s="59"/>
      <c r="C390" s="24">
        <f t="shared" si="59"/>
        <v>1</v>
      </c>
      <c r="D390" s="719"/>
      <c r="E390" s="24">
        <f t="shared" si="60"/>
        <v>1</v>
      </c>
      <c r="F390" s="719"/>
      <c r="G390" s="24">
        <f t="shared" si="61"/>
        <v>1</v>
      </c>
      <c r="H390" s="719"/>
      <c r="I390" s="24">
        <f t="shared" si="62"/>
        <v>1</v>
      </c>
      <c r="J390" s="719"/>
      <c r="K390" s="24">
        <f t="shared" si="63"/>
        <v>1</v>
      </c>
      <c r="L390" s="719"/>
      <c r="M390" s="24">
        <f t="shared" si="64"/>
        <v>1</v>
      </c>
      <c r="N390" s="719"/>
      <c r="O390" s="24">
        <f t="shared" si="65"/>
        <v>1</v>
      </c>
      <c r="P390" s="719"/>
      <c r="Q390" s="24">
        <f t="shared" si="66"/>
        <v>1</v>
      </c>
      <c r="R390" s="715">
        <f t="shared" si="67"/>
        <v>0</v>
      </c>
      <c r="S390" s="361">
        <f t="shared" si="68"/>
        <v>0</v>
      </c>
    </row>
    <row r="391" spans="1:19">
      <c r="A391" s="159"/>
      <c r="B391" s="59"/>
      <c r="C391" s="24">
        <f t="shared" si="59"/>
        <v>1</v>
      </c>
      <c r="D391" s="719"/>
      <c r="E391" s="24">
        <f t="shared" si="60"/>
        <v>1</v>
      </c>
      <c r="F391" s="719"/>
      <c r="G391" s="24">
        <f t="shared" si="61"/>
        <v>1</v>
      </c>
      <c r="H391" s="719"/>
      <c r="I391" s="24">
        <f t="shared" si="62"/>
        <v>1</v>
      </c>
      <c r="J391" s="719"/>
      <c r="K391" s="24">
        <f t="shared" si="63"/>
        <v>1</v>
      </c>
      <c r="L391" s="719"/>
      <c r="M391" s="24">
        <f t="shared" si="64"/>
        <v>1</v>
      </c>
      <c r="N391" s="719"/>
      <c r="O391" s="24">
        <f t="shared" si="65"/>
        <v>1</v>
      </c>
      <c r="P391" s="719"/>
      <c r="Q391" s="24">
        <f t="shared" si="66"/>
        <v>1</v>
      </c>
      <c r="R391" s="715">
        <f t="shared" si="67"/>
        <v>0</v>
      </c>
      <c r="S391" s="361">
        <f t="shared" si="68"/>
        <v>0</v>
      </c>
    </row>
    <row r="392" spans="1:19">
      <c r="A392" s="159"/>
      <c r="B392" s="59"/>
      <c r="C392" s="24">
        <f t="shared" si="59"/>
        <v>1</v>
      </c>
      <c r="D392" s="719"/>
      <c r="E392" s="24">
        <f t="shared" si="60"/>
        <v>1</v>
      </c>
      <c r="F392" s="719"/>
      <c r="G392" s="24">
        <f t="shared" si="61"/>
        <v>1</v>
      </c>
      <c r="H392" s="719"/>
      <c r="I392" s="24">
        <f t="shared" si="62"/>
        <v>1</v>
      </c>
      <c r="J392" s="719"/>
      <c r="K392" s="24">
        <f t="shared" si="63"/>
        <v>1</v>
      </c>
      <c r="L392" s="719"/>
      <c r="M392" s="24">
        <f t="shared" si="64"/>
        <v>1</v>
      </c>
      <c r="N392" s="719"/>
      <c r="O392" s="24">
        <f t="shared" si="65"/>
        <v>1</v>
      </c>
      <c r="P392" s="719"/>
      <c r="Q392" s="24">
        <f t="shared" si="66"/>
        <v>1</v>
      </c>
      <c r="R392" s="715">
        <f t="shared" si="67"/>
        <v>0</v>
      </c>
      <c r="S392" s="361">
        <f t="shared" si="68"/>
        <v>0</v>
      </c>
    </row>
    <row r="393" spans="1:19">
      <c r="A393" s="159"/>
      <c r="B393" s="59"/>
      <c r="C393" s="24">
        <f t="shared" si="59"/>
        <v>1</v>
      </c>
      <c r="D393" s="719"/>
      <c r="E393" s="24">
        <f t="shared" si="60"/>
        <v>1</v>
      </c>
      <c r="F393" s="719"/>
      <c r="G393" s="24">
        <f t="shared" si="61"/>
        <v>1</v>
      </c>
      <c r="H393" s="719"/>
      <c r="I393" s="24">
        <f t="shared" si="62"/>
        <v>1</v>
      </c>
      <c r="J393" s="719"/>
      <c r="K393" s="24">
        <f t="shared" si="63"/>
        <v>1</v>
      </c>
      <c r="L393" s="719"/>
      <c r="M393" s="24">
        <f t="shared" si="64"/>
        <v>1</v>
      </c>
      <c r="N393" s="719"/>
      <c r="O393" s="24">
        <f t="shared" si="65"/>
        <v>1</v>
      </c>
      <c r="P393" s="719"/>
      <c r="Q393" s="24">
        <f t="shared" si="66"/>
        <v>1</v>
      </c>
      <c r="R393" s="715">
        <f t="shared" si="67"/>
        <v>0</v>
      </c>
      <c r="S393" s="361">
        <f t="shared" si="68"/>
        <v>0</v>
      </c>
    </row>
    <row r="394" spans="1:19">
      <c r="A394" s="159"/>
      <c r="B394" s="59"/>
      <c r="C394" s="24">
        <f t="shared" si="59"/>
        <v>1</v>
      </c>
      <c r="D394" s="719"/>
      <c r="E394" s="24">
        <f t="shared" si="60"/>
        <v>1</v>
      </c>
      <c r="F394" s="719"/>
      <c r="G394" s="24">
        <f t="shared" si="61"/>
        <v>1</v>
      </c>
      <c r="H394" s="719"/>
      <c r="I394" s="24">
        <f t="shared" si="62"/>
        <v>1</v>
      </c>
      <c r="J394" s="719"/>
      <c r="K394" s="24">
        <f t="shared" si="63"/>
        <v>1</v>
      </c>
      <c r="L394" s="719"/>
      <c r="M394" s="24">
        <f t="shared" si="64"/>
        <v>1</v>
      </c>
      <c r="N394" s="719"/>
      <c r="O394" s="24">
        <f t="shared" si="65"/>
        <v>1</v>
      </c>
      <c r="P394" s="719"/>
      <c r="Q394" s="24">
        <f t="shared" si="66"/>
        <v>1</v>
      </c>
      <c r="R394" s="715">
        <f t="shared" si="67"/>
        <v>0</v>
      </c>
      <c r="S394" s="361">
        <f t="shared" si="68"/>
        <v>0</v>
      </c>
    </row>
    <row r="395" spans="1:19">
      <c r="A395" s="159"/>
      <c r="B395" s="59"/>
      <c r="C395" s="24">
        <f t="shared" si="59"/>
        <v>1</v>
      </c>
      <c r="D395" s="719"/>
      <c r="E395" s="24">
        <f t="shared" si="60"/>
        <v>1</v>
      </c>
      <c r="F395" s="719"/>
      <c r="G395" s="24">
        <f t="shared" si="61"/>
        <v>1</v>
      </c>
      <c r="H395" s="719"/>
      <c r="I395" s="24">
        <f t="shared" si="62"/>
        <v>1</v>
      </c>
      <c r="J395" s="719"/>
      <c r="K395" s="24">
        <f t="shared" si="63"/>
        <v>1</v>
      </c>
      <c r="L395" s="719"/>
      <c r="M395" s="24">
        <f t="shared" si="64"/>
        <v>1</v>
      </c>
      <c r="N395" s="719"/>
      <c r="O395" s="24">
        <f t="shared" si="65"/>
        <v>1</v>
      </c>
      <c r="P395" s="719"/>
      <c r="Q395" s="24">
        <f t="shared" si="66"/>
        <v>1</v>
      </c>
      <c r="R395" s="715">
        <f t="shared" si="67"/>
        <v>0</v>
      </c>
      <c r="S395" s="361">
        <f t="shared" si="68"/>
        <v>0</v>
      </c>
    </row>
    <row r="396" spans="1:19">
      <c r="A396" s="159"/>
      <c r="B396" s="59"/>
      <c r="C396" s="24">
        <f t="shared" si="59"/>
        <v>1</v>
      </c>
      <c r="D396" s="719"/>
      <c r="E396" s="24">
        <f t="shared" si="60"/>
        <v>1</v>
      </c>
      <c r="F396" s="719"/>
      <c r="G396" s="24">
        <f t="shared" si="61"/>
        <v>1</v>
      </c>
      <c r="H396" s="719"/>
      <c r="I396" s="24">
        <f t="shared" si="62"/>
        <v>1</v>
      </c>
      <c r="J396" s="719"/>
      <c r="K396" s="24">
        <f t="shared" si="63"/>
        <v>1</v>
      </c>
      <c r="L396" s="719"/>
      <c r="M396" s="24">
        <f t="shared" si="64"/>
        <v>1</v>
      </c>
      <c r="N396" s="719"/>
      <c r="O396" s="24">
        <f t="shared" si="65"/>
        <v>1</v>
      </c>
      <c r="P396" s="719"/>
      <c r="Q396" s="24">
        <f t="shared" si="66"/>
        <v>1</v>
      </c>
      <c r="R396" s="715">
        <f t="shared" si="67"/>
        <v>0</v>
      </c>
      <c r="S396" s="361">
        <f t="shared" si="68"/>
        <v>0</v>
      </c>
    </row>
    <row r="397" spans="1:19">
      <c r="A397" s="159"/>
      <c r="B397" s="59"/>
      <c r="C397" s="24">
        <f t="shared" si="59"/>
        <v>1</v>
      </c>
      <c r="D397" s="719"/>
      <c r="E397" s="24">
        <f t="shared" si="60"/>
        <v>1</v>
      </c>
      <c r="F397" s="719"/>
      <c r="G397" s="24">
        <f t="shared" si="61"/>
        <v>1</v>
      </c>
      <c r="H397" s="719"/>
      <c r="I397" s="24">
        <f t="shared" si="62"/>
        <v>1</v>
      </c>
      <c r="J397" s="719"/>
      <c r="K397" s="24">
        <f t="shared" si="63"/>
        <v>1</v>
      </c>
      <c r="L397" s="719"/>
      <c r="M397" s="24">
        <f t="shared" si="64"/>
        <v>1</v>
      </c>
      <c r="N397" s="719"/>
      <c r="O397" s="24">
        <f t="shared" si="65"/>
        <v>1</v>
      </c>
      <c r="P397" s="719"/>
      <c r="Q397" s="24">
        <f t="shared" si="66"/>
        <v>1</v>
      </c>
      <c r="R397" s="715">
        <f t="shared" si="67"/>
        <v>0</v>
      </c>
      <c r="S397" s="361">
        <f t="shared" si="68"/>
        <v>0</v>
      </c>
    </row>
    <row r="398" spans="1:19">
      <c r="A398" s="159"/>
      <c r="B398" s="59"/>
      <c r="C398" s="24">
        <f t="shared" si="59"/>
        <v>1</v>
      </c>
      <c r="D398" s="719"/>
      <c r="E398" s="24">
        <f t="shared" si="60"/>
        <v>1</v>
      </c>
      <c r="F398" s="719"/>
      <c r="G398" s="24">
        <f t="shared" si="61"/>
        <v>1</v>
      </c>
      <c r="H398" s="719"/>
      <c r="I398" s="24">
        <f t="shared" si="62"/>
        <v>1</v>
      </c>
      <c r="J398" s="719"/>
      <c r="K398" s="24">
        <f t="shared" si="63"/>
        <v>1</v>
      </c>
      <c r="L398" s="719"/>
      <c r="M398" s="24">
        <f t="shared" si="64"/>
        <v>1</v>
      </c>
      <c r="N398" s="719"/>
      <c r="O398" s="24">
        <f t="shared" si="65"/>
        <v>1</v>
      </c>
      <c r="P398" s="719"/>
      <c r="Q398" s="24">
        <f t="shared" si="66"/>
        <v>1</v>
      </c>
      <c r="R398" s="715">
        <f t="shared" si="67"/>
        <v>0</v>
      </c>
      <c r="S398" s="361">
        <f t="shared" si="68"/>
        <v>0</v>
      </c>
    </row>
    <row r="399" spans="1:19">
      <c r="A399" s="159"/>
      <c r="B399" s="59"/>
      <c r="C399" s="24">
        <f t="shared" si="59"/>
        <v>1</v>
      </c>
      <c r="D399" s="719"/>
      <c r="E399" s="24">
        <f t="shared" si="60"/>
        <v>1</v>
      </c>
      <c r="F399" s="719"/>
      <c r="G399" s="24">
        <f t="shared" si="61"/>
        <v>1</v>
      </c>
      <c r="H399" s="719"/>
      <c r="I399" s="24">
        <f t="shared" si="62"/>
        <v>1</v>
      </c>
      <c r="J399" s="719"/>
      <c r="K399" s="24">
        <f t="shared" si="63"/>
        <v>1</v>
      </c>
      <c r="L399" s="719"/>
      <c r="M399" s="24">
        <f t="shared" si="64"/>
        <v>1</v>
      </c>
      <c r="N399" s="719"/>
      <c r="O399" s="24">
        <f t="shared" si="65"/>
        <v>1</v>
      </c>
      <c r="P399" s="719"/>
      <c r="Q399" s="24">
        <f t="shared" si="66"/>
        <v>1</v>
      </c>
      <c r="R399" s="715">
        <f t="shared" si="67"/>
        <v>0</v>
      </c>
      <c r="S399" s="361">
        <f t="shared" si="68"/>
        <v>0</v>
      </c>
    </row>
    <row r="400" spans="1:19">
      <c r="A400" s="159"/>
      <c r="B400" s="59"/>
      <c r="C400" s="24">
        <f t="shared" si="59"/>
        <v>1</v>
      </c>
      <c r="D400" s="719"/>
      <c r="E400" s="24">
        <f t="shared" si="60"/>
        <v>1</v>
      </c>
      <c r="F400" s="719"/>
      <c r="G400" s="24">
        <f t="shared" si="61"/>
        <v>1</v>
      </c>
      <c r="H400" s="719"/>
      <c r="I400" s="24">
        <f t="shared" si="62"/>
        <v>1</v>
      </c>
      <c r="J400" s="719"/>
      <c r="K400" s="24">
        <f t="shared" si="63"/>
        <v>1</v>
      </c>
      <c r="L400" s="719"/>
      <c r="M400" s="24">
        <f t="shared" si="64"/>
        <v>1</v>
      </c>
      <c r="N400" s="719"/>
      <c r="O400" s="24">
        <f t="shared" si="65"/>
        <v>1</v>
      </c>
      <c r="P400" s="719"/>
      <c r="Q400" s="24">
        <f t="shared" si="66"/>
        <v>1</v>
      </c>
      <c r="R400" s="715">
        <f t="shared" si="67"/>
        <v>0</v>
      </c>
      <c r="S400" s="361">
        <f t="shared" si="68"/>
        <v>0</v>
      </c>
    </row>
    <row r="401" spans="1:19">
      <c r="A401" s="159"/>
      <c r="B401" s="59"/>
      <c r="C401" s="24">
        <f t="shared" si="59"/>
        <v>1</v>
      </c>
      <c r="D401" s="719"/>
      <c r="E401" s="24">
        <f t="shared" si="60"/>
        <v>1</v>
      </c>
      <c r="F401" s="719"/>
      <c r="G401" s="24">
        <f t="shared" si="61"/>
        <v>1</v>
      </c>
      <c r="H401" s="719"/>
      <c r="I401" s="24">
        <f t="shared" si="62"/>
        <v>1</v>
      </c>
      <c r="J401" s="719"/>
      <c r="K401" s="24">
        <f t="shared" si="63"/>
        <v>1</v>
      </c>
      <c r="L401" s="719"/>
      <c r="M401" s="24">
        <f t="shared" si="64"/>
        <v>1</v>
      </c>
      <c r="N401" s="719"/>
      <c r="O401" s="24">
        <f t="shared" si="65"/>
        <v>1</v>
      </c>
      <c r="P401" s="719"/>
      <c r="Q401" s="24">
        <f t="shared" si="66"/>
        <v>1</v>
      </c>
      <c r="R401" s="715">
        <f t="shared" si="67"/>
        <v>0</v>
      </c>
      <c r="S401" s="361">
        <f t="shared" si="68"/>
        <v>0</v>
      </c>
    </row>
    <row r="402" spans="1:19">
      <c r="A402" s="159"/>
      <c r="B402" s="59"/>
      <c r="C402" s="24">
        <f t="shared" si="59"/>
        <v>1</v>
      </c>
      <c r="D402" s="719"/>
      <c r="E402" s="24">
        <f t="shared" si="60"/>
        <v>1</v>
      </c>
      <c r="F402" s="719"/>
      <c r="G402" s="24">
        <f t="shared" si="61"/>
        <v>1</v>
      </c>
      <c r="H402" s="719"/>
      <c r="I402" s="24">
        <f t="shared" si="62"/>
        <v>1</v>
      </c>
      <c r="J402" s="719"/>
      <c r="K402" s="24">
        <f t="shared" si="63"/>
        <v>1</v>
      </c>
      <c r="L402" s="719"/>
      <c r="M402" s="24">
        <f t="shared" si="64"/>
        <v>1</v>
      </c>
      <c r="N402" s="719"/>
      <c r="O402" s="24">
        <f t="shared" si="65"/>
        <v>1</v>
      </c>
      <c r="P402" s="719"/>
      <c r="Q402" s="24">
        <f t="shared" si="66"/>
        <v>1</v>
      </c>
      <c r="R402" s="715">
        <f t="shared" si="67"/>
        <v>0</v>
      </c>
      <c r="S402" s="361">
        <f t="shared" si="68"/>
        <v>0</v>
      </c>
    </row>
    <row r="403" spans="1:19">
      <c r="A403" s="159"/>
      <c r="B403" s="59"/>
      <c r="C403" s="24">
        <f t="shared" si="59"/>
        <v>1</v>
      </c>
      <c r="D403" s="719"/>
      <c r="E403" s="24">
        <f t="shared" si="60"/>
        <v>1</v>
      </c>
      <c r="F403" s="719"/>
      <c r="G403" s="24">
        <f t="shared" si="61"/>
        <v>1</v>
      </c>
      <c r="H403" s="719"/>
      <c r="I403" s="24">
        <f t="shared" si="62"/>
        <v>1</v>
      </c>
      <c r="J403" s="719"/>
      <c r="K403" s="24">
        <f t="shared" si="63"/>
        <v>1</v>
      </c>
      <c r="L403" s="719"/>
      <c r="M403" s="24">
        <f t="shared" si="64"/>
        <v>1</v>
      </c>
      <c r="N403" s="719"/>
      <c r="O403" s="24">
        <f t="shared" si="65"/>
        <v>1</v>
      </c>
      <c r="P403" s="719"/>
      <c r="Q403" s="24">
        <f t="shared" si="66"/>
        <v>1</v>
      </c>
      <c r="R403" s="715">
        <f t="shared" si="67"/>
        <v>0</v>
      </c>
      <c r="S403" s="361">
        <f t="shared" si="68"/>
        <v>0</v>
      </c>
    </row>
    <row r="404" spans="1:19">
      <c r="A404" s="159"/>
      <c r="B404" s="59"/>
      <c r="C404" s="24">
        <f t="shared" si="59"/>
        <v>1</v>
      </c>
      <c r="D404" s="719"/>
      <c r="E404" s="24">
        <f t="shared" si="60"/>
        <v>1</v>
      </c>
      <c r="F404" s="719"/>
      <c r="G404" s="24">
        <f t="shared" si="61"/>
        <v>1</v>
      </c>
      <c r="H404" s="719"/>
      <c r="I404" s="24">
        <f t="shared" si="62"/>
        <v>1</v>
      </c>
      <c r="J404" s="719"/>
      <c r="K404" s="24">
        <f t="shared" si="63"/>
        <v>1</v>
      </c>
      <c r="L404" s="719"/>
      <c r="M404" s="24">
        <f t="shared" si="64"/>
        <v>1</v>
      </c>
      <c r="N404" s="719"/>
      <c r="O404" s="24">
        <f t="shared" si="65"/>
        <v>1</v>
      </c>
      <c r="P404" s="719"/>
      <c r="Q404" s="24">
        <f t="shared" si="66"/>
        <v>1</v>
      </c>
      <c r="R404" s="715">
        <f t="shared" si="67"/>
        <v>0</v>
      </c>
      <c r="S404" s="361">
        <f t="shared" si="68"/>
        <v>0</v>
      </c>
    </row>
    <row r="405" spans="1:19">
      <c r="A405" s="159"/>
      <c r="B405" s="59"/>
      <c r="C405" s="24">
        <f t="shared" si="59"/>
        <v>1</v>
      </c>
      <c r="D405" s="719"/>
      <c r="E405" s="24">
        <f t="shared" si="60"/>
        <v>1</v>
      </c>
      <c r="F405" s="719"/>
      <c r="G405" s="24">
        <f t="shared" si="61"/>
        <v>1</v>
      </c>
      <c r="H405" s="719"/>
      <c r="I405" s="24">
        <f t="shared" si="62"/>
        <v>1</v>
      </c>
      <c r="J405" s="719"/>
      <c r="K405" s="24">
        <f t="shared" si="63"/>
        <v>1</v>
      </c>
      <c r="L405" s="719"/>
      <c r="M405" s="24">
        <f t="shared" si="64"/>
        <v>1</v>
      </c>
      <c r="N405" s="719"/>
      <c r="O405" s="24">
        <f t="shared" si="65"/>
        <v>1</v>
      </c>
      <c r="P405" s="719"/>
      <c r="Q405" s="24">
        <f t="shared" si="66"/>
        <v>1</v>
      </c>
      <c r="R405" s="715">
        <f t="shared" si="67"/>
        <v>0</v>
      </c>
      <c r="S405" s="361">
        <f t="shared" si="68"/>
        <v>0</v>
      </c>
    </row>
    <row r="406" spans="1:19">
      <c r="A406" s="159"/>
      <c r="B406" s="59"/>
      <c r="C406" s="24">
        <f t="shared" si="59"/>
        <v>1</v>
      </c>
      <c r="D406" s="719"/>
      <c r="E406" s="24">
        <f t="shared" si="60"/>
        <v>1</v>
      </c>
      <c r="F406" s="719"/>
      <c r="G406" s="24">
        <f t="shared" si="61"/>
        <v>1</v>
      </c>
      <c r="H406" s="719"/>
      <c r="I406" s="24">
        <f t="shared" si="62"/>
        <v>1</v>
      </c>
      <c r="J406" s="719"/>
      <c r="K406" s="24">
        <f t="shared" si="63"/>
        <v>1</v>
      </c>
      <c r="L406" s="719"/>
      <c r="M406" s="24">
        <f t="shared" si="64"/>
        <v>1</v>
      </c>
      <c r="N406" s="719"/>
      <c r="O406" s="24">
        <f t="shared" si="65"/>
        <v>1</v>
      </c>
      <c r="P406" s="719"/>
      <c r="Q406" s="24">
        <f t="shared" si="66"/>
        <v>1</v>
      </c>
      <c r="R406" s="715">
        <f t="shared" si="67"/>
        <v>0</v>
      </c>
      <c r="S406" s="361">
        <f t="shared" si="68"/>
        <v>0</v>
      </c>
    </row>
    <row r="407" spans="1:19">
      <c r="A407" s="159"/>
      <c r="B407" s="59"/>
      <c r="C407" s="24">
        <f t="shared" si="59"/>
        <v>1</v>
      </c>
      <c r="D407" s="719"/>
      <c r="E407" s="24">
        <f t="shared" si="60"/>
        <v>1</v>
      </c>
      <c r="F407" s="719"/>
      <c r="G407" s="24">
        <f t="shared" si="61"/>
        <v>1</v>
      </c>
      <c r="H407" s="719"/>
      <c r="I407" s="24">
        <f t="shared" si="62"/>
        <v>1</v>
      </c>
      <c r="J407" s="719"/>
      <c r="K407" s="24">
        <f t="shared" si="63"/>
        <v>1</v>
      </c>
      <c r="L407" s="719"/>
      <c r="M407" s="24">
        <f t="shared" si="64"/>
        <v>1</v>
      </c>
      <c r="N407" s="719"/>
      <c r="O407" s="24">
        <f t="shared" si="65"/>
        <v>1</v>
      </c>
      <c r="P407" s="719"/>
      <c r="Q407" s="24">
        <f t="shared" si="66"/>
        <v>1</v>
      </c>
      <c r="R407" s="715">
        <f t="shared" si="67"/>
        <v>0</v>
      </c>
      <c r="S407" s="361">
        <f t="shared" si="68"/>
        <v>0</v>
      </c>
    </row>
    <row r="408" spans="1:19">
      <c r="A408" s="159"/>
      <c r="B408" s="59"/>
      <c r="C408" s="24">
        <f t="shared" si="59"/>
        <v>1</v>
      </c>
      <c r="D408" s="719"/>
      <c r="E408" s="24">
        <f t="shared" si="60"/>
        <v>1</v>
      </c>
      <c r="F408" s="719"/>
      <c r="G408" s="24">
        <f t="shared" si="61"/>
        <v>1</v>
      </c>
      <c r="H408" s="719"/>
      <c r="I408" s="24">
        <f t="shared" si="62"/>
        <v>1</v>
      </c>
      <c r="J408" s="719"/>
      <c r="K408" s="24">
        <f t="shared" si="63"/>
        <v>1</v>
      </c>
      <c r="L408" s="719"/>
      <c r="M408" s="24">
        <f t="shared" si="64"/>
        <v>1</v>
      </c>
      <c r="N408" s="719"/>
      <c r="O408" s="24">
        <f t="shared" si="65"/>
        <v>1</v>
      </c>
      <c r="P408" s="719"/>
      <c r="Q408" s="24">
        <f t="shared" si="66"/>
        <v>1</v>
      </c>
      <c r="R408" s="715">
        <f t="shared" si="67"/>
        <v>0</v>
      </c>
      <c r="S408" s="361">
        <f t="shared" si="68"/>
        <v>0</v>
      </c>
    </row>
    <row r="409" spans="1:19">
      <c r="A409" s="159"/>
      <c r="B409" s="59"/>
      <c r="C409" s="24">
        <f t="shared" si="59"/>
        <v>1</v>
      </c>
      <c r="D409" s="719"/>
      <c r="E409" s="24">
        <f t="shared" si="60"/>
        <v>1</v>
      </c>
      <c r="F409" s="719"/>
      <c r="G409" s="24">
        <f t="shared" si="61"/>
        <v>1</v>
      </c>
      <c r="H409" s="719"/>
      <c r="I409" s="24">
        <f t="shared" si="62"/>
        <v>1</v>
      </c>
      <c r="J409" s="719"/>
      <c r="K409" s="24">
        <f t="shared" si="63"/>
        <v>1</v>
      </c>
      <c r="L409" s="719"/>
      <c r="M409" s="24">
        <f t="shared" si="64"/>
        <v>1</v>
      </c>
      <c r="N409" s="719"/>
      <c r="O409" s="24">
        <f t="shared" si="65"/>
        <v>1</v>
      </c>
      <c r="P409" s="719"/>
      <c r="Q409" s="24">
        <f t="shared" si="66"/>
        <v>1</v>
      </c>
      <c r="R409" s="715">
        <f t="shared" si="67"/>
        <v>0</v>
      </c>
      <c r="S409" s="361">
        <f t="shared" si="68"/>
        <v>0</v>
      </c>
    </row>
    <row r="410" spans="1:19">
      <c r="A410" s="159"/>
      <c r="B410" s="59"/>
      <c r="C410" s="24">
        <f t="shared" ref="C410:C473" si="69">IF(B410="",1,(LOOKUP(B410,$3:$3,$4:$4)-LOOKUP($B$24,$3:$3,$4:$4)+100)/100)</f>
        <v>1</v>
      </c>
      <c r="D410" s="719"/>
      <c r="E410" s="24">
        <f t="shared" ref="E410:E473" si="70">(SUMIF($5:$5,D410,$6:$6)-SUMIF($5:$5,$D$24,$6:$6)+100)/100</f>
        <v>1</v>
      </c>
      <c r="F410" s="719"/>
      <c r="G410" s="24">
        <f t="shared" ref="G410:G473" si="71">(SUMIF($7:$7,F410,$8:$8)-SUMIF($7:$7,$F$24,$8:$8)+100)/100</f>
        <v>1</v>
      </c>
      <c r="H410" s="719"/>
      <c r="I410" s="24">
        <f t="shared" ref="I410:I473" si="72">(SUMIF($9:$9,H410,$10:$10)-SUMIF($9:$9,$H$24,$10:$10)+100)/100</f>
        <v>1</v>
      </c>
      <c r="J410" s="719"/>
      <c r="K410" s="24">
        <f t="shared" ref="K410:K473" si="73">(SUMIF($11:$11,J410,$12:$12)-SUMIF($11:$11,$J$24,$12:$12)+100)/100</f>
        <v>1</v>
      </c>
      <c r="L410" s="719"/>
      <c r="M410" s="24">
        <f t="shared" ref="M410:M473" si="74">(SUMIF($13:$13,L410,$14:$14)-SUMIF($13:$13,$L$24,$14:$14)+100)/100</f>
        <v>1</v>
      </c>
      <c r="N410" s="719"/>
      <c r="O410" s="24">
        <f t="shared" ref="O410:O473" si="75">(SUMIF($15:$15,N410,$16:$16)-SUMIF($15:$15,$N$24,$16:$16)+100)/100</f>
        <v>1</v>
      </c>
      <c r="P410" s="719"/>
      <c r="Q410" s="24">
        <f t="shared" ref="Q410:Q473" si="76">(SUMIF($17:$17,P410,$18:$18)-SUMIF($17:$17,$P$24,$18:$18)+100)/100</f>
        <v>1</v>
      </c>
      <c r="R410" s="715">
        <f t="shared" ref="R410:R473" si="77">IF(B410="",0,ROUND($R$24*C410*E410*G410*I410*K410*M410*O410*Q410,0))</f>
        <v>0</v>
      </c>
      <c r="S410" s="361">
        <f t="shared" si="68"/>
        <v>0</v>
      </c>
    </row>
    <row r="411" spans="1:19">
      <c r="A411" s="159"/>
      <c r="B411" s="59"/>
      <c r="C411" s="24">
        <f t="shared" si="69"/>
        <v>1</v>
      </c>
      <c r="D411" s="719"/>
      <c r="E411" s="24">
        <f t="shared" si="70"/>
        <v>1</v>
      </c>
      <c r="F411" s="719"/>
      <c r="G411" s="24">
        <f t="shared" si="71"/>
        <v>1</v>
      </c>
      <c r="H411" s="719"/>
      <c r="I411" s="24">
        <f t="shared" si="72"/>
        <v>1</v>
      </c>
      <c r="J411" s="719"/>
      <c r="K411" s="24">
        <f t="shared" si="73"/>
        <v>1</v>
      </c>
      <c r="L411" s="719"/>
      <c r="M411" s="24">
        <f t="shared" si="74"/>
        <v>1</v>
      </c>
      <c r="N411" s="719"/>
      <c r="O411" s="24">
        <f t="shared" si="75"/>
        <v>1</v>
      </c>
      <c r="P411" s="719"/>
      <c r="Q411" s="24">
        <f t="shared" si="76"/>
        <v>1</v>
      </c>
      <c r="R411" s="715">
        <f t="shared" si="77"/>
        <v>0</v>
      </c>
      <c r="S411" s="361">
        <f t="shared" si="68"/>
        <v>0</v>
      </c>
    </row>
    <row r="412" spans="1:19">
      <c r="A412" s="159"/>
      <c r="B412" s="59"/>
      <c r="C412" s="24">
        <f t="shared" si="69"/>
        <v>1</v>
      </c>
      <c r="D412" s="719"/>
      <c r="E412" s="24">
        <f t="shared" si="70"/>
        <v>1</v>
      </c>
      <c r="F412" s="719"/>
      <c r="G412" s="24">
        <f t="shared" si="71"/>
        <v>1</v>
      </c>
      <c r="H412" s="719"/>
      <c r="I412" s="24">
        <f t="shared" si="72"/>
        <v>1</v>
      </c>
      <c r="J412" s="719"/>
      <c r="K412" s="24">
        <f t="shared" si="73"/>
        <v>1</v>
      </c>
      <c r="L412" s="719"/>
      <c r="M412" s="24">
        <f t="shared" si="74"/>
        <v>1</v>
      </c>
      <c r="N412" s="719"/>
      <c r="O412" s="24">
        <f t="shared" si="75"/>
        <v>1</v>
      </c>
      <c r="P412" s="719"/>
      <c r="Q412" s="24">
        <f t="shared" si="76"/>
        <v>1</v>
      </c>
      <c r="R412" s="715">
        <f t="shared" si="77"/>
        <v>0</v>
      </c>
      <c r="S412" s="361">
        <f t="shared" si="68"/>
        <v>0</v>
      </c>
    </row>
    <row r="413" spans="1:19">
      <c r="A413" s="159"/>
      <c r="B413" s="59"/>
      <c r="C413" s="24">
        <f t="shared" si="69"/>
        <v>1</v>
      </c>
      <c r="D413" s="719"/>
      <c r="E413" s="24">
        <f t="shared" si="70"/>
        <v>1</v>
      </c>
      <c r="F413" s="719"/>
      <c r="G413" s="24">
        <f t="shared" si="71"/>
        <v>1</v>
      </c>
      <c r="H413" s="719"/>
      <c r="I413" s="24">
        <f t="shared" si="72"/>
        <v>1</v>
      </c>
      <c r="J413" s="719"/>
      <c r="K413" s="24">
        <f t="shared" si="73"/>
        <v>1</v>
      </c>
      <c r="L413" s="719"/>
      <c r="M413" s="24">
        <f t="shared" si="74"/>
        <v>1</v>
      </c>
      <c r="N413" s="719"/>
      <c r="O413" s="24">
        <f t="shared" si="75"/>
        <v>1</v>
      </c>
      <c r="P413" s="719"/>
      <c r="Q413" s="24">
        <f t="shared" si="76"/>
        <v>1</v>
      </c>
      <c r="R413" s="715">
        <f t="shared" si="77"/>
        <v>0</v>
      </c>
      <c r="S413" s="361">
        <f t="shared" si="68"/>
        <v>0</v>
      </c>
    </row>
    <row r="414" spans="1:19">
      <c r="A414" s="159"/>
      <c r="B414" s="59"/>
      <c r="C414" s="24">
        <f t="shared" si="69"/>
        <v>1</v>
      </c>
      <c r="D414" s="719"/>
      <c r="E414" s="24">
        <f t="shared" si="70"/>
        <v>1</v>
      </c>
      <c r="F414" s="719"/>
      <c r="G414" s="24">
        <f t="shared" si="71"/>
        <v>1</v>
      </c>
      <c r="H414" s="719"/>
      <c r="I414" s="24">
        <f t="shared" si="72"/>
        <v>1</v>
      </c>
      <c r="J414" s="719"/>
      <c r="K414" s="24">
        <f t="shared" si="73"/>
        <v>1</v>
      </c>
      <c r="L414" s="719"/>
      <c r="M414" s="24">
        <f t="shared" si="74"/>
        <v>1</v>
      </c>
      <c r="N414" s="719"/>
      <c r="O414" s="24">
        <f t="shared" si="75"/>
        <v>1</v>
      </c>
      <c r="P414" s="719"/>
      <c r="Q414" s="24">
        <f t="shared" si="76"/>
        <v>1</v>
      </c>
      <c r="R414" s="715">
        <f t="shared" si="77"/>
        <v>0</v>
      </c>
      <c r="S414" s="361">
        <f t="shared" si="68"/>
        <v>0</v>
      </c>
    </row>
    <row r="415" spans="1:19">
      <c r="A415" s="159"/>
      <c r="B415" s="59"/>
      <c r="C415" s="24">
        <f t="shared" si="69"/>
        <v>1</v>
      </c>
      <c r="D415" s="719"/>
      <c r="E415" s="24">
        <f t="shared" si="70"/>
        <v>1</v>
      </c>
      <c r="F415" s="719"/>
      <c r="G415" s="24">
        <f t="shared" si="71"/>
        <v>1</v>
      </c>
      <c r="H415" s="719"/>
      <c r="I415" s="24">
        <f t="shared" si="72"/>
        <v>1</v>
      </c>
      <c r="J415" s="719"/>
      <c r="K415" s="24">
        <f t="shared" si="73"/>
        <v>1</v>
      </c>
      <c r="L415" s="719"/>
      <c r="M415" s="24">
        <f t="shared" si="74"/>
        <v>1</v>
      </c>
      <c r="N415" s="719"/>
      <c r="O415" s="24">
        <f t="shared" si="75"/>
        <v>1</v>
      </c>
      <c r="P415" s="719"/>
      <c r="Q415" s="24">
        <f t="shared" si="76"/>
        <v>1</v>
      </c>
      <c r="R415" s="715">
        <f t="shared" si="77"/>
        <v>0</v>
      </c>
      <c r="S415" s="361">
        <f t="shared" si="68"/>
        <v>0</v>
      </c>
    </row>
    <row r="416" spans="1:19">
      <c r="A416" s="159"/>
      <c r="B416" s="59"/>
      <c r="C416" s="24">
        <f t="shared" si="69"/>
        <v>1</v>
      </c>
      <c r="D416" s="719"/>
      <c r="E416" s="24">
        <f t="shared" si="70"/>
        <v>1</v>
      </c>
      <c r="F416" s="719"/>
      <c r="G416" s="24">
        <f t="shared" si="71"/>
        <v>1</v>
      </c>
      <c r="H416" s="719"/>
      <c r="I416" s="24">
        <f t="shared" si="72"/>
        <v>1</v>
      </c>
      <c r="J416" s="719"/>
      <c r="K416" s="24">
        <f t="shared" si="73"/>
        <v>1</v>
      </c>
      <c r="L416" s="719"/>
      <c r="M416" s="24">
        <f t="shared" si="74"/>
        <v>1</v>
      </c>
      <c r="N416" s="719"/>
      <c r="O416" s="24">
        <f t="shared" si="75"/>
        <v>1</v>
      </c>
      <c r="P416" s="719"/>
      <c r="Q416" s="24">
        <f t="shared" si="76"/>
        <v>1</v>
      </c>
      <c r="R416" s="715">
        <f t="shared" si="77"/>
        <v>0</v>
      </c>
      <c r="S416" s="361">
        <f t="shared" si="68"/>
        <v>0</v>
      </c>
    </row>
    <row r="417" spans="1:19">
      <c r="A417" s="159"/>
      <c r="B417" s="59"/>
      <c r="C417" s="24">
        <f t="shared" si="69"/>
        <v>1</v>
      </c>
      <c r="D417" s="719"/>
      <c r="E417" s="24">
        <f t="shared" si="70"/>
        <v>1</v>
      </c>
      <c r="F417" s="719"/>
      <c r="G417" s="24">
        <f t="shared" si="71"/>
        <v>1</v>
      </c>
      <c r="H417" s="719"/>
      <c r="I417" s="24">
        <f t="shared" si="72"/>
        <v>1</v>
      </c>
      <c r="J417" s="719"/>
      <c r="K417" s="24">
        <f t="shared" si="73"/>
        <v>1</v>
      </c>
      <c r="L417" s="719"/>
      <c r="M417" s="24">
        <f t="shared" si="74"/>
        <v>1</v>
      </c>
      <c r="N417" s="719"/>
      <c r="O417" s="24">
        <f t="shared" si="75"/>
        <v>1</v>
      </c>
      <c r="P417" s="719"/>
      <c r="Q417" s="24">
        <f t="shared" si="76"/>
        <v>1</v>
      </c>
      <c r="R417" s="715">
        <f t="shared" si="77"/>
        <v>0</v>
      </c>
      <c r="S417" s="361">
        <f t="shared" si="68"/>
        <v>0</v>
      </c>
    </row>
    <row r="418" spans="1:19">
      <c r="A418" s="159"/>
      <c r="B418" s="59"/>
      <c r="C418" s="24">
        <f t="shared" si="69"/>
        <v>1</v>
      </c>
      <c r="D418" s="719"/>
      <c r="E418" s="24">
        <f t="shared" si="70"/>
        <v>1</v>
      </c>
      <c r="F418" s="719"/>
      <c r="G418" s="24">
        <f t="shared" si="71"/>
        <v>1</v>
      </c>
      <c r="H418" s="719"/>
      <c r="I418" s="24">
        <f t="shared" si="72"/>
        <v>1</v>
      </c>
      <c r="J418" s="719"/>
      <c r="K418" s="24">
        <f t="shared" si="73"/>
        <v>1</v>
      </c>
      <c r="L418" s="719"/>
      <c r="M418" s="24">
        <f t="shared" si="74"/>
        <v>1</v>
      </c>
      <c r="N418" s="719"/>
      <c r="O418" s="24">
        <f t="shared" si="75"/>
        <v>1</v>
      </c>
      <c r="P418" s="719"/>
      <c r="Q418" s="24">
        <f t="shared" si="76"/>
        <v>1</v>
      </c>
      <c r="R418" s="715">
        <f t="shared" si="77"/>
        <v>0</v>
      </c>
      <c r="S418" s="361">
        <f t="shared" si="68"/>
        <v>0</v>
      </c>
    </row>
    <row r="419" spans="1:19">
      <c r="A419" s="159"/>
      <c r="B419" s="59"/>
      <c r="C419" s="24">
        <f t="shared" si="69"/>
        <v>1</v>
      </c>
      <c r="D419" s="719"/>
      <c r="E419" s="24">
        <f t="shared" si="70"/>
        <v>1</v>
      </c>
      <c r="F419" s="719"/>
      <c r="G419" s="24">
        <f t="shared" si="71"/>
        <v>1</v>
      </c>
      <c r="H419" s="719"/>
      <c r="I419" s="24">
        <f t="shared" si="72"/>
        <v>1</v>
      </c>
      <c r="J419" s="719"/>
      <c r="K419" s="24">
        <f t="shared" si="73"/>
        <v>1</v>
      </c>
      <c r="L419" s="719"/>
      <c r="M419" s="24">
        <f t="shared" si="74"/>
        <v>1</v>
      </c>
      <c r="N419" s="719"/>
      <c r="O419" s="24">
        <f t="shared" si="75"/>
        <v>1</v>
      </c>
      <c r="P419" s="719"/>
      <c r="Q419" s="24">
        <f t="shared" si="76"/>
        <v>1</v>
      </c>
      <c r="R419" s="715">
        <f t="shared" si="77"/>
        <v>0</v>
      </c>
      <c r="S419" s="361">
        <f t="shared" si="68"/>
        <v>0</v>
      </c>
    </row>
    <row r="420" spans="1:19">
      <c r="A420" s="159"/>
      <c r="B420" s="59"/>
      <c r="C420" s="24">
        <f t="shared" si="69"/>
        <v>1</v>
      </c>
      <c r="D420" s="719"/>
      <c r="E420" s="24">
        <f t="shared" si="70"/>
        <v>1</v>
      </c>
      <c r="F420" s="719"/>
      <c r="G420" s="24">
        <f t="shared" si="71"/>
        <v>1</v>
      </c>
      <c r="H420" s="719"/>
      <c r="I420" s="24">
        <f t="shared" si="72"/>
        <v>1</v>
      </c>
      <c r="J420" s="719"/>
      <c r="K420" s="24">
        <f t="shared" si="73"/>
        <v>1</v>
      </c>
      <c r="L420" s="719"/>
      <c r="M420" s="24">
        <f t="shared" si="74"/>
        <v>1</v>
      </c>
      <c r="N420" s="719"/>
      <c r="O420" s="24">
        <f t="shared" si="75"/>
        <v>1</v>
      </c>
      <c r="P420" s="719"/>
      <c r="Q420" s="24">
        <f t="shared" si="76"/>
        <v>1</v>
      </c>
      <c r="R420" s="715">
        <f t="shared" si="77"/>
        <v>0</v>
      </c>
      <c r="S420" s="361">
        <f t="shared" si="68"/>
        <v>0</v>
      </c>
    </row>
    <row r="421" spans="1:19">
      <c r="A421" s="159"/>
      <c r="B421" s="59"/>
      <c r="C421" s="24">
        <f t="shared" si="69"/>
        <v>1</v>
      </c>
      <c r="D421" s="719"/>
      <c r="E421" s="24">
        <f t="shared" si="70"/>
        <v>1</v>
      </c>
      <c r="F421" s="719"/>
      <c r="G421" s="24">
        <f t="shared" si="71"/>
        <v>1</v>
      </c>
      <c r="H421" s="719"/>
      <c r="I421" s="24">
        <f t="shared" si="72"/>
        <v>1</v>
      </c>
      <c r="J421" s="719"/>
      <c r="K421" s="24">
        <f t="shared" si="73"/>
        <v>1</v>
      </c>
      <c r="L421" s="719"/>
      <c r="M421" s="24">
        <f t="shared" si="74"/>
        <v>1</v>
      </c>
      <c r="N421" s="719"/>
      <c r="O421" s="24">
        <f t="shared" si="75"/>
        <v>1</v>
      </c>
      <c r="P421" s="719"/>
      <c r="Q421" s="24">
        <f t="shared" si="76"/>
        <v>1</v>
      </c>
      <c r="R421" s="715">
        <f t="shared" si="77"/>
        <v>0</v>
      </c>
      <c r="S421" s="361">
        <f t="shared" si="68"/>
        <v>0</v>
      </c>
    </row>
    <row r="422" spans="1:19">
      <c r="A422" s="159"/>
      <c r="B422" s="59"/>
      <c r="C422" s="24">
        <f t="shared" si="69"/>
        <v>1</v>
      </c>
      <c r="D422" s="719"/>
      <c r="E422" s="24">
        <f t="shared" si="70"/>
        <v>1</v>
      </c>
      <c r="F422" s="719"/>
      <c r="G422" s="24">
        <f t="shared" si="71"/>
        <v>1</v>
      </c>
      <c r="H422" s="719"/>
      <c r="I422" s="24">
        <f t="shared" si="72"/>
        <v>1</v>
      </c>
      <c r="J422" s="719"/>
      <c r="K422" s="24">
        <f t="shared" si="73"/>
        <v>1</v>
      </c>
      <c r="L422" s="719"/>
      <c r="M422" s="24">
        <f t="shared" si="74"/>
        <v>1</v>
      </c>
      <c r="N422" s="719"/>
      <c r="O422" s="24">
        <f t="shared" si="75"/>
        <v>1</v>
      </c>
      <c r="P422" s="719"/>
      <c r="Q422" s="24">
        <f t="shared" si="76"/>
        <v>1</v>
      </c>
      <c r="R422" s="715">
        <f t="shared" si="77"/>
        <v>0</v>
      </c>
      <c r="S422" s="361">
        <f t="shared" si="68"/>
        <v>0</v>
      </c>
    </row>
    <row r="423" spans="1:19">
      <c r="A423" s="159"/>
      <c r="B423" s="59"/>
      <c r="C423" s="24">
        <f t="shared" si="69"/>
        <v>1</v>
      </c>
      <c r="D423" s="719"/>
      <c r="E423" s="24">
        <f t="shared" si="70"/>
        <v>1</v>
      </c>
      <c r="F423" s="719"/>
      <c r="G423" s="24">
        <f t="shared" si="71"/>
        <v>1</v>
      </c>
      <c r="H423" s="719"/>
      <c r="I423" s="24">
        <f t="shared" si="72"/>
        <v>1</v>
      </c>
      <c r="J423" s="719"/>
      <c r="K423" s="24">
        <f t="shared" si="73"/>
        <v>1</v>
      </c>
      <c r="L423" s="719"/>
      <c r="M423" s="24">
        <f t="shared" si="74"/>
        <v>1</v>
      </c>
      <c r="N423" s="719"/>
      <c r="O423" s="24">
        <f t="shared" si="75"/>
        <v>1</v>
      </c>
      <c r="P423" s="719"/>
      <c r="Q423" s="24">
        <f t="shared" si="76"/>
        <v>1</v>
      </c>
      <c r="R423" s="715">
        <f t="shared" si="77"/>
        <v>0</v>
      </c>
      <c r="S423" s="361">
        <f t="shared" ref="S423:S467" si="78">ROUND(R423*B423/10000,0)</f>
        <v>0</v>
      </c>
    </row>
    <row r="424" spans="1:19">
      <c r="A424" s="159"/>
      <c r="B424" s="59"/>
      <c r="C424" s="24">
        <f t="shared" si="69"/>
        <v>1</v>
      </c>
      <c r="D424" s="719"/>
      <c r="E424" s="24">
        <f t="shared" si="70"/>
        <v>1</v>
      </c>
      <c r="F424" s="719"/>
      <c r="G424" s="24">
        <f t="shared" si="71"/>
        <v>1</v>
      </c>
      <c r="H424" s="719"/>
      <c r="I424" s="24">
        <f t="shared" si="72"/>
        <v>1</v>
      </c>
      <c r="J424" s="719"/>
      <c r="K424" s="24">
        <f t="shared" si="73"/>
        <v>1</v>
      </c>
      <c r="L424" s="719"/>
      <c r="M424" s="24">
        <f t="shared" si="74"/>
        <v>1</v>
      </c>
      <c r="N424" s="719"/>
      <c r="O424" s="24">
        <f t="shared" si="75"/>
        <v>1</v>
      </c>
      <c r="P424" s="719"/>
      <c r="Q424" s="24">
        <f t="shared" si="76"/>
        <v>1</v>
      </c>
      <c r="R424" s="715">
        <f t="shared" si="77"/>
        <v>0</v>
      </c>
      <c r="S424" s="361">
        <f t="shared" si="78"/>
        <v>0</v>
      </c>
    </row>
    <row r="425" spans="1:19">
      <c r="A425" s="159"/>
      <c r="B425" s="59"/>
      <c r="C425" s="24">
        <f t="shared" si="69"/>
        <v>1</v>
      </c>
      <c r="D425" s="719"/>
      <c r="E425" s="24">
        <f t="shared" si="70"/>
        <v>1</v>
      </c>
      <c r="F425" s="719"/>
      <c r="G425" s="24">
        <f t="shared" si="71"/>
        <v>1</v>
      </c>
      <c r="H425" s="719"/>
      <c r="I425" s="24">
        <f t="shared" si="72"/>
        <v>1</v>
      </c>
      <c r="J425" s="719"/>
      <c r="K425" s="24">
        <f t="shared" si="73"/>
        <v>1</v>
      </c>
      <c r="L425" s="719"/>
      <c r="M425" s="24">
        <f t="shared" si="74"/>
        <v>1</v>
      </c>
      <c r="N425" s="719"/>
      <c r="O425" s="24">
        <f t="shared" si="75"/>
        <v>1</v>
      </c>
      <c r="P425" s="719"/>
      <c r="Q425" s="24">
        <f t="shared" si="76"/>
        <v>1</v>
      </c>
      <c r="R425" s="715">
        <f t="shared" si="77"/>
        <v>0</v>
      </c>
      <c r="S425" s="361">
        <f t="shared" si="78"/>
        <v>0</v>
      </c>
    </row>
    <row r="426" spans="1:19">
      <c r="A426" s="159"/>
      <c r="B426" s="59"/>
      <c r="C426" s="24">
        <f t="shared" si="69"/>
        <v>1</v>
      </c>
      <c r="D426" s="719"/>
      <c r="E426" s="24">
        <f t="shared" si="70"/>
        <v>1</v>
      </c>
      <c r="F426" s="719"/>
      <c r="G426" s="24">
        <f t="shared" si="71"/>
        <v>1</v>
      </c>
      <c r="H426" s="719"/>
      <c r="I426" s="24">
        <f t="shared" si="72"/>
        <v>1</v>
      </c>
      <c r="J426" s="719"/>
      <c r="K426" s="24">
        <f t="shared" si="73"/>
        <v>1</v>
      </c>
      <c r="L426" s="719"/>
      <c r="M426" s="24">
        <f t="shared" si="74"/>
        <v>1</v>
      </c>
      <c r="N426" s="719"/>
      <c r="O426" s="24">
        <f t="shared" si="75"/>
        <v>1</v>
      </c>
      <c r="P426" s="719"/>
      <c r="Q426" s="24">
        <f t="shared" si="76"/>
        <v>1</v>
      </c>
      <c r="R426" s="715">
        <f t="shared" si="77"/>
        <v>0</v>
      </c>
      <c r="S426" s="361">
        <f t="shared" si="78"/>
        <v>0</v>
      </c>
    </row>
    <row r="427" spans="1:19">
      <c r="A427" s="159"/>
      <c r="B427" s="59"/>
      <c r="C427" s="24">
        <f t="shared" si="69"/>
        <v>1</v>
      </c>
      <c r="D427" s="719"/>
      <c r="E427" s="24">
        <f t="shared" si="70"/>
        <v>1</v>
      </c>
      <c r="F427" s="719"/>
      <c r="G427" s="24">
        <f t="shared" si="71"/>
        <v>1</v>
      </c>
      <c r="H427" s="719"/>
      <c r="I427" s="24">
        <f t="shared" si="72"/>
        <v>1</v>
      </c>
      <c r="J427" s="719"/>
      <c r="K427" s="24">
        <f t="shared" si="73"/>
        <v>1</v>
      </c>
      <c r="L427" s="719"/>
      <c r="M427" s="24">
        <f t="shared" si="74"/>
        <v>1</v>
      </c>
      <c r="N427" s="719"/>
      <c r="O427" s="24">
        <f t="shared" si="75"/>
        <v>1</v>
      </c>
      <c r="P427" s="719"/>
      <c r="Q427" s="24">
        <f t="shared" si="76"/>
        <v>1</v>
      </c>
      <c r="R427" s="715">
        <f t="shared" si="77"/>
        <v>0</v>
      </c>
      <c r="S427" s="361">
        <f t="shared" si="78"/>
        <v>0</v>
      </c>
    </row>
    <row r="428" spans="1:19">
      <c r="A428" s="159"/>
      <c r="B428" s="59"/>
      <c r="C428" s="24">
        <f t="shared" si="69"/>
        <v>1</v>
      </c>
      <c r="D428" s="719"/>
      <c r="E428" s="24">
        <f t="shared" si="70"/>
        <v>1</v>
      </c>
      <c r="F428" s="719"/>
      <c r="G428" s="24">
        <f t="shared" si="71"/>
        <v>1</v>
      </c>
      <c r="H428" s="719"/>
      <c r="I428" s="24">
        <f t="shared" si="72"/>
        <v>1</v>
      </c>
      <c r="J428" s="719"/>
      <c r="K428" s="24">
        <f t="shared" si="73"/>
        <v>1</v>
      </c>
      <c r="L428" s="719"/>
      <c r="M428" s="24">
        <f t="shared" si="74"/>
        <v>1</v>
      </c>
      <c r="N428" s="719"/>
      <c r="O428" s="24">
        <f t="shared" si="75"/>
        <v>1</v>
      </c>
      <c r="P428" s="719"/>
      <c r="Q428" s="24">
        <f t="shared" si="76"/>
        <v>1</v>
      </c>
      <c r="R428" s="715">
        <f t="shared" si="77"/>
        <v>0</v>
      </c>
      <c r="S428" s="361">
        <f t="shared" si="78"/>
        <v>0</v>
      </c>
    </row>
    <row r="429" spans="1:19">
      <c r="A429" s="159"/>
      <c r="B429" s="59"/>
      <c r="C429" s="24">
        <f t="shared" si="69"/>
        <v>1</v>
      </c>
      <c r="D429" s="719"/>
      <c r="E429" s="24">
        <f t="shared" si="70"/>
        <v>1</v>
      </c>
      <c r="F429" s="719"/>
      <c r="G429" s="24">
        <f t="shared" si="71"/>
        <v>1</v>
      </c>
      <c r="H429" s="719"/>
      <c r="I429" s="24">
        <f t="shared" si="72"/>
        <v>1</v>
      </c>
      <c r="J429" s="719"/>
      <c r="K429" s="24">
        <f t="shared" si="73"/>
        <v>1</v>
      </c>
      <c r="L429" s="719"/>
      <c r="M429" s="24">
        <f t="shared" si="74"/>
        <v>1</v>
      </c>
      <c r="N429" s="719"/>
      <c r="O429" s="24">
        <f t="shared" si="75"/>
        <v>1</v>
      </c>
      <c r="P429" s="719"/>
      <c r="Q429" s="24">
        <f t="shared" si="76"/>
        <v>1</v>
      </c>
      <c r="R429" s="715">
        <f t="shared" si="77"/>
        <v>0</v>
      </c>
      <c r="S429" s="361">
        <f t="shared" si="78"/>
        <v>0</v>
      </c>
    </row>
    <row r="430" spans="1:19">
      <c r="A430" s="159"/>
      <c r="B430" s="59"/>
      <c r="C430" s="24">
        <f t="shared" si="69"/>
        <v>1</v>
      </c>
      <c r="D430" s="719"/>
      <c r="E430" s="24">
        <f t="shared" si="70"/>
        <v>1</v>
      </c>
      <c r="F430" s="719"/>
      <c r="G430" s="24">
        <f t="shared" si="71"/>
        <v>1</v>
      </c>
      <c r="H430" s="719"/>
      <c r="I430" s="24">
        <f t="shared" si="72"/>
        <v>1</v>
      </c>
      <c r="J430" s="719"/>
      <c r="K430" s="24">
        <f t="shared" si="73"/>
        <v>1</v>
      </c>
      <c r="L430" s="719"/>
      <c r="M430" s="24">
        <f t="shared" si="74"/>
        <v>1</v>
      </c>
      <c r="N430" s="719"/>
      <c r="O430" s="24">
        <f t="shared" si="75"/>
        <v>1</v>
      </c>
      <c r="P430" s="719"/>
      <c r="Q430" s="24">
        <f t="shared" si="76"/>
        <v>1</v>
      </c>
      <c r="R430" s="715">
        <f t="shared" si="77"/>
        <v>0</v>
      </c>
      <c r="S430" s="361">
        <f t="shared" si="78"/>
        <v>0</v>
      </c>
    </row>
    <row r="431" spans="1:19">
      <c r="A431" s="159"/>
      <c r="B431" s="59"/>
      <c r="C431" s="24">
        <f t="shared" si="69"/>
        <v>1</v>
      </c>
      <c r="D431" s="719"/>
      <c r="E431" s="24">
        <f t="shared" si="70"/>
        <v>1</v>
      </c>
      <c r="F431" s="719"/>
      <c r="G431" s="24">
        <f t="shared" si="71"/>
        <v>1</v>
      </c>
      <c r="H431" s="719"/>
      <c r="I431" s="24">
        <f t="shared" si="72"/>
        <v>1</v>
      </c>
      <c r="J431" s="719"/>
      <c r="K431" s="24">
        <f t="shared" si="73"/>
        <v>1</v>
      </c>
      <c r="L431" s="719"/>
      <c r="M431" s="24">
        <f t="shared" si="74"/>
        <v>1</v>
      </c>
      <c r="N431" s="719"/>
      <c r="O431" s="24">
        <f t="shared" si="75"/>
        <v>1</v>
      </c>
      <c r="P431" s="719"/>
      <c r="Q431" s="24">
        <f t="shared" si="76"/>
        <v>1</v>
      </c>
      <c r="R431" s="715">
        <f t="shared" si="77"/>
        <v>0</v>
      </c>
      <c r="S431" s="361">
        <f t="shared" si="78"/>
        <v>0</v>
      </c>
    </row>
    <row r="432" spans="1:19">
      <c r="A432" s="159"/>
      <c r="B432" s="59"/>
      <c r="C432" s="24">
        <f t="shared" si="69"/>
        <v>1</v>
      </c>
      <c r="D432" s="719"/>
      <c r="E432" s="24">
        <f t="shared" si="70"/>
        <v>1</v>
      </c>
      <c r="F432" s="719"/>
      <c r="G432" s="24">
        <f t="shared" si="71"/>
        <v>1</v>
      </c>
      <c r="H432" s="719"/>
      <c r="I432" s="24">
        <f t="shared" si="72"/>
        <v>1</v>
      </c>
      <c r="J432" s="719"/>
      <c r="K432" s="24">
        <f t="shared" si="73"/>
        <v>1</v>
      </c>
      <c r="L432" s="719"/>
      <c r="M432" s="24">
        <f t="shared" si="74"/>
        <v>1</v>
      </c>
      <c r="N432" s="719"/>
      <c r="O432" s="24">
        <f t="shared" si="75"/>
        <v>1</v>
      </c>
      <c r="P432" s="719"/>
      <c r="Q432" s="24">
        <f t="shared" si="76"/>
        <v>1</v>
      </c>
      <c r="R432" s="715">
        <f t="shared" si="77"/>
        <v>0</v>
      </c>
      <c r="S432" s="361">
        <f t="shared" si="78"/>
        <v>0</v>
      </c>
    </row>
    <row r="433" spans="1:19">
      <c r="A433" s="159"/>
      <c r="B433" s="59"/>
      <c r="C433" s="24">
        <f t="shared" si="69"/>
        <v>1</v>
      </c>
      <c r="D433" s="719"/>
      <c r="E433" s="24">
        <f t="shared" si="70"/>
        <v>1</v>
      </c>
      <c r="F433" s="719"/>
      <c r="G433" s="24">
        <f t="shared" si="71"/>
        <v>1</v>
      </c>
      <c r="H433" s="719"/>
      <c r="I433" s="24">
        <f t="shared" si="72"/>
        <v>1</v>
      </c>
      <c r="J433" s="719"/>
      <c r="K433" s="24">
        <f t="shared" si="73"/>
        <v>1</v>
      </c>
      <c r="L433" s="719"/>
      <c r="M433" s="24">
        <f t="shared" si="74"/>
        <v>1</v>
      </c>
      <c r="N433" s="719"/>
      <c r="O433" s="24">
        <f t="shared" si="75"/>
        <v>1</v>
      </c>
      <c r="P433" s="719"/>
      <c r="Q433" s="24">
        <f t="shared" si="76"/>
        <v>1</v>
      </c>
      <c r="R433" s="715">
        <f t="shared" si="77"/>
        <v>0</v>
      </c>
      <c r="S433" s="361">
        <f t="shared" si="78"/>
        <v>0</v>
      </c>
    </row>
    <row r="434" spans="1:19">
      <c r="A434" s="159"/>
      <c r="B434" s="59"/>
      <c r="C434" s="24">
        <f t="shared" si="69"/>
        <v>1</v>
      </c>
      <c r="D434" s="719"/>
      <c r="E434" s="24">
        <f t="shared" si="70"/>
        <v>1</v>
      </c>
      <c r="F434" s="719"/>
      <c r="G434" s="24">
        <f t="shared" si="71"/>
        <v>1</v>
      </c>
      <c r="H434" s="719"/>
      <c r="I434" s="24">
        <f t="shared" si="72"/>
        <v>1</v>
      </c>
      <c r="J434" s="719"/>
      <c r="K434" s="24">
        <f t="shared" si="73"/>
        <v>1</v>
      </c>
      <c r="L434" s="719"/>
      <c r="M434" s="24">
        <f t="shared" si="74"/>
        <v>1</v>
      </c>
      <c r="N434" s="719"/>
      <c r="O434" s="24">
        <f t="shared" si="75"/>
        <v>1</v>
      </c>
      <c r="P434" s="719"/>
      <c r="Q434" s="24">
        <f t="shared" si="76"/>
        <v>1</v>
      </c>
      <c r="R434" s="715">
        <f t="shared" si="77"/>
        <v>0</v>
      </c>
      <c r="S434" s="361">
        <f t="shared" si="78"/>
        <v>0</v>
      </c>
    </row>
    <row r="435" spans="1:19">
      <c r="A435" s="159"/>
      <c r="B435" s="59"/>
      <c r="C435" s="24">
        <f t="shared" si="69"/>
        <v>1</v>
      </c>
      <c r="D435" s="719"/>
      <c r="E435" s="24">
        <f t="shared" si="70"/>
        <v>1</v>
      </c>
      <c r="F435" s="719"/>
      <c r="G435" s="24">
        <f t="shared" si="71"/>
        <v>1</v>
      </c>
      <c r="H435" s="719"/>
      <c r="I435" s="24">
        <f t="shared" si="72"/>
        <v>1</v>
      </c>
      <c r="J435" s="719"/>
      <c r="K435" s="24">
        <f t="shared" si="73"/>
        <v>1</v>
      </c>
      <c r="L435" s="719"/>
      <c r="M435" s="24">
        <f t="shared" si="74"/>
        <v>1</v>
      </c>
      <c r="N435" s="719"/>
      <c r="O435" s="24">
        <f t="shared" si="75"/>
        <v>1</v>
      </c>
      <c r="P435" s="719"/>
      <c r="Q435" s="24">
        <f t="shared" si="76"/>
        <v>1</v>
      </c>
      <c r="R435" s="715">
        <f t="shared" si="77"/>
        <v>0</v>
      </c>
      <c r="S435" s="361">
        <f t="shared" si="78"/>
        <v>0</v>
      </c>
    </row>
    <row r="436" spans="1:19">
      <c r="A436" s="159"/>
      <c r="B436" s="59"/>
      <c r="C436" s="24">
        <f t="shared" si="69"/>
        <v>1</v>
      </c>
      <c r="D436" s="719"/>
      <c r="E436" s="24">
        <f t="shared" si="70"/>
        <v>1</v>
      </c>
      <c r="F436" s="719"/>
      <c r="G436" s="24">
        <f t="shared" si="71"/>
        <v>1</v>
      </c>
      <c r="H436" s="719"/>
      <c r="I436" s="24">
        <f t="shared" si="72"/>
        <v>1</v>
      </c>
      <c r="J436" s="719"/>
      <c r="K436" s="24">
        <f t="shared" si="73"/>
        <v>1</v>
      </c>
      <c r="L436" s="719"/>
      <c r="M436" s="24">
        <f t="shared" si="74"/>
        <v>1</v>
      </c>
      <c r="N436" s="719"/>
      <c r="O436" s="24">
        <f t="shared" si="75"/>
        <v>1</v>
      </c>
      <c r="P436" s="719"/>
      <c r="Q436" s="24">
        <f t="shared" si="76"/>
        <v>1</v>
      </c>
      <c r="R436" s="715">
        <f t="shared" si="77"/>
        <v>0</v>
      </c>
      <c r="S436" s="361">
        <f t="shared" si="78"/>
        <v>0</v>
      </c>
    </row>
    <row r="437" spans="1:19">
      <c r="A437" s="159"/>
      <c r="B437" s="59"/>
      <c r="C437" s="24">
        <f t="shared" si="69"/>
        <v>1</v>
      </c>
      <c r="D437" s="719"/>
      <c r="E437" s="24">
        <f t="shared" si="70"/>
        <v>1</v>
      </c>
      <c r="F437" s="719"/>
      <c r="G437" s="24">
        <f t="shared" si="71"/>
        <v>1</v>
      </c>
      <c r="H437" s="719"/>
      <c r="I437" s="24">
        <f t="shared" si="72"/>
        <v>1</v>
      </c>
      <c r="J437" s="719"/>
      <c r="K437" s="24">
        <f t="shared" si="73"/>
        <v>1</v>
      </c>
      <c r="L437" s="719"/>
      <c r="M437" s="24">
        <f t="shared" si="74"/>
        <v>1</v>
      </c>
      <c r="N437" s="719"/>
      <c r="O437" s="24">
        <f t="shared" si="75"/>
        <v>1</v>
      </c>
      <c r="P437" s="719"/>
      <c r="Q437" s="24">
        <f t="shared" si="76"/>
        <v>1</v>
      </c>
      <c r="R437" s="715">
        <f t="shared" si="77"/>
        <v>0</v>
      </c>
      <c r="S437" s="361">
        <f t="shared" si="78"/>
        <v>0</v>
      </c>
    </row>
    <row r="438" spans="1:19">
      <c r="A438" s="159"/>
      <c r="B438" s="59"/>
      <c r="C438" s="24">
        <f t="shared" si="69"/>
        <v>1</v>
      </c>
      <c r="D438" s="719"/>
      <c r="E438" s="24">
        <f t="shared" si="70"/>
        <v>1</v>
      </c>
      <c r="F438" s="719"/>
      <c r="G438" s="24">
        <f t="shared" si="71"/>
        <v>1</v>
      </c>
      <c r="H438" s="719"/>
      <c r="I438" s="24">
        <f t="shared" si="72"/>
        <v>1</v>
      </c>
      <c r="J438" s="719"/>
      <c r="K438" s="24">
        <f t="shared" si="73"/>
        <v>1</v>
      </c>
      <c r="L438" s="719"/>
      <c r="M438" s="24">
        <f t="shared" si="74"/>
        <v>1</v>
      </c>
      <c r="N438" s="719"/>
      <c r="O438" s="24">
        <f t="shared" si="75"/>
        <v>1</v>
      </c>
      <c r="P438" s="719"/>
      <c r="Q438" s="24">
        <f t="shared" si="76"/>
        <v>1</v>
      </c>
      <c r="R438" s="715">
        <f t="shared" si="77"/>
        <v>0</v>
      </c>
      <c r="S438" s="361">
        <f t="shared" si="78"/>
        <v>0</v>
      </c>
    </row>
    <row r="439" spans="1:19">
      <c r="A439" s="159"/>
      <c r="B439" s="59"/>
      <c r="C439" s="24">
        <f t="shared" si="69"/>
        <v>1</v>
      </c>
      <c r="D439" s="719"/>
      <c r="E439" s="24">
        <f t="shared" si="70"/>
        <v>1</v>
      </c>
      <c r="F439" s="719"/>
      <c r="G439" s="24">
        <f t="shared" si="71"/>
        <v>1</v>
      </c>
      <c r="H439" s="719"/>
      <c r="I439" s="24">
        <f t="shared" si="72"/>
        <v>1</v>
      </c>
      <c r="J439" s="719"/>
      <c r="K439" s="24">
        <f t="shared" si="73"/>
        <v>1</v>
      </c>
      <c r="L439" s="719"/>
      <c r="M439" s="24">
        <f t="shared" si="74"/>
        <v>1</v>
      </c>
      <c r="N439" s="719"/>
      <c r="O439" s="24">
        <f t="shared" si="75"/>
        <v>1</v>
      </c>
      <c r="P439" s="719"/>
      <c r="Q439" s="24">
        <f t="shared" si="76"/>
        <v>1</v>
      </c>
      <c r="R439" s="715">
        <f t="shared" si="77"/>
        <v>0</v>
      </c>
      <c r="S439" s="361">
        <f t="shared" si="78"/>
        <v>0</v>
      </c>
    </row>
    <row r="440" spans="1:19">
      <c r="A440" s="159"/>
      <c r="B440" s="59"/>
      <c r="C440" s="24">
        <f t="shared" si="69"/>
        <v>1</v>
      </c>
      <c r="D440" s="719"/>
      <c r="E440" s="24">
        <f t="shared" si="70"/>
        <v>1</v>
      </c>
      <c r="F440" s="719"/>
      <c r="G440" s="24">
        <f t="shared" si="71"/>
        <v>1</v>
      </c>
      <c r="H440" s="719"/>
      <c r="I440" s="24">
        <f t="shared" si="72"/>
        <v>1</v>
      </c>
      <c r="J440" s="719"/>
      <c r="K440" s="24">
        <f t="shared" si="73"/>
        <v>1</v>
      </c>
      <c r="L440" s="719"/>
      <c r="M440" s="24">
        <f t="shared" si="74"/>
        <v>1</v>
      </c>
      <c r="N440" s="719"/>
      <c r="O440" s="24">
        <f t="shared" si="75"/>
        <v>1</v>
      </c>
      <c r="P440" s="719"/>
      <c r="Q440" s="24">
        <f t="shared" si="76"/>
        <v>1</v>
      </c>
      <c r="R440" s="715">
        <f t="shared" si="77"/>
        <v>0</v>
      </c>
      <c r="S440" s="361">
        <f t="shared" si="78"/>
        <v>0</v>
      </c>
    </row>
    <row r="441" spans="1:19">
      <c r="A441" s="159"/>
      <c r="B441" s="59"/>
      <c r="C441" s="24">
        <f t="shared" si="69"/>
        <v>1</v>
      </c>
      <c r="D441" s="719"/>
      <c r="E441" s="24">
        <f t="shared" si="70"/>
        <v>1</v>
      </c>
      <c r="F441" s="719"/>
      <c r="G441" s="24">
        <f t="shared" si="71"/>
        <v>1</v>
      </c>
      <c r="H441" s="719"/>
      <c r="I441" s="24">
        <f t="shared" si="72"/>
        <v>1</v>
      </c>
      <c r="J441" s="719"/>
      <c r="K441" s="24">
        <f t="shared" si="73"/>
        <v>1</v>
      </c>
      <c r="L441" s="719"/>
      <c r="M441" s="24">
        <f t="shared" si="74"/>
        <v>1</v>
      </c>
      <c r="N441" s="719"/>
      <c r="O441" s="24">
        <f t="shared" si="75"/>
        <v>1</v>
      </c>
      <c r="P441" s="719"/>
      <c r="Q441" s="24">
        <f t="shared" si="76"/>
        <v>1</v>
      </c>
      <c r="R441" s="715">
        <f t="shared" si="77"/>
        <v>0</v>
      </c>
      <c r="S441" s="361">
        <f t="shared" si="78"/>
        <v>0</v>
      </c>
    </row>
    <row r="442" spans="1:19">
      <c r="A442" s="159"/>
      <c r="B442" s="59"/>
      <c r="C442" s="24">
        <f t="shared" si="69"/>
        <v>1</v>
      </c>
      <c r="D442" s="719"/>
      <c r="E442" s="24">
        <f t="shared" si="70"/>
        <v>1</v>
      </c>
      <c r="F442" s="719"/>
      <c r="G442" s="24">
        <f t="shared" si="71"/>
        <v>1</v>
      </c>
      <c r="H442" s="719"/>
      <c r="I442" s="24">
        <f t="shared" si="72"/>
        <v>1</v>
      </c>
      <c r="J442" s="719"/>
      <c r="K442" s="24">
        <f t="shared" si="73"/>
        <v>1</v>
      </c>
      <c r="L442" s="719"/>
      <c r="M442" s="24">
        <f t="shared" si="74"/>
        <v>1</v>
      </c>
      <c r="N442" s="719"/>
      <c r="O442" s="24">
        <f t="shared" si="75"/>
        <v>1</v>
      </c>
      <c r="P442" s="719"/>
      <c r="Q442" s="24">
        <f t="shared" si="76"/>
        <v>1</v>
      </c>
      <c r="R442" s="715">
        <f t="shared" si="77"/>
        <v>0</v>
      </c>
      <c r="S442" s="361">
        <f t="shared" si="78"/>
        <v>0</v>
      </c>
    </row>
    <row r="443" spans="1:19">
      <c r="A443" s="159"/>
      <c r="B443" s="59"/>
      <c r="C443" s="24">
        <f t="shared" si="69"/>
        <v>1</v>
      </c>
      <c r="D443" s="719"/>
      <c r="E443" s="24">
        <f t="shared" si="70"/>
        <v>1</v>
      </c>
      <c r="F443" s="719"/>
      <c r="G443" s="24">
        <f t="shared" si="71"/>
        <v>1</v>
      </c>
      <c r="H443" s="719"/>
      <c r="I443" s="24">
        <f t="shared" si="72"/>
        <v>1</v>
      </c>
      <c r="J443" s="719"/>
      <c r="K443" s="24">
        <f t="shared" si="73"/>
        <v>1</v>
      </c>
      <c r="L443" s="719"/>
      <c r="M443" s="24">
        <f t="shared" si="74"/>
        <v>1</v>
      </c>
      <c r="N443" s="719"/>
      <c r="O443" s="24">
        <f t="shared" si="75"/>
        <v>1</v>
      </c>
      <c r="P443" s="719"/>
      <c r="Q443" s="24">
        <f t="shared" si="76"/>
        <v>1</v>
      </c>
      <c r="R443" s="715">
        <f t="shared" si="77"/>
        <v>0</v>
      </c>
      <c r="S443" s="361">
        <f t="shared" si="78"/>
        <v>0</v>
      </c>
    </row>
    <row r="444" spans="1:19">
      <c r="A444" s="159"/>
      <c r="B444" s="59"/>
      <c r="C444" s="24">
        <f t="shared" si="69"/>
        <v>1</v>
      </c>
      <c r="D444" s="719"/>
      <c r="E444" s="24">
        <f t="shared" si="70"/>
        <v>1</v>
      </c>
      <c r="F444" s="719"/>
      <c r="G444" s="24">
        <f t="shared" si="71"/>
        <v>1</v>
      </c>
      <c r="H444" s="719"/>
      <c r="I444" s="24">
        <f t="shared" si="72"/>
        <v>1</v>
      </c>
      <c r="J444" s="719"/>
      <c r="K444" s="24">
        <f t="shared" si="73"/>
        <v>1</v>
      </c>
      <c r="L444" s="719"/>
      <c r="M444" s="24">
        <f t="shared" si="74"/>
        <v>1</v>
      </c>
      <c r="N444" s="719"/>
      <c r="O444" s="24">
        <f t="shared" si="75"/>
        <v>1</v>
      </c>
      <c r="P444" s="719"/>
      <c r="Q444" s="24">
        <f t="shared" si="76"/>
        <v>1</v>
      </c>
      <c r="R444" s="715">
        <f t="shared" si="77"/>
        <v>0</v>
      </c>
      <c r="S444" s="361">
        <f t="shared" si="78"/>
        <v>0</v>
      </c>
    </row>
    <row r="445" spans="1:19">
      <c r="A445" s="159"/>
      <c r="B445" s="59"/>
      <c r="C445" s="24">
        <f t="shared" si="69"/>
        <v>1</v>
      </c>
      <c r="D445" s="719"/>
      <c r="E445" s="24">
        <f t="shared" si="70"/>
        <v>1</v>
      </c>
      <c r="F445" s="719"/>
      <c r="G445" s="24">
        <f t="shared" si="71"/>
        <v>1</v>
      </c>
      <c r="H445" s="719"/>
      <c r="I445" s="24">
        <f t="shared" si="72"/>
        <v>1</v>
      </c>
      <c r="J445" s="719"/>
      <c r="K445" s="24">
        <f t="shared" si="73"/>
        <v>1</v>
      </c>
      <c r="L445" s="719"/>
      <c r="M445" s="24">
        <f t="shared" si="74"/>
        <v>1</v>
      </c>
      <c r="N445" s="719"/>
      <c r="O445" s="24">
        <f t="shared" si="75"/>
        <v>1</v>
      </c>
      <c r="P445" s="719"/>
      <c r="Q445" s="24">
        <f t="shared" si="76"/>
        <v>1</v>
      </c>
      <c r="R445" s="715">
        <f t="shared" si="77"/>
        <v>0</v>
      </c>
      <c r="S445" s="361">
        <f t="shared" si="78"/>
        <v>0</v>
      </c>
    </row>
    <row r="446" spans="1:19">
      <c r="A446" s="159"/>
      <c r="B446" s="59"/>
      <c r="C446" s="24">
        <f t="shared" si="69"/>
        <v>1</v>
      </c>
      <c r="D446" s="719"/>
      <c r="E446" s="24">
        <f t="shared" si="70"/>
        <v>1</v>
      </c>
      <c r="F446" s="719"/>
      <c r="G446" s="24">
        <f t="shared" si="71"/>
        <v>1</v>
      </c>
      <c r="H446" s="719"/>
      <c r="I446" s="24">
        <f t="shared" si="72"/>
        <v>1</v>
      </c>
      <c r="J446" s="719"/>
      <c r="K446" s="24">
        <f t="shared" si="73"/>
        <v>1</v>
      </c>
      <c r="L446" s="719"/>
      <c r="M446" s="24">
        <f t="shared" si="74"/>
        <v>1</v>
      </c>
      <c r="N446" s="719"/>
      <c r="O446" s="24">
        <f t="shared" si="75"/>
        <v>1</v>
      </c>
      <c r="P446" s="719"/>
      <c r="Q446" s="24">
        <f t="shared" si="76"/>
        <v>1</v>
      </c>
      <c r="R446" s="715">
        <f t="shared" si="77"/>
        <v>0</v>
      </c>
      <c r="S446" s="361">
        <f t="shared" si="78"/>
        <v>0</v>
      </c>
    </row>
    <row r="447" spans="1:19">
      <c r="A447" s="159"/>
      <c r="B447" s="59"/>
      <c r="C447" s="24">
        <f t="shared" si="69"/>
        <v>1</v>
      </c>
      <c r="D447" s="719"/>
      <c r="E447" s="24">
        <f t="shared" si="70"/>
        <v>1</v>
      </c>
      <c r="F447" s="719"/>
      <c r="G447" s="24">
        <f t="shared" si="71"/>
        <v>1</v>
      </c>
      <c r="H447" s="719"/>
      <c r="I447" s="24">
        <f t="shared" si="72"/>
        <v>1</v>
      </c>
      <c r="J447" s="719"/>
      <c r="K447" s="24">
        <f t="shared" si="73"/>
        <v>1</v>
      </c>
      <c r="L447" s="719"/>
      <c r="M447" s="24">
        <f t="shared" si="74"/>
        <v>1</v>
      </c>
      <c r="N447" s="719"/>
      <c r="O447" s="24">
        <f t="shared" si="75"/>
        <v>1</v>
      </c>
      <c r="P447" s="719"/>
      <c r="Q447" s="24">
        <f t="shared" si="76"/>
        <v>1</v>
      </c>
      <c r="R447" s="715">
        <f t="shared" si="77"/>
        <v>0</v>
      </c>
      <c r="S447" s="361">
        <f t="shared" si="78"/>
        <v>0</v>
      </c>
    </row>
    <row r="448" spans="1:19">
      <c r="A448" s="159"/>
      <c r="B448" s="59"/>
      <c r="C448" s="24">
        <f t="shared" si="69"/>
        <v>1</v>
      </c>
      <c r="D448" s="719"/>
      <c r="E448" s="24">
        <f t="shared" si="70"/>
        <v>1</v>
      </c>
      <c r="F448" s="719"/>
      <c r="G448" s="24">
        <f t="shared" si="71"/>
        <v>1</v>
      </c>
      <c r="H448" s="719"/>
      <c r="I448" s="24">
        <f t="shared" si="72"/>
        <v>1</v>
      </c>
      <c r="J448" s="719"/>
      <c r="K448" s="24">
        <f t="shared" si="73"/>
        <v>1</v>
      </c>
      <c r="L448" s="719"/>
      <c r="M448" s="24">
        <f t="shared" si="74"/>
        <v>1</v>
      </c>
      <c r="N448" s="719"/>
      <c r="O448" s="24">
        <f t="shared" si="75"/>
        <v>1</v>
      </c>
      <c r="P448" s="719"/>
      <c r="Q448" s="24">
        <f t="shared" si="76"/>
        <v>1</v>
      </c>
      <c r="R448" s="715">
        <f t="shared" si="77"/>
        <v>0</v>
      </c>
      <c r="S448" s="361">
        <f t="shared" si="78"/>
        <v>0</v>
      </c>
    </row>
    <row r="449" spans="1:19">
      <c r="A449" s="159"/>
      <c r="B449" s="59"/>
      <c r="C449" s="24">
        <f t="shared" si="69"/>
        <v>1</v>
      </c>
      <c r="D449" s="719"/>
      <c r="E449" s="24">
        <f t="shared" si="70"/>
        <v>1</v>
      </c>
      <c r="F449" s="719"/>
      <c r="G449" s="24">
        <f t="shared" si="71"/>
        <v>1</v>
      </c>
      <c r="H449" s="719"/>
      <c r="I449" s="24">
        <f t="shared" si="72"/>
        <v>1</v>
      </c>
      <c r="J449" s="719"/>
      <c r="K449" s="24">
        <f t="shared" si="73"/>
        <v>1</v>
      </c>
      <c r="L449" s="719"/>
      <c r="M449" s="24">
        <f t="shared" si="74"/>
        <v>1</v>
      </c>
      <c r="N449" s="719"/>
      <c r="O449" s="24">
        <f t="shared" si="75"/>
        <v>1</v>
      </c>
      <c r="P449" s="719"/>
      <c r="Q449" s="24">
        <f t="shared" si="76"/>
        <v>1</v>
      </c>
      <c r="R449" s="715">
        <f t="shared" si="77"/>
        <v>0</v>
      </c>
      <c r="S449" s="361">
        <f t="shared" si="78"/>
        <v>0</v>
      </c>
    </row>
    <row r="450" spans="1:19">
      <c r="A450" s="159"/>
      <c r="B450" s="59"/>
      <c r="C450" s="24">
        <f t="shared" si="69"/>
        <v>1</v>
      </c>
      <c r="D450" s="719"/>
      <c r="E450" s="24">
        <f t="shared" si="70"/>
        <v>1</v>
      </c>
      <c r="F450" s="719"/>
      <c r="G450" s="24">
        <f t="shared" si="71"/>
        <v>1</v>
      </c>
      <c r="H450" s="719"/>
      <c r="I450" s="24">
        <f t="shared" si="72"/>
        <v>1</v>
      </c>
      <c r="J450" s="719"/>
      <c r="K450" s="24">
        <f t="shared" si="73"/>
        <v>1</v>
      </c>
      <c r="L450" s="719"/>
      <c r="M450" s="24">
        <f t="shared" si="74"/>
        <v>1</v>
      </c>
      <c r="N450" s="719"/>
      <c r="O450" s="24">
        <f t="shared" si="75"/>
        <v>1</v>
      </c>
      <c r="P450" s="719"/>
      <c r="Q450" s="24">
        <f t="shared" si="76"/>
        <v>1</v>
      </c>
      <c r="R450" s="715">
        <f t="shared" si="77"/>
        <v>0</v>
      </c>
      <c r="S450" s="361">
        <f t="shared" si="78"/>
        <v>0</v>
      </c>
    </row>
    <row r="451" spans="1:19">
      <c r="A451" s="159"/>
      <c r="B451" s="59"/>
      <c r="C451" s="24">
        <f t="shared" si="69"/>
        <v>1</v>
      </c>
      <c r="D451" s="719"/>
      <c r="E451" s="24">
        <f t="shared" si="70"/>
        <v>1</v>
      </c>
      <c r="F451" s="719"/>
      <c r="G451" s="24">
        <f t="shared" si="71"/>
        <v>1</v>
      </c>
      <c r="H451" s="719"/>
      <c r="I451" s="24">
        <f t="shared" si="72"/>
        <v>1</v>
      </c>
      <c r="J451" s="719"/>
      <c r="K451" s="24">
        <f t="shared" si="73"/>
        <v>1</v>
      </c>
      <c r="L451" s="719"/>
      <c r="M451" s="24">
        <f t="shared" si="74"/>
        <v>1</v>
      </c>
      <c r="N451" s="719"/>
      <c r="O451" s="24">
        <f t="shared" si="75"/>
        <v>1</v>
      </c>
      <c r="P451" s="719"/>
      <c r="Q451" s="24">
        <f t="shared" si="76"/>
        <v>1</v>
      </c>
      <c r="R451" s="715">
        <f t="shared" si="77"/>
        <v>0</v>
      </c>
      <c r="S451" s="361">
        <f t="shared" si="78"/>
        <v>0</v>
      </c>
    </row>
    <row r="452" spans="1:19">
      <c r="A452" s="159"/>
      <c r="B452" s="59"/>
      <c r="C452" s="24">
        <f t="shared" si="69"/>
        <v>1</v>
      </c>
      <c r="D452" s="719"/>
      <c r="E452" s="24">
        <f t="shared" si="70"/>
        <v>1</v>
      </c>
      <c r="F452" s="719"/>
      <c r="G452" s="24">
        <f t="shared" si="71"/>
        <v>1</v>
      </c>
      <c r="H452" s="719"/>
      <c r="I452" s="24">
        <f t="shared" si="72"/>
        <v>1</v>
      </c>
      <c r="J452" s="719"/>
      <c r="K452" s="24">
        <f t="shared" si="73"/>
        <v>1</v>
      </c>
      <c r="L452" s="719"/>
      <c r="M452" s="24">
        <f t="shared" si="74"/>
        <v>1</v>
      </c>
      <c r="N452" s="719"/>
      <c r="O452" s="24">
        <f t="shared" si="75"/>
        <v>1</v>
      </c>
      <c r="P452" s="719"/>
      <c r="Q452" s="24">
        <f t="shared" si="76"/>
        <v>1</v>
      </c>
      <c r="R452" s="715">
        <f t="shared" si="77"/>
        <v>0</v>
      </c>
      <c r="S452" s="361">
        <f t="shared" si="78"/>
        <v>0</v>
      </c>
    </row>
    <row r="453" spans="1:19">
      <c r="A453" s="159"/>
      <c r="B453" s="59"/>
      <c r="C453" s="24">
        <f t="shared" si="69"/>
        <v>1</v>
      </c>
      <c r="D453" s="719"/>
      <c r="E453" s="24">
        <f t="shared" si="70"/>
        <v>1</v>
      </c>
      <c r="F453" s="719"/>
      <c r="G453" s="24">
        <f t="shared" si="71"/>
        <v>1</v>
      </c>
      <c r="H453" s="719"/>
      <c r="I453" s="24">
        <f t="shared" si="72"/>
        <v>1</v>
      </c>
      <c r="J453" s="719"/>
      <c r="K453" s="24">
        <f t="shared" si="73"/>
        <v>1</v>
      </c>
      <c r="L453" s="719"/>
      <c r="M453" s="24">
        <f t="shared" si="74"/>
        <v>1</v>
      </c>
      <c r="N453" s="719"/>
      <c r="O453" s="24">
        <f t="shared" si="75"/>
        <v>1</v>
      </c>
      <c r="P453" s="719"/>
      <c r="Q453" s="24">
        <f t="shared" si="76"/>
        <v>1</v>
      </c>
      <c r="R453" s="715">
        <f t="shared" si="77"/>
        <v>0</v>
      </c>
      <c r="S453" s="361">
        <f t="shared" si="78"/>
        <v>0</v>
      </c>
    </row>
    <row r="454" spans="1:19">
      <c r="A454" s="159"/>
      <c r="B454" s="59"/>
      <c r="C454" s="24">
        <f t="shared" si="69"/>
        <v>1</v>
      </c>
      <c r="D454" s="719"/>
      <c r="E454" s="24">
        <f t="shared" si="70"/>
        <v>1</v>
      </c>
      <c r="F454" s="719"/>
      <c r="G454" s="24">
        <f t="shared" si="71"/>
        <v>1</v>
      </c>
      <c r="H454" s="719"/>
      <c r="I454" s="24">
        <f t="shared" si="72"/>
        <v>1</v>
      </c>
      <c r="J454" s="719"/>
      <c r="K454" s="24">
        <f t="shared" si="73"/>
        <v>1</v>
      </c>
      <c r="L454" s="719"/>
      <c r="M454" s="24">
        <f t="shared" si="74"/>
        <v>1</v>
      </c>
      <c r="N454" s="719"/>
      <c r="O454" s="24">
        <f t="shared" si="75"/>
        <v>1</v>
      </c>
      <c r="P454" s="719"/>
      <c r="Q454" s="24">
        <f t="shared" si="76"/>
        <v>1</v>
      </c>
      <c r="R454" s="715">
        <f t="shared" si="77"/>
        <v>0</v>
      </c>
      <c r="S454" s="361">
        <f t="shared" si="78"/>
        <v>0</v>
      </c>
    </row>
    <row r="455" spans="1:19">
      <c r="A455" s="159"/>
      <c r="B455" s="59"/>
      <c r="C455" s="24">
        <f t="shared" si="69"/>
        <v>1</v>
      </c>
      <c r="D455" s="719"/>
      <c r="E455" s="24">
        <f t="shared" si="70"/>
        <v>1</v>
      </c>
      <c r="F455" s="719"/>
      <c r="G455" s="24">
        <f t="shared" si="71"/>
        <v>1</v>
      </c>
      <c r="H455" s="719"/>
      <c r="I455" s="24">
        <f t="shared" si="72"/>
        <v>1</v>
      </c>
      <c r="J455" s="719"/>
      <c r="K455" s="24">
        <f t="shared" si="73"/>
        <v>1</v>
      </c>
      <c r="L455" s="719"/>
      <c r="M455" s="24">
        <f t="shared" si="74"/>
        <v>1</v>
      </c>
      <c r="N455" s="719"/>
      <c r="O455" s="24">
        <f t="shared" si="75"/>
        <v>1</v>
      </c>
      <c r="P455" s="719"/>
      <c r="Q455" s="24">
        <f t="shared" si="76"/>
        <v>1</v>
      </c>
      <c r="R455" s="715">
        <f t="shared" si="77"/>
        <v>0</v>
      </c>
      <c r="S455" s="361">
        <f t="shared" si="78"/>
        <v>0</v>
      </c>
    </row>
    <row r="456" spans="1:19">
      <c r="A456" s="159"/>
      <c r="B456" s="59"/>
      <c r="C456" s="24">
        <f t="shared" si="69"/>
        <v>1</v>
      </c>
      <c r="D456" s="719"/>
      <c r="E456" s="24">
        <f t="shared" si="70"/>
        <v>1</v>
      </c>
      <c r="F456" s="719"/>
      <c r="G456" s="24">
        <f t="shared" si="71"/>
        <v>1</v>
      </c>
      <c r="H456" s="719"/>
      <c r="I456" s="24">
        <f t="shared" si="72"/>
        <v>1</v>
      </c>
      <c r="J456" s="719"/>
      <c r="K456" s="24">
        <f t="shared" si="73"/>
        <v>1</v>
      </c>
      <c r="L456" s="719"/>
      <c r="M456" s="24">
        <f t="shared" si="74"/>
        <v>1</v>
      </c>
      <c r="N456" s="719"/>
      <c r="O456" s="24">
        <f t="shared" si="75"/>
        <v>1</v>
      </c>
      <c r="P456" s="719"/>
      <c r="Q456" s="24">
        <f t="shared" si="76"/>
        <v>1</v>
      </c>
      <c r="R456" s="715">
        <f t="shared" si="77"/>
        <v>0</v>
      </c>
      <c r="S456" s="361">
        <f t="shared" si="78"/>
        <v>0</v>
      </c>
    </row>
    <row r="457" spans="1:19">
      <c r="A457" s="159"/>
      <c r="B457" s="59"/>
      <c r="C457" s="24">
        <f t="shared" si="69"/>
        <v>1</v>
      </c>
      <c r="D457" s="719"/>
      <c r="E457" s="24">
        <f t="shared" si="70"/>
        <v>1</v>
      </c>
      <c r="F457" s="719"/>
      <c r="G457" s="24">
        <f t="shared" si="71"/>
        <v>1</v>
      </c>
      <c r="H457" s="719"/>
      <c r="I457" s="24">
        <f t="shared" si="72"/>
        <v>1</v>
      </c>
      <c r="J457" s="719"/>
      <c r="K457" s="24">
        <f t="shared" si="73"/>
        <v>1</v>
      </c>
      <c r="L457" s="719"/>
      <c r="M457" s="24">
        <f t="shared" si="74"/>
        <v>1</v>
      </c>
      <c r="N457" s="719"/>
      <c r="O457" s="24">
        <f t="shared" si="75"/>
        <v>1</v>
      </c>
      <c r="P457" s="719"/>
      <c r="Q457" s="24">
        <f t="shared" si="76"/>
        <v>1</v>
      </c>
      <c r="R457" s="715">
        <f t="shared" si="77"/>
        <v>0</v>
      </c>
      <c r="S457" s="361">
        <f t="shared" si="78"/>
        <v>0</v>
      </c>
    </row>
    <row r="458" spans="1:19">
      <c r="A458" s="159"/>
      <c r="B458" s="59"/>
      <c r="C458" s="24">
        <f t="shared" si="69"/>
        <v>1</v>
      </c>
      <c r="D458" s="719"/>
      <c r="E458" s="24">
        <f t="shared" si="70"/>
        <v>1</v>
      </c>
      <c r="F458" s="719"/>
      <c r="G458" s="24">
        <f t="shared" si="71"/>
        <v>1</v>
      </c>
      <c r="H458" s="719"/>
      <c r="I458" s="24">
        <f t="shared" si="72"/>
        <v>1</v>
      </c>
      <c r="J458" s="719"/>
      <c r="K458" s="24">
        <f t="shared" si="73"/>
        <v>1</v>
      </c>
      <c r="L458" s="719"/>
      <c r="M458" s="24">
        <f t="shared" si="74"/>
        <v>1</v>
      </c>
      <c r="N458" s="719"/>
      <c r="O458" s="24">
        <f t="shared" si="75"/>
        <v>1</v>
      </c>
      <c r="P458" s="719"/>
      <c r="Q458" s="24">
        <f t="shared" si="76"/>
        <v>1</v>
      </c>
      <c r="R458" s="715">
        <f t="shared" si="77"/>
        <v>0</v>
      </c>
      <c r="S458" s="361">
        <f t="shared" si="78"/>
        <v>0</v>
      </c>
    </row>
    <row r="459" spans="1:19">
      <c r="A459" s="159"/>
      <c r="B459" s="59"/>
      <c r="C459" s="24">
        <f t="shared" si="69"/>
        <v>1</v>
      </c>
      <c r="D459" s="719"/>
      <c r="E459" s="24">
        <f t="shared" si="70"/>
        <v>1</v>
      </c>
      <c r="F459" s="719"/>
      <c r="G459" s="24">
        <f t="shared" si="71"/>
        <v>1</v>
      </c>
      <c r="H459" s="719"/>
      <c r="I459" s="24">
        <f t="shared" si="72"/>
        <v>1</v>
      </c>
      <c r="J459" s="719"/>
      <c r="K459" s="24">
        <f t="shared" si="73"/>
        <v>1</v>
      </c>
      <c r="L459" s="719"/>
      <c r="M459" s="24">
        <f t="shared" si="74"/>
        <v>1</v>
      </c>
      <c r="N459" s="719"/>
      <c r="O459" s="24">
        <f t="shared" si="75"/>
        <v>1</v>
      </c>
      <c r="P459" s="719"/>
      <c r="Q459" s="24">
        <f t="shared" si="76"/>
        <v>1</v>
      </c>
      <c r="R459" s="715">
        <f t="shared" si="77"/>
        <v>0</v>
      </c>
      <c r="S459" s="361">
        <f t="shared" si="78"/>
        <v>0</v>
      </c>
    </row>
    <row r="460" spans="1:19">
      <c r="A460" s="159"/>
      <c r="B460" s="59"/>
      <c r="C460" s="24">
        <f t="shared" si="69"/>
        <v>1</v>
      </c>
      <c r="D460" s="719"/>
      <c r="E460" s="24">
        <f t="shared" si="70"/>
        <v>1</v>
      </c>
      <c r="F460" s="719"/>
      <c r="G460" s="24">
        <f t="shared" si="71"/>
        <v>1</v>
      </c>
      <c r="H460" s="719"/>
      <c r="I460" s="24">
        <f t="shared" si="72"/>
        <v>1</v>
      </c>
      <c r="J460" s="719"/>
      <c r="K460" s="24">
        <f t="shared" si="73"/>
        <v>1</v>
      </c>
      <c r="L460" s="719"/>
      <c r="M460" s="24">
        <f t="shared" si="74"/>
        <v>1</v>
      </c>
      <c r="N460" s="719"/>
      <c r="O460" s="24">
        <f t="shared" si="75"/>
        <v>1</v>
      </c>
      <c r="P460" s="719"/>
      <c r="Q460" s="24">
        <f t="shared" si="76"/>
        <v>1</v>
      </c>
      <c r="R460" s="715">
        <f t="shared" si="77"/>
        <v>0</v>
      </c>
      <c r="S460" s="361">
        <f t="shared" si="78"/>
        <v>0</v>
      </c>
    </row>
    <row r="461" spans="1:19">
      <c r="A461" s="159"/>
      <c r="B461" s="59"/>
      <c r="C461" s="24">
        <f t="shared" si="69"/>
        <v>1</v>
      </c>
      <c r="D461" s="719"/>
      <c r="E461" s="24">
        <f t="shared" si="70"/>
        <v>1</v>
      </c>
      <c r="F461" s="719"/>
      <c r="G461" s="24">
        <f t="shared" si="71"/>
        <v>1</v>
      </c>
      <c r="H461" s="719"/>
      <c r="I461" s="24">
        <f t="shared" si="72"/>
        <v>1</v>
      </c>
      <c r="J461" s="719"/>
      <c r="K461" s="24">
        <f t="shared" si="73"/>
        <v>1</v>
      </c>
      <c r="L461" s="719"/>
      <c r="M461" s="24">
        <f t="shared" si="74"/>
        <v>1</v>
      </c>
      <c r="N461" s="719"/>
      <c r="O461" s="24">
        <f t="shared" si="75"/>
        <v>1</v>
      </c>
      <c r="P461" s="719"/>
      <c r="Q461" s="24">
        <f t="shared" si="76"/>
        <v>1</v>
      </c>
      <c r="R461" s="715">
        <f t="shared" si="77"/>
        <v>0</v>
      </c>
      <c r="S461" s="361">
        <f t="shared" si="78"/>
        <v>0</v>
      </c>
    </row>
    <row r="462" spans="1:19">
      <c r="A462" s="159"/>
      <c r="B462" s="59"/>
      <c r="C462" s="24">
        <f t="shared" si="69"/>
        <v>1</v>
      </c>
      <c r="D462" s="719"/>
      <c r="E462" s="24">
        <f t="shared" si="70"/>
        <v>1</v>
      </c>
      <c r="F462" s="719"/>
      <c r="G462" s="24">
        <f t="shared" si="71"/>
        <v>1</v>
      </c>
      <c r="H462" s="719"/>
      <c r="I462" s="24">
        <f t="shared" si="72"/>
        <v>1</v>
      </c>
      <c r="J462" s="719"/>
      <c r="K462" s="24">
        <f t="shared" si="73"/>
        <v>1</v>
      </c>
      <c r="L462" s="719"/>
      <c r="M462" s="24">
        <f t="shared" si="74"/>
        <v>1</v>
      </c>
      <c r="N462" s="719"/>
      <c r="O462" s="24">
        <f t="shared" si="75"/>
        <v>1</v>
      </c>
      <c r="P462" s="719"/>
      <c r="Q462" s="24">
        <f t="shared" si="76"/>
        <v>1</v>
      </c>
      <c r="R462" s="715">
        <f t="shared" si="77"/>
        <v>0</v>
      </c>
      <c r="S462" s="361">
        <f t="shared" si="78"/>
        <v>0</v>
      </c>
    </row>
    <row r="463" spans="1:19">
      <c r="A463" s="159"/>
      <c r="B463" s="59"/>
      <c r="C463" s="24">
        <f t="shared" si="69"/>
        <v>1</v>
      </c>
      <c r="D463" s="719"/>
      <c r="E463" s="24">
        <f t="shared" si="70"/>
        <v>1</v>
      </c>
      <c r="F463" s="719"/>
      <c r="G463" s="24">
        <f t="shared" si="71"/>
        <v>1</v>
      </c>
      <c r="H463" s="719"/>
      <c r="I463" s="24">
        <f t="shared" si="72"/>
        <v>1</v>
      </c>
      <c r="J463" s="719"/>
      <c r="K463" s="24">
        <f t="shared" si="73"/>
        <v>1</v>
      </c>
      <c r="L463" s="719"/>
      <c r="M463" s="24">
        <f t="shared" si="74"/>
        <v>1</v>
      </c>
      <c r="N463" s="719"/>
      <c r="O463" s="24">
        <f t="shared" si="75"/>
        <v>1</v>
      </c>
      <c r="P463" s="719"/>
      <c r="Q463" s="24">
        <f t="shared" si="76"/>
        <v>1</v>
      </c>
      <c r="R463" s="715">
        <f t="shared" si="77"/>
        <v>0</v>
      </c>
      <c r="S463" s="361">
        <f t="shared" si="78"/>
        <v>0</v>
      </c>
    </row>
    <row r="464" spans="1:19">
      <c r="A464" s="159"/>
      <c r="B464" s="59"/>
      <c r="C464" s="24">
        <f t="shared" si="69"/>
        <v>1</v>
      </c>
      <c r="D464" s="719"/>
      <c r="E464" s="24">
        <f t="shared" si="70"/>
        <v>1</v>
      </c>
      <c r="F464" s="719"/>
      <c r="G464" s="24">
        <f t="shared" si="71"/>
        <v>1</v>
      </c>
      <c r="H464" s="719"/>
      <c r="I464" s="24">
        <f t="shared" si="72"/>
        <v>1</v>
      </c>
      <c r="J464" s="719"/>
      <c r="K464" s="24">
        <f t="shared" si="73"/>
        <v>1</v>
      </c>
      <c r="L464" s="719"/>
      <c r="M464" s="24">
        <f t="shared" si="74"/>
        <v>1</v>
      </c>
      <c r="N464" s="719"/>
      <c r="O464" s="24">
        <f t="shared" si="75"/>
        <v>1</v>
      </c>
      <c r="P464" s="719"/>
      <c r="Q464" s="24">
        <f t="shared" si="76"/>
        <v>1</v>
      </c>
      <c r="R464" s="715">
        <f t="shared" si="77"/>
        <v>0</v>
      </c>
      <c r="S464" s="361">
        <f t="shared" si="78"/>
        <v>0</v>
      </c>
    </row>
    <row r="465" spans="1:19">
      <c r="A465" s="159"/>
      <c r="B465" s="59"/>
      <c r="C465" s="24">
        <f t="shared" si="69"/>
        <v>1</v>
      </c>
      <c r="D465" s="719"/>
      <c r="E465" s="24">
        <f t="shared" si="70"/>
        <v>1</v>
      </c>
      <c r="F465" s="719"/>
      <c r="G465" s="24">
        <f t="shared" si="71"/>
        <v>1</v>
      </c>
      <c r="H465" s="719"/>
      <c r="I465" s="24">
        <f t="shared" si="72"/>
        <v>1</v>
      </c>
      <c r="J465" s="719"/>
      <c r="K465" s="24">
        <f t="shared" si="73"/>
        <v>1</v>
      </c>
      <c r="L465" s="719"/>
      <c r="M465" s="24">
        <f t="shared" si="74"/>
        <v>1</v>
      </c>
      <c r="N465" s="719"/>
      <c r="O465" s="24">
        <f t="shared" si="75"/>
        <v>1</v>
      </c>
      <c r="P465" s="719"/>
      <c r="Q465" s="24">
        <f t="shared" si="76"/>
        <v>1</v>
      </c>
      <c r="R465" s="715">
        <f t="shared" si="77"/>
        <v>0</v>
      </c>
      <c r="S465" s="361">
        <f t="shared" si="78"/>
        <v>0</v>
      </c>
    </row>
    <row r="466" spans="1:19">
      <c r="A466" s="159"/>
      <c r="B466" s="59"/>
      <c r="C466" s="24">
        <f t="shared" si="69"/>
        <v>1</v>
      </c>
      <c r="D466" s="719"/>
      <c r="E466" s="24">
        <f t="shared" si="70"/>
        <v>1</v>
      </c>
      <c r="F466" s="719"/>
      <c r="G466" s="24">
        <f t="shared" si="71"/>
        <v>1</v>
      </c>
      <c r="H466" s="719"/>
      <c r="I466" s="24">
        <f t="shared" si="72"/>
        <v>1</v>
      </c>
      <c r="J466" s="719"/>
      <c r="K466" s="24">
        <f t="shared" si="73"/>
        <v>1</v>
      </c>
      <c r="L466" s="719"/>
      <c r="M466" s="24">
        <f t="shared" si="74"/>
        <v>1</v>
      </c>
      <c r="N466" s="719"/>
      <c r="O466" s="24">
        <f t="shared" si="75"/>
        <v>1</v>
      </c>
      <c r="P466" s="719"/>
      <c r="Q466" s="24">
        <f t="shared" si="76"/>
        <v>1</v>
      </c>
      <c r="R466" s="715">
        <f t="shared" si="77"/>
        <v>0</v>
      </c>
      <c r="S466" s="361">
        <f t="shared" si="78"/>
        <v>0</v>
      </c>
    </row>
    <row r="467" spans="1:19">
      <c r="A467" s="159"/>
      <c r="B467" s="59"/>
      <c r="C467" s="24">
        <f t="shared" si="69"/>
        <v>1</v>
      </c>
      <c r="D467" s="719"/>
      <c r="E467" s="24">
        <f t="shared" si="70"/>
        <v>1</v>
      </c>
      <c r="F467" s="719"/>
      <c r="G467" s="24">
        <f t="shared" si="71"/>
        <v>1</v>
      </c>
      <c r="H467" s="719"/>
      <c r="I467" s="24">
        <f t="shared" si="72"/>
        <v>1</v>
      </c>
      <c r="J467" s="719"/>
      <c r="K467" s="24">
        <f t="shared" si="73"/>
        <v>1</v>
      </c>
      <c r="L467" s="719"/>
      <c r="M467" s="24">
        <f t="shared" si="74"/>
        <v>1</v>
      </c>
      <c r="N467" s="719"/>
      <c r="O467" s="24">
        <f t="shared" si="75"/>
        <v>1</v>
      </c>
      <c r="P467" s="719"/>
      <c r="Q467" s="24">
        <f t="shared" si="76"/>
        <v>1</v>
      </c>
      <c r="R467" s="715">
        <f t="shared" si="77"/>
        <v>0</v>
      </c>
      <c r="S467" s="361">
        <f t="shared" si="78"/>
        <v>0</v>
      </c>
    </row>
    <row r="468" spans="1:19">
      <c r="A468" s="159"/>
      <c r="B468" s="59"/>
      <c r="C468" s="24">
        <f t="shared" si="69"/>
        <v>1</v>
      </c>
      <c r="D468" s="719"/>
      <c r="E468" s="24">
        <f t="shared" si="70"/>
        <v>1</v>
      </c>
      <c r="F468" s="719"/>
      <c r="G468" s="24">
        <f t="shared" si="71"/>
        <v>1</v>
      </c>
      <c r="H468" s="719"/>
      <c r="I468" s="24">
        <f t="shared" si="72"/>
        <v>1</v>
      </c>
      <c r="J468" s="719"/>
      <c r="K468" s="24">
        <f t="shared" si="73"/>
        <v>1</v>
      </c>
      <c r="L468" s="719"/>
      <c r="M468" s="24">
        <f t="shared" si="74"/>
        <v>1</v>
      </c>
      <c r="N468" s="719"/>
      <c r="O468" s="24">
        <f t="shared" si="75"/>
        <v>1</v>
      </c>
      <c r="P468" s="719"/>
      <c r="Q468" s="24">
        <f t="shared" si="76"/>
        <v>1</v>
      </c>
      <c r="R468" s="715">
        <f t="shared" si="77"/>
        <v>0</v>
      </c>
      <c r="S468" s="361">
        <f t="shared" ref="S468:S497" si="79">ROUND(R468*B468/10000,0)</f>
        <v>0</v>
      </c>
    </row>
    <row r="469" spans="1:19">
      <c r="A469" s="159"/>
      <c r="B469" s="59"/>
      <c r="C469" s="24">
        <f t="shared" si="69"/>
        <v>1</v>
      </c>
      <c r="D469" s="719"/>
      <c r="E469" s="24">
        <f t="shared" si="70"/>
        <v>1</v>
      </c>
      <c r="F469" s="719"/>
      <c r="G469" s="24">
        <f t="shared" si="71"/>
        <v>1</v>
      </c>
      <c r="H469" s="719"/>
      <c r="I469" s="24">
        <f t="shared" si="72"/>
        <v>1</v>
      </c>
      <c r="J469" s="719"/>
      <c r="K469" s="24">
        <f t="shared" si="73"/>
        <v>1</v>
      </c>
      <c r="L469" s="719"/>
      <c r="M469" s="24">
        <f t="shared" si="74"/>
        <v>1</v>
      </c>
      <c r="N469" s="719"/>
      <c r="O469" s="24">
        <f t="shared" si="75"/>
        <v>1</v>
      </c>
      <c r="P469" s="719"/>
      <c r="Q469" s="24">
        <f t="shared" si="76"/>
        <v>1</v>
      </c>
      <c r="R469" s="715">
        <f t="shared" si="77"/>
        <v>0</v>
      </c>
      <c r="S469" s="361">
        <f t="shared" si="79"/>
        <v>0</v>
      </c>
    </row>
    <row r="470" spans="1:19">
      <c r="A470" s="159"/>
      <c r="B470" s="59"/>
      <c r="C470" s="24">
        <f t="shared" si="69"/>
        <v>1</v>
      </c>
      <c r="D470" s="719"/>
      <c r="E470" s="24">
        <f t="shared" si="70"/>
        <v>1</v>
      </c>
      <c r="F470" s="719"/>
      <c r="G470" s="24">
        <f t="shared" si="71"/>
        <v>1</v>
      </c>
      <c r="H470" s="719"/>
      <c r="I470" s="24">
        <f t="shared" si="72"/>
        <v>1</v>
      </c>
      <c r="J470" s="719"/>
      <c r="K470" s="24">
        <f t="shared" si="73"/>
        <v>1</v>
      </c>
      <c r="L470" s="719"/>
      <c r="M470" s="24">
        <f t="shared" si="74"/>
        <v>1</v>
      </c>
      <c r="N470" s="719"/>
      <c r="O470" s="24">
        <f t="shared" si="75"/>
        <v>1</v>
      </c>
      <c r="P470" s="719"/>
      <c r="Q470" s="24">
        <f t="shared" si="76"/>
        <v>1</v>
      </c>
      <c r="R470" s="715">
        <f t="shared" si="77"/>
        <v>0</v>
      </c>
      <c r="S470" s="361">
        <f t="shared" si="79"/>
        <v>0</v>
      </c>
    </row>
    <row r="471" spans="1:19">
      <c r="A471" s="159"/>
      <c r="B471" s="59"/>
      <c r="C471" s="24">
        <f t="shared" si="69"/>
        <v>1</v>
      </c>
      <c r="D471" s="719"/>
      <c r="E471" s="24">
        <f t="shared" si="70"/>
        <v>1</v>
      </c>
      <c r="F471" s="719"/>
      <c r="G471" s="24">
        <f t="shared" si="71"/>
        <v>1</v>
      </c>
      <c r="H471" s="719"/>
      <c r="I471" s="24">
        <f t="shared" si="72"/>
        <v>1</v>
      </c>
      <c r="J471" s="719"/>
      <c r="K471" s="24">
        <f t="shared" si="73"/>
        <v>1</v>
      </c>
      <c r="L471" s="719"/>
      <c r="M471" s="24">
        <f t="shared" si="74"/>
        <v>1</v>
      </c>
      <c r="N471" s="719"/>
      <c r="O471" s="24">
        <f t="shared" si="75"/>
        <v>1</v>
      </c>
      <c r="P471" s="719"/>
      <c r="Q471" s="24">
        <f t="shared" si="76"/>
        <v>1</v>
      </c>
      <c r="R471" s="715">
        <f t="shared" si="77"/>
        <v>0</v>
      </c>
      <c r="S471" s="361">
        <f t="shared" si="79"/>
        <v>0</v>
      </c>
    </row>
    <row r="472" spans="1:19">
      <c r="A472" s="159"/>
      <c r="B472" s="59"/>
      <c r="C472" s="24">
        <f t="shared" si="69"/>
        <v>1</v>
      </c>
      <c r="D472" s="719"/>
      <c r="E472" s="24">
        <f t="shared" si="70"/>
        <v>1</v>
      </c>
      <c r="F472" s="719"/>
      <c r="G472" s="24">
        <f t="shared" si="71"/>
        <v>1</v>
      </c>
      <c r="H472" s="719"/>
      <c r="I472" s="24">
        <f t="shared" si="72"/>
        <v>1</v>
      </c>
      <c r="J472" s="719"/>
      <c r="K472" s="24">
        <f t="shared" si="73"/>
        <v>1</v>
      </c>
      <c r="L472" s="719"/>
      <c r="M472" s="24">
        <f t="shared" si="74"/>
        <v>1</v>
      </c>
      <c r="N472" s="719"/>
      <c r="O472" s="24">
        <f t="shared" si="75"/>
        <v>1</v>
      </c>
      <c r="P472" s="719"/>
      <c r="Q472" s="24">
        <f t="shared" si="76"/>
        <v>1</v>
      </c>
      <c r="R472" s="715">
        <f t="shared" si="77"/>
        <v>0</v>
      </c>
      <c r="S472" s="361">
        <f t="shared" si="79"/>
        <v>0</v>
      </c>
    </row>
    <row r="473" spans="1:19">
      <c r="A473" s="159"/>
      <c r="B473" s="59"/>
      <c r="C473" s="24">
        <f t="shared" si="69"/>
        <v>1</v>
      </c>
      <c r="D473" s="719"/>
      <c r="E473" s="24">
        <f t="shared" si="70"/>
        <v>1</v>
      </c>
      <c r="F473" s="719"/>
      <c r="G473" s="24">
        <f t="shared" si="71"/>
        <v>1</v>
      </c>
      <c r="H473" s="719"/>
      <c r="I473" s="24">
        <f t="shared" si="72"/>
        <v>1</v>
      </c>
      <c r="J473" s="719"/>
      <c r="K473" s="24">
        <f t="shared" si="73"/>
        <v>1</v>
      </c>
      <c r="L473" s="719"/>
      <c r="M473" s="24">
        <f t="shared" si="74"/>
        <v>1</v>
      </c>
      <c r="N473" s="719"/>
      <c r="O473" s="24">
        <f t="shared" si="75"/>
        <v>1</v>
      </c>
      <c r="P473" s="719"/>
      <c r="Q473" s="24">
        <f t="shared" si="76"/>
        <v>1</v>
      </c>
      <c r="R473" s="715">
        <f t="shared" si="77"/>
        <v>0</v>
      </c>
      <c r="S473" s="361">
        <f t="shared" si="79"/>
        <v>0</v>
      </c>
    </row>
    <row r="474" spans="1:19">
      <c r="A474" s="159"/>
      <c r="B474" s="59"/>
      <c r="C474" s="24">
        <f t="shared" ref="C474:C524" si="80">IF(B474="",1,(LOOKUP(B474,$3:$3,$4:$4)-LOOKUP($B$24,$3:$3,$4:$4)+100)/100)</f>
        <v>1</v>
      </c>
      <c r="D474" s="719"/>
      <c r="E474" s="24">
        <f t="shared" ref="E474:E524" si="81">(SUMIF($5:$5,D474,$6:$6)-SUMIF($5:$5,$D$24,$6:$6)+100)/100</f>
        <v>1</v>
      </c>
      <c r="F474" s="719"/>
      <c r="G474" s="24">
        <f t="shared" ref="G474:G524" si="82">(SUMIF($7:$7,F474,$8:$8)-SUMIF($7:$7,$F$24,$8:$8)+100)/100</f>
        <v>1</v>
      </c>
      <c r="H474" s="719"/>
      <c r="I474" s="24">
        <f t="shared" ref="I474:I524" si="83">(SUMIF($9:$9,H474,$10:$10)-SUMIF($9:$9,$H$24,$10:$10)+100)/100</f>
        <v>1</v>
      </c>
      <c r="J474" s="719"/>
      <c r="K474" s="24">
        <f t="shared" ref="K474:K524" si="84">(SUMIF($11:$11,J474,$12:$12)-SUMIF($11:$11,$J$24,$12:$12)+100)/100</f>
        <v>1</v>
      </c>
      <c r="L474" s="719"/>
      <c r="M474" s="24">
        <f t="shared" ref="M474:M524" si="85">(SUMIF($13:$13,L474,$14:$14)-SUMIF($13:$13,$L$24,$14:$14)+100)/100</f>
        <v>1</v>
      </c>
      <c r="N474" s="719"/>
      <c r="O474" s="24">
        <f t="shared" ref="O474:O524" si="86">(SUMIF($15:$15,N474,$16:$16)-SUMIF($15:$15,$N$24,$16:$16)+100)/100</f>
        <v>1</v>
      </c>
      <c r="P474" s="719"/>
      <c r="Q474" s="24">
        <f t="shared" ref="Q474:Q524" si="87">(SUMIF($17:$17,P474,$18:$18)-SUMIF($17:$17,$P$24,$18:$18)+100)/100</f>
        <v>1</v>
      </c>
      <c r="R474" s="715">
        <f t="shared" ref="R474:R524" si="88">IF(B474="",0,ROUND($R$24*C474*E474*G474*I474*K474*M474*O474*Q474,0))</f>
        <v>0</v>
      </c>
      <c r="S474" s="361">
        <f t="shared" si="79"/>
        <v>0</v>
      </c>
    </row>
    <row r="475" spans="1:19">
      <c r="A475" s="159"/>
      <c r="B475" s="59"/>
      <c r="C475" s="24">
        <f t="shared" si="80"/>
        <v>1</v>
      </c>
      <c r="D475" s="719"/>
      <c r="E475" s="24">
        <f t="shared" si="81"/>
        <v>1</v>
      </c>
      <c r="F475" s="719"/>
      <c r="G475" s="24">
        <f t="shared" si="82"/>
        <v>1</v>
      </c>
      <c r="H475" s="719"/>
      <c r="I475" s="24">
        <f t="shared" si="83"/>
        <v>1</v>
      </c>
      <c r="J475" s="719"/>
      <c r="K475" s="24">
        <f t="shared" si="84"/>
        <v>1</v>
      </c>
      <c r="L475" s="719"/>
      <c r="M475" s="24">
        <f t="shared" si="85"/>
        <v>1</v>
      </c>
      <c r="N475" s="719"/>
      <c r="O475" s="24">
        <f t="shared" si="86"/>
        <v>1</v>
      </c>
      <c r="P475" s="719"/>
      <c r="Q475" s="24">
        <f t="shared" si="87"/>
        <v>1</v>
      </c>
      <c r="R475" s="715">
        <f t="shared" si="88"/>
        <v>0</v>
      </c>
      <c r="S475" s="361">
        <f t="shared" si="79"/>
        <v>0</v>
      </c>
    </row>
    <row r="476" spans="1:19">
      <c r="A476" s="159"/>
      <c r="B476" s="59"/>
      <c r="C476" s="24">
        <f t="shared" si="80"/>
        <v>1</v>
      </c>
      <c r="D476" s="719"/>
      <c r="E476" s="24">
        <f t="shared" si="81"/>
        <v>1</v>
      </c>
      <c r="F476" s="719"/>
      <c r="G476" s="24">
        <f t="shared" si="82"/>
        <v>1</v>
      </c>
      <c r="H476" s="719"/>
      <c r="I476" s="24">
        <f t="shared" si="83"/>
        <v>1</v>
      </c>
      <c r="J476" s="719"/>
      <c r="K476" s="24">
        <f t="shared" si="84"/>
        <v>1</v>
      </c>
      <c r="L476" s="719"/>
      <c r="M476" s="24">
        <f t="shared" si="85"/>
        <v>1</v>
      </c>
      <c r="N476" s="719"/>
      <c r="O476" s="24">
        <f t="shared" si="86"/>
        <v>1</v>
      </c>
      <c r="P476" s="719"/>
      <c r="Q476" s="24">
        <f t="shared" si="87"/>
        <v>1</v>
      </c>
      <c r="R476" s="715">
        <f t="shared" si="88"/>
        <v>0</v>
      </c>
      <c r="S476" s="361">
        <f t="shared" si="79"/>
        <v>0</v>
      </c>
    </row>
    <row r="477" spans="1:19">
      <c r="A477" s="159"/>
      <c r="B477" s="59"/>
      <c r="C477" s="24">
        <f t="shared" si="80"/>
        <v>1</v>
      </c>
      <c r="D477" s="719"/>
      <c r="E477" s="24">
        <f t="shared" si="81"/>
        <v>1</v>
      </c>
      <c r="F477" s="719"/>
      <c r="G477" s="24">
        <f t="shared" si="82"/>
        <v>1</v>
      </c>
      <c r="H477" s="719"/>
      <c r="I477" s="24">
        <f t="shared" si="83"/>
        <v>1</v>
      </c>
      <c r="J477" s="719"/>
      <c r="K477" s="24">
        <f t="shared" si="84"/>
        <v>1</v>
      </c>
      <c r="L477" s="719"/>
      <c r="M477" s="24">
        <f t="shared" si="85"/>
        <v>1</v>
      </c>
      <c r="N477" s="719"/>
      <c r="O477" s="24">
        <f t="shared" si="86"/>
        <v>1</v>
      </c>
      <c r="P477" s="719"/>
      <c r="Q477" s="24">
        <f t="shared" si="87"/>
        <v>1</v>
      </c>
      <c r="R477" s="715">
        <f t="shared" si="88"/>
        <v>0</v>
      </c>
      <c r="S477" s="361">
        <f t="shared" si="79"/>
        <v>0</v>
      </c>
    </row>
    <row r="478" spans="1:19">
      <c r="A478" s="159"/>
      <c r="B478" s="59"/>
      <c r="C478" s="24">
        <f t="shared" si="80"/>
        <v>1</v>
      </c>
      <c r="D478" s="719"/>
      <c r="E478" s="24">
        <f t="shared" si="81"/>
        <v>1</v>
      </c>
      <c r="F478" s="719"/>
      <c r="G478" s="24">
        <f t="shared" si="82"/>
        <v>1</v>
      </c>
      <c r="H478" s="719"/>
      <c r="I478" s="24">
        <f t="shared" si="83"/>
        <v>1</v>
      </c>
      <c r="J478" s="719"/>
      <c r="K478" s="24">
        <f t="shared" si="84"/>
        <v>1</v>
      </c>
      <c r="L478" s="719"/>
      <c r="M478" s="24">
        <f t="shared" si="85"/>
        <v>1</v>
      </c>
      <c r="N478" s="719"/>
      <c r="O478" s="24">
        <f t="shared" si="86"/>
        <v>1</v>
      </c>
      <c r="P478" s="719"/>
      <c r="Q478" s="24">
        <f t="shared" si="87"/>
        <v>1</v>
      </c>
      <c r="R478" s="715">
        <f t="shared" si="88"/>
        <v>0</v>
      </c>
      <c r="S478" s="361">
        <f t="shared" si="79"/>
        <v>0</v>
      </c>
    </row>
    <row r="479" spans="1:19">
      <c r="A479" s="159"/>
      <c r="B479" s="59"/>
      <c r="C479" s="24">
        <f t="shared" si="80"/>
        <v>1</v>
      </c>
      <c r="D479" s="719"/>
      <c r="E479" s="24">
        <f t="shared" si="81"/>
        <v>1</v>
      </c>
      <c r="F479" s="719"/>
      <c r="G479" s="24">
        <f t="shared" si="82"/>
        <v>1</v>
      </c>
      <c r="H479" s="719"/>
      <c r="I479" s="24">
        <f t="shared" si="83"/>
        <v>1</v>
      </c>
      <c r="J479" s="719"/>
      <c r="K479" s="24">
        <f t="shared" si="84"/>
        <v>1</v>
      </c>
      <c r="L479" s="719"/>
      <c r="M479" s="24">
        <f t="shared" si="85"/>
        <v>1</v>
      </c>
      <c r="N479" s="719"/>
      <c r="O479" s="24">
        <f t="shared" si="86"/>
        <v>1</v>
      </c>
      <c r="P479" s="719"/>
      <c r="Q479" s="24">
        <f t="shared" si="87"/>
        <v>1</v>
      </c>
      <c r="R479" s="715">
        <f t="shared" si="88"/>
        <v>0</v>
      </c>
      <c r="S479" s="361">
        <f t="shared" si="79"/>
        <v>0</v>
      </c>
    </row>
    <row r="480" spans="1:19">
      <c r="A480" s="159"/>
      <c r="B480" s="59"/>
      <c r="C480" s="24">
        <f t="shared" si="80"/>
        <v>1</v>
      </c>
      <c r="D480" s="719"/>
      <c r="E480" s="24">
        <f t="shared" si="81"/>
        <v>1</v>
      </c>
      <c r="F480" s="719"/>
      <c r="G480" s="24">
        <f t="shared" si="82"/>
        <v>1</v>
      </c>
      <c r="H480" s="719"/>
      <c r="I480" s="24">
        <f t="shared" si="83"/>
        <v>1</v>
      </c>
      <c r="J480" s="719"/>
      <c r="K480" s="24">
        <f t="shared" si="84"/>
        <v>1</v>
      </c>
      <c r="L480" s="719"/>
      <c r="M480" s="24">
        <f t="shared" si="85"/>
        <v>1</v>
      </c>
      <c r="N480" s="719"/>
      <c r="O480" s="24">
        <f t="shared" si="86"/>
        <v>1</v>
      </c>
      <c r="P480" s="719"/>
      <c r="Q480" s="24">
        <f t="shared" si="87"/>
        <v>1</v>
      </c>
      <c r="R480" s="715">
        <f t="shared" si="88"/>
        <v>0</v>
      </c>
      <c r="S480" s="361">
        <f t="shared" si="79"/>
        <v>0</v>
      </c>
    </row>
    <row r="481" spans="1:19">
      <c r="A481" s="159"/>
      <c r="B481" s="59"/>
      <c r="C481" s="24">
        <f t="shared" si="80"/>
        <v>1</v>
      </c>
      <c r="D481" s="719"/>
      <c r="E481" s="24">
        <f t="shared" si="81"/>
        <v>1</v>
      </c>
      <c r="F481" s="719"/>
      <c r="G481" s="24">
        <f t="shared" si="82"/>
        <v>1</v>
      </c>
      <c r="H481" s="719"/>
      <c r="I481" s="24">
        <f t="shared" si="83"/>
        <v>1</v>
      </c>
      <c r="J481" s="719"/>
      <c r="K481" s="24">
        <f t="shared" si="84"/>
        <v>1</v>
      </c>
      <c r="L481" s="719"/>
      <c r="M481" s="24">
        <f t="shared" si="85"/>
        <v>1</v>
      </c>
      <c r="N481" s="719"/>
      <c r="O481" s="24">
        <f t="shared" si="86"/>
        <v>1</v>
      </c>
      <c r="P481" s="719"/>
      <c r="Q481" s="24">
        <f t="shared" si="87"/>
        <v>1</v>
      </c>
      <c r="R481" s="715">
        <f t="shared" si="88"/>
        <v>0</v>
      </c>
      <c r="S481" s="361">
        <f t="shared" si="79"/>
        <v>0</v>
      </c>
    </row>
    <row r="482" spans="1:19">
      <c r="A482" s="159"/>
      <c r="B482" s="59"/>
      <c r="C482" s="24">
        <f t="shared" si="80"/>
        <v>1</v>
      </c>
      <c r="D482" s="719"/>
      <c r="E482" s="24">
        <f t="shared" si="81"/>
        <v>1</v>
      </c>
      <c r="F482" s="719"/>
      <c r="G482" s="24">
        <f t="shared" si="82"/>
        <v>1</v>
      </c>
      <c r="H482" s="719"/>
      <c r="I482" s="24">
        <f t="shared" si="83"/>
        <v>1</v>
      </c>
      <c r="J482" s="719"/>
      <c r="K482" s="24">
        <f t="shared" si="84"/>
        <v>1</v>
      </c>
      <c r="L482" s="719"/>
      <c r="M482" s="24">
        <f t="shared" si="85"/>
        <v>1</v>
      </c>
      <c r="N482" s="719"/>
      <c r="O482" s="24">
        <f t="shared" si="86"/>
        <v>1</v>
      </c>
      <c r="P482" s="719"/>
      <c r="Q482" s="24">
        <f t="shared" si="87"/>
        <v>1</v>
      </c>
      <c r="R482" s="715">
        <f t="shared" si="88"/>
        <v>0</v>
      </c>
      <c r="S482" s="361">
        <f t="shared" si="79"/>
        <v>0</v>
      </c>
    </row>
    <row r="483" spans="1:19">
      <c r="A483" s="159"/>
      <c r="B483" s="59"/>
      <c r="C483" s="24">
        <f t="shared" si="80"/>
        <v>1</v>
      </c>
      <c r="D483" s="719"/>
      <c r="E483" s="24">
        <f t="shared" si="81"/>
        <v>1</v>
      </c>
      <c r="F483" s="719"/>
      <c r="G483" s="24">
        <f t="shared" si="82"/>
        <v>1</v>
      </c>
      <c r="H483" s="719"/>
      <c r="I483" s="24">
        <f t="shared" si="83"/>
        <v>1</v>
      </c>
      <c r="J483" s="719"/>
      <c r="K483" s="24">
        <f t="shared" si="84"/>
        <v>1</v>
      </c>
      <c r="L483" s="719"/>
      <c r="M483" s="24">
        <f t="shared" si="85"/>
        <v>1</v>
      </c>
      <c r="N483" s="719"/>
      <c r="O483" s="24">
        <f t="shared" si="86"/>
        <v>1</v>
      </c>
      <c r="P483" s="719"/>
      <c r="Q483" s="24">
        <f t="shared" si="87"/>
        <v>1</v>
      </c>
      <c r="R483" s="715">
        <f t="shared" si="88"/>
        <v>0</v>
      </c>
      <c r="S483" s="361">
        <f t="shared" si="79"/>
        <v>0</v>
      </c>
    </row>
    <row r="484" spans="1:19">
      <c r="A484" s="159"/>
      <c r="B484" s="59"/>
      <c r="C484" s="24">
        <f t="shared" si="80"/>
        <v>1</v>
      </c>
      <c r="D484" s="719"/>
      <c r="E484" s="24">
        <f t="shared" si="81"/>
        <v>1</v>
      </c>
      <c r="F484" s="719"/>
      <c r="G484" s="24">
        <f t="shared" si="82"/>
        <v>1</v>
      </c>
      <c r="H484" s="719"/>
      <c r="I484" s="24">
        <f t="shared" si="83"/>
        <v>1</v>
      </c>
      <c r="J484" s="719"/>
      <c r="K484" s="24">
        <f t="shared" si="84"/>
        <v>1</v>
      </c>
      <c r="L484" s="719"/>
      <c r="M484" s="24">
        <f t="shared" si="85"/>
        <v>1</v>
      </c>
      <c r="N484" s="719"/>
      <c r="O484" s="24">
        <f t="shared" si="86"/>
        <v>1</v>
      </c>
      <c r="P484" s="719"/>
      <c r="Q484" s="24">
        <f t="shared" si="87"/>
        <v>1</v>
      </c>
      <c r="R484" s="715">
        <f t="shared" si="88"/>
        <v>0</v>
      </c>
      <c r="S484" s="361">
        <f t="shared" si="79"/>
        <v>0</v>
      </c>
    </row>
    <row r="485" spans="1:19">
      <c r="A485" s="159"/>
      <c r="B485" s="59"/>
      <c r="C485" s="24">
        <f t="shared" si="80"/>
        <v>1</v>
      </c>
      <c r="D485" s="719"/>
      <c r="E485" s="24">
        <f t="shared" si="81"/>
        <v>1</v>
      </c>
      <c r="F485" s="719"/>
      <c r="G485" s="24">
        <f t="shared" si="82"/>
        <v>1</v>
      </c>
      <c r="H485" s="719"/>
      <c r="I485" s="24">
        <f t="shared" si="83"/>
        <v>1</v>
      </c>
      <c r="J485" s="719"/>
      <c r="K485" s="24">
        <f t="shared" si="84"/>
        <v>1</v>
      </c>
      <c r="L485" s="719"/>
      <c r="M485" s="24">
        <f t="shared" si="85"/>
        <v>1</v>
      </c>
      <c r="N485" s="719"/>
      <c r="O485" s="24">
        <f t="shared" si="86"/>
        <v>1</v>
      </c>
      <c r="P485" s="719"/>
      <c r="Q485" s="24">
        <f t="shared" si="87"/>
        <v>1</v>
      </c>
      <c r="R485" s="715">
        <f t="shared" si="88"/>
        <v>0</v>
      </c>
      <c r="S485" s="361">
        <f t="shared" si="79"/>
        <v>0</v>
      </c>
    </row>
    <row r="486" spans="1:19">
      <c r="A486" s="159"/>
      <c r="B486" s="59"/>
      <c r="C486" s="24">
        <f t="shared" si="80"/>
        <v>1</v>
      </c>
      <c r="D486" s="719"/>
      <c r="E486" s="24">
        <f t="shared" si="81"/>
        <v>1</v>
      </c>
      <c r="F486" s="719"/>
      <c r="G486" s="24">
        <f t="shared" si="82"/>
        <v>1</v>
      </c>
      <c r="H486" s="719"/>
      <c r="I486" s="24">
        <f t="shared" si="83"/>
        <v>1</v>
      </c>
      <c r="J486" s="719"/>
      <c r="K486" s="24">
        <f t="shared" si="84"/>
        <v>1</v>
      </c>
      <c r="L486" s="719"/>
      <c r="M486" s="24">
        <f t="shared" si="85"/>
        <v>1</v>
      </c>
      <c r="N486" s="719"/>
      <c r="O486" s="24">
        <f t="shared" si="86"/>
        <v>1</v>
      </c>
      <c r="P486" s="719"/>
      <c r="Q486" s="24">
        <f t="shared" si="87"/>
        <v>1</v>
      </c>
      <c r="R486" s="715">
        <f t="shared" si="88"/>
        <v>0</v>
      </c>
      <c r="S486" s="361">
        <f t="shared" si="79"/>
        <v>0</v>
      </c>
    </row>
    <row r="487" spans="1:19">
      <c r="A487" s="159"/>
      <c r="B487" s="59"/>
      <c r="C487" s="24">
        <f t="shared" si="80"/>
        <v>1</v>
      </c>
      <c r="D487" s="719"/>
      <c r="E487" s="24">
        <f t="shared" si="81"/>
        <v>1</v>
      </c>
      <c r="F487" s="719"/>
      <c r="G487" s="24">
        <f t="shared" si="82"/>
        <v>1</v>
      </c>
      <c r="H487" s="719"/>
      <c r="I487" s="24">
        <f t="shared" si="83"/>
        <v>1</v>
      </c>
      <c r="J487" s="719"/>
      <c r="K487" s="24">
        <f t="shared" si="84"/>
        <v>1</v>
      </c>
      <c r="L487" s="719"/>
      <c r="M487" s="24">
        <f t="shared" si="85"/>
        <v>1</v>
      </c>
      <c r="N487" s="719"/>
      <c r="O487" s="24">
        <f t="shared" si="86"/>
        <v>1</v>
      </c>
      <c r="P487" s="719"/>
      <c r="Q487" s="24">
        <f t="shared" si="87"/>
        <v>1</v>
      </c>
      <c r="R487" s="715">
        <f t="shared" si="88"/>
        <v>0</v>
      </c>
      <c r="S487" s="361">
        <f t="shared" si="79"/>
        <v>0</v>
      </c>
    </row>
    <row r="488" spans="1:19">
      <c r="A488" s="159"/>
      <c r="B488" s="59"/>
      <c r="C488" s="24">
        <f t="shared" si="80"/>
        <v>1</v>
      </c>
      <c r="D488" s="719"/>
      <c r="E488" s="24">
        <f t="shared" si="81"/>
        <v>1</v>
      </c>
      <c r="F488" s="719"/>
      <c r="G488" s="24">
        <f t="shared" si="82"/>
        <v>1</v>
      </c>
      <c r="H488" s="719"/>
      <c r="I488" s="24">
        <f t="shared" si="83"/>
        <v>1</v>
      </c>
      <c r="J488" s="719"/>
      <c r="K488" s="24">
        <f t="shared" si="84"/>
        <v>1</v>
      </c>
      <c r="L488" s="719"/>
      <c r="M488" s="24">
        <f t="shared" si="85"/>
        <v>1</v>
      </c>
      <c r="N488" s="719"/>
      <c r="O488" s="24">
        <f t="shared" si="86"/>
        <v>1</v>
      </c>
      <c r="P488" s="719"/>
      <c r="Q488" s="24">
        <f t="shared" si="87"/>
        <v>1</v>
      </c>
      <c r="R488" s="715">
        <f t="shared" si="88"/>
        <v>0</v>
      </c>
      <c r="S488" s="361">
        <f t="shared" si="79"/>
        <v>0</v>
      </c>
    </row>
    <row r="489" spans="1:19">
      <c r="A489" s="159"/>
      <c r="B489" s="59"/>
      <c r="C489" s="24">
        <f t="shared" si="80"/>
        <v>1</v>
      </c>
      <c r="D489" s="719"/>
      <c r="E489" s="24">
        <f t="shared" si="81"/>
        <v>1</v>
      </c>
      <c r="F489" s="719"/>
      <c r="G489" s="24">
        <f t="shared" si="82"/>
        <v>1</v>
      </c>
      <c r="H489" s="719"/>
      <c r="I489" s="24">
        <f t="shared" si="83"/>
        <v>1</v>
      </c>
      <c r="J489" s="719"/>
      <c r="K489" s="24">
        <f t="shared" si="84"/>
        <v>1</v>
      </c>
      <c r="L489" s="719"/>
      <c r="M489" s="24">
        <f t="shared" si="85"/>
        <v>1</v>
      </c>
      <c r="N489" s="719"/>
      <c r="O489" s="24">
        <f t="shared" si="86"/>
        <v>1</v>
      </c>
      <c r="P489" s="719"/>
      <c r="Q489" s="24">
        <f t="shared" si="87"/>
        <v>1</v>
      </c>
      <c r="R489" s="715">
        <f t="shared" si="88"/>
        <v>0</v>
      </c>
      <c r="S489" s="361">
        <f t="shared" si="79"/>
        <v>0</v>
      </c>
    </row>
    <row r="490" spans="1:19">
      <c r="A490" s="159"/>
      <c r="B490" s="59"/>
      <c r="C490" s="24">
        <f t="shared" si="80"/>
        <v>1</v>
      </c>
      <c r="D490" s="719"/>
      <c r="E490" s="24">
        <f t="shared" si="81"/>
        <v>1</v>
      </c>
      <c r="F490" s="719"/>
      <c r="G490" s="24">
        <f t="shared" si="82"/>
        <v>1</v>
      </c>
      <c r="H490" s="719"/>
      <c r="I490" s="24">
        <f t="shared" si="83"/>
        <v>1</v>
      </c>
      <c r="J490" s="719"/>
      <c r="K490" s="24">
        <f t="shared" si="84"/>
        <v>1</v>
      </c>
      <c r="L490" s="719"/>
      <c r="M490" s="24">
        <f t="shared" si="85"/>
        <v>1</v>
      </c>
      <c r="N490" s="719"/>
      <c r="O490" s="24">
        <f t="shared" si="86"/>
        <v>1</v>
      </c>
      <c r="P490" s="719"/>
      <c r="Q490" s="24">
        <f t="shared" si="87"/>
        <v>1</v>
      </c>
      <c r="R490" s="715">
        <f t="shared" si="88"/>
        <v>0</v>
      </c>
      <c r="S490" s="361">
        <f t="shared" si="79"/>
        <v>0</v>
      </c>
    </row>
    <row r="491" spans="1:19">
      <c r="A491" s="159"/>
      <c r="B491" s="59"/>
      <c r="C491" s="24">
        <f t="shared" si="80"/>
        <v>1</v>
      </c>
      <c r="D491" s="719"/>
      <c r="E491" s="24">
        <f t="shared" si="81"/>
        <v>1</v>
      </c>
      <c r="F491" s="719"/>
      <c r="G491" s="24">
        <f t="shared" si="82"/>
        <v>1</v>
      </c>
      <c r="H491" s="719"/>
      <c r="I491" s="24">
        <f t="shared" si="83"/>
        <v>1</v>
      </c>
      <c r="J491" s="719"/>
      <c r="K491" s="24">
        <f t="shared" si="84"/>
        <v>1</v>
      </c>
      <c r="L491" s="719"/>
      <c r="M491" s="24">
        <f t="shared" si="85"/>
        <v>1</v>
      </c>
      <c r="N491" s="719"/>
      <c r="O491" s="24">
        <f t="shared" si="86"/>
        <v>1</v>
      </c>
      <c r="P491" s="719"/>
      <c r="Q491" s="24">
        <f t="shared" si="87"/>
        <v>1</v>
      </c>
      <c r="R491" s="715">
        <f t="shared" si="88"/>
        <v>0</v>
      </c>
      <c r="S491" s="361">
        <f t="shared" si="79"/>
        <v>0</v>
      </c>
    </row>
    <row r="492" spans="1:19">
      <c r="A492" s="159"/>
      <c r="B492" s="59"/>
      <c r="C492" s="24">
        <f t="shared" si="80"/>
        <v>1</v>
      </c>
      <c r="D492" s="719"/>
      <c r="E492" s="24">
        <f t="shared" si="81"/>
        <v>1</v>
      </c>
      <c r="F492" s="719"/>
      <c r="G492" s="24">
        <f t="shared" si="82"/>
        <v>1</v>
      </c>
      <c r="H492" s="719"/>
      <c r="I492" s="24">
        <f t="shared" si="83"/>
        <v>1</v>
      </c>
      <c r="J492" s="719"/>
      <c r="K492" s="24">
        <f t="shared" si="84"/>
        <v>1</v>
      </c>
      <c r="L492" s="719"/>
      <c r="M492" s="24">
        <f t="shared" si="85"/>
        <v>1</v>
      </c>
      <c r="N492" s="719"/>
      <c r="O492" s="24">
        <f t="shared" si="86"/>
        <v>1</v>
      </c>
      <c r="P492" s="719"/>
      <c r="Q492" s="24">
        <f t="shared" si="87"/>
        <v>1</v>
      </c>
      <c r="R492" s="715">
        <f t="shared" si="88"/>
        <v>0</v>
      </c>
      <c r="S492" s="361">
        <f t="shared" si="79"/>
        <v>0</v>
      </c>
    </row>
    <row r="493" spans="1:19">
      <c r="A493" s="159"/>
      <c r="B493" s="59"/>
      <c r="C493" s="24">
        <f t="shared" si="80"/>
        <v>1</v>
      </c>
      <c r="D493" s="719"/>
      <c r="E493" s="24">
        <f t="shared" si="81"/>
        <v>1</v>
      </c>
      <c r="F493" s="719"/>
      <c r="G493" s="24">
        <f t="shared" si="82"/>
        <v>1</v>
      </c>
      <c r="H493" s="719"/>
      <c r="I493" s="24">
        <f t="shared" si="83"/>
        <v>1</v>
      </c>
      <c r="J493" s="719"/>
      <c r="K493" s="24">
        <f t="shared" si="84"/>
        <v>1</v>
      </c>
      <c r="L493" s="719"/>
      <c r="M493" s="24">
        <f t="shared" si="85"/>
        <v>1</v>
      </c>
      <c r="N493" s="719"/>
      <c r="O493" s="24">
        <f t="shared" si="86"/>
        <v>1</v>
      </c>
      <c r="P493" s="719"/>
      <c r="Q493" s="24">
        <f t="shared" si="87"/>
        <v>1</v>
      </c>
      <c r="R493" s="715">
        <f t="shared" si="88"/>
        <v>0</v>
      </c>
      <c r="S493" s="361">
        <f t="shared" si="79"/>
        <v>0</v>
      </c>
    </row>
    <row r="494" spans="1:19">
      <c r="A494" s="159"/>
      <c r="B494" s="59"/>
      <c r="C494" s="24">
        <f t="shared" si="80"/>
        <v>1</v>
      </c>
      <c r="D494" s="719"/>
      <c r="E494" s="24">
        <f t="shared" si="81"/>
        <v>1</v>
      </c>
      <c r="F494" s="719"/>
      <c r="G494" s="24">
        <f t="shared" si="82"/>
        <v>1</v>
      </c>
      <c r="H494" s="719"/>
      <c r="I494" s="24">
        <f t="shared" si="83"/>
        <v>1</v>
      </c>
      <c r="J494" s="719"/>
      <c r="K494" s="24">
        <f t="shared" si="84"/>
        <v>1</v>
      </c>
      <c r="L494" s="719"/>
      <c r="M494" s="24">
        <f t="shared" si="85"/>
        <v>1</v>
      </c>
      <c r="N494" s="719"/>
      <c r="O494" s="24">
        <f t="shared" si="86"/>
        <v>1</v>
      </c>
      <c r="P494" s="719"/>
      <c r="Q494" s="24">
        <f t="shared" si="87"/>
        <v>1</v>
      </c>
      <c r="R494" s="715">
        <f t="shared" si="88"/>
        <v>0</v>
      </c>
      <c r="S494" s="361">
        <f t="shared" si="79"/>
        <v>0</v>
      </c>
    </row>
    <row r="495" spans="1:19">
      <c r="A495" s="159"/>
      <c r="B495" s="59"/>
      <c r="C495" s="24">
        <f t="shared" si="80"/>
        <v>1</v>
      </c>
      <c r="D495" s="719"/>
      <c r="E495" s="24">
        <f t="shared" si="81"/>
        <v>1</v>
      </c>
      <c r="F495" s="719"/>
      <c r="G495" s="24">
        <f t="shared" si="82"/>
        <v>1</v>
      </c>
      <c r="H495" s="719"/>
      <c r="I495" s="24">
        <f t="shared" si="83"/>
        <v>1</v>
      </c>
      <c r="J495" s="719"/>
      <c r="K495" s="24">
        <f t="shared" si="84"/>
        <v>1</v>
      </c>
      <c r="L495" s="719"/>
      <c r="M495" s="24">
        <f t="shared" si="85"/>
        <v>1</v>
      </c>
      <c r="N495" s="719"/>
      <c r="O495" s="24">
        <f t="shared" si="86"/>
        <v>1</v>
      </c>
      <c r="P495" s="719"/>
      <c r="Q495" s="24">
        <f t="shared" si="87"/>
        <v>1</v>
      </c>
      <c r="R495" s="715">
        <f t="shared" si="88"/>
        <v>0</v>
      </c>
      <c r="S495" s="361">
        <f t="shared" si="79"/>
        <v>0</v>
      </c>
    </row>
    <row r="496" spans="1:19">
      <c r="A496" s="159"/>
      <c r="B496" s="59"/>
      <c r="C496" s="24">
        <f t="shared" si="80"/>
        <v>1</v>
      </c>
      <c r="D496" s="719"/>
      <c r="E496" s="24">
        <f t="shared" si="81"/>
        <v>1</v>
      </c>
      <c r="F496" s="719"/>
      <c r="G496" s="24">
        <f t="shared" si="82"/>
        <v>1</v>
      </c>
      <c r="H496" s="719"/>
      <c r="I496" s="24">
        <f t="shared" si="83"/>
        <v>1</v>
      </c>
      <c r="J496" s="719"/>
      <c r="K496" s="24">
        <f t="shared" si="84"/>
        <v>1</v>
      </c>
      <c r="L496" s="719"/>
      <c r="M496" s="24">
        <f t="shared" si="85"/>
        <v>1</v>
      </c>
      <c r="N496" s="719"/>
      <c r="O496" s="24">
        <f t="shared" si="86"/>
        <v>1</v>
      </c>
      <c r="P496" s="719"/>
      <c r="Q496" s="24">
        <f t="shared" si="87"/>
        <v>1</v>
      </c>
      <c r="R496" s="715">
        <f t="shared" si="88"/>
        <v>0</v>
      </c>
      <c r="S496" s="361">
        <f t="shared" si="79"/>
        <v>0</v>
      </c>
    </row>
    <row r="497" spans="1:19">
      <c r="A497" s="159"/>
      <c r="B497" s="59"/>
      <c r="C497" s="24">
        <f t="shared" si="80"/>
        <v>1</v>
      </c>
      <c r="D497" s="719"/>
      <c r="E497" s="24">
        <f t="shared" si="81"/>
        <v>1</v>
      </c>
      <c r="F497" s="719"/>
      <c r="G497" s="24">
        <f t="shared" si="82"/>
        <v>1</v>
      </c>
      <c r="H497" s="719"/>
      <c r="I497" s="24">
        <f t="shared" si="83"/>
        <v>1</v>
      </c>
      <c r="J497" s="719"/>
      <c r="K497" s="24">
        <f t="shared" si="84"/>
        <v>1</v>
      </c>
      <c r="L497" s="719"/>
      <c r="M497" s="24">
        <f t="shared" si="85"/>
        <v>1</v>
      </c>
      <c r="N497" s="719"/>
      <c r="O497" s="24">
        <f t="shared" si="86"/>
        <v>1</v>
      </c>
      <c r="P497" s="719"/>
      <c r="Q497" s="24">
        <f t="shared" si="87"/>
        <v>1</v>
      </c>
      <c r="R497" s="715">
        <f t="shared" si="88"/>
        <v>0</v>
      </c>
      <c r="S497" s="361">
        <f t="shared" si="79"/>
        <v>0</v>
      </c>
    </row>
    <row r="498" spans="1:19">
      <c r="A498" s="159"/>
      <c r="B498" s="59"/>
      <c r="C498" s="24">
        <f t="shared" si="80"/>
        <v>1</v>
      </c>
      <c r="D498" s="719"/>
      <c r="E498" s="24">
        <f t="shared" si="81"/>
        <v>1</v>
      </c>
      <c r="F498" s="719"/>
      <c r="G498" s="24">
        <f t="shared" si="82"/>
        <v>1</v>
      </c>
      <c r="H498" s="719"/>
      <c r="I498" s="24">
        <f t="shared" si="83"/>
        <v>1</v>
      </c>
      <c r="J498" s="719"/>
      <c r="K498" s="24">
        <f t="shared" si="84"/>
        <v>1</v>
      </c>
      <c r="L498" s="719"/>
      <c r="M498" s="24">
        <f t="shared" si="85"/>
        <v>1</v>
      </c>
      <c r="N498" s="719"/>
      <c r="O498" s="24">
        <f t="shared" si="86"/>
        <v>1</v>
      </c>
      <c r="P498" s="719"/>
      <c r="Q498" s="24">
        <f t="shared" si="87"/>
        <v>1</v>
      </c>
      <c r="R498" s="715">
        <f t="shared" si="88"/>
        <v>0</v>
      </c>
      <c r="S498" s="361">
        <f t="shared" ref="S498:S524" si="89">ROUND(R498*B498/10000,0)</f>
        <v>0</v>
      </c>
    </row>
    <row r="499" spans="1:19">
      <c r="A499" s="159"/>
      <c r="B499" s="59"/>
      <c r="C499" s="24">
        <f t="shared" si="80"/>
        <v>1</v>
      </c>
      <c r="D499" s="719"/>
      <c r="E499" s="24">
        <f t="shared" si="81"/>
        <v>1</v>
      </c>
      <c r="F499" s="719"/>
      <c r="G499" s="24">
        <f t="shared" si="82"/>
        <v>1</v>
      </c>
      <c r="H499" s="719"/>
      <c r="I499" s="24">
        <f t="shared" si="83"/>
        <v>1</v>
      </c>
      <c r="J499" s="719"/>
      <c r="K499" s="24">
        <f t="shared" si="84"/>
        <v>1</v>
      </c>
      <c r="L499" s="719"/>
      <c r="M499" s="24">
        <f t="shared" si="85"/>
        <v>1</v>
      </c>
      <c r="N499" s="719"/>
      <c r="O499" s="24">
        <f t="shared" si="86"/>
        <v>1</v>
      </c>
      <c r="P499" s="719"/>
      <c r="Q499" s="24">
        <f t="shared" si="87"/>
        <v>1</v>
      </c>
      <c r="R499" s="715">
        <f t="shared" si="88"/>
        <v>0</v>
      </c>
      <c r="S499" s="361">
        <f t="shared" si="89"/>
        <v>0</v>
      </c>
    </row>
    <row r="500" spans="1:19">
      <c r="A500" s="159"/>
      <c r="B500" s="59"/>
      <c r="C500" s="24">
        <f t="shared" si="80"/>
        <v>1</v>
      </c>
      <c r="D500" s="719"/>
      <c r="E500" s="24">
        <f t="shared" si="81"/>
        <v>1</v>
      </c>
      <c r="F500" s="719"/>
      <c r="G500" s="24">
        <f t="shared" si="82"/>
        <v>1</v>
      </c>
      <c r="H500" s="719"/>
      <c r="I500" s="24">
        <f t="shared" si="83"/>
        <v>1</v>
      </c>
      <c r="J500" s="719"/>
      <c r="K500" s="24">
        <f t="shared" si="84"/>
        <v>1</v>
      </c>
      <c r="L500" s="719"/>
      <c r="M500" s="24">
        <f t="shared" si="85"/>
        <v>1</v>
      </c>
      <c r="N500" s="719"/>
      <c r="O500" s="24">
        <f t="shared" si="86"/>
        <v>1</v>
      </c>
      <c r="P500" s="719"/>
      <c r="Q500" s="24">
        <f t="shared" si="87"/>
        <v>1</v>
      </c>
      <c r="R500" s="715">
        <f t="shared" si="88"/>
        <v>0</v>
      </c>
      <c r="S500" s="361">
        <f t="shared" si="89"/>
        <v>0</v>
      </c>
    </row>
    <row r="501" spans="1:19">
      <c r="A501" s="159"/>
      <c r="B501" s="59"/>
      <c r="C501" s="24">
        <f t="shared" si="80"/>
        <v>1</v>
      </c>
      <c r="D501" s="719"/>
      <c r="E501" s="24">
        <f t="shared" si="81"/>
        <v>1</v>
      </c>
      <c r="F501" s="719"/>
      <c r="G501" s="24">
        <f t="shared" si="82"/>
        <v>1</v>
      </c>
      <c r="H501" s="719"/>
      <c r="I501" s="24">
        <f t="shared" si="83"/>
        <v>1</v>
      </c>
      <c r="J501" s="719"/>
      <c r="K501" s="24">
        <f t="shared" si="84"/>
        <v>1</v>
      </c>
      <c r="L501" s="719"/>
      <c r="M501" s="24">
        <f t="shared" si="85"/>
        <v>1</v>
      </c>
      <c r="N501" s="719"/>
      <c r="O501" s="24">
        <f t="shared" si="86"/>
        <v>1</v>
      </c>
      <c r="P501" s="719"/>
      <c r="Q501" s="24">
        <f t="shared" si="87"/>
        <v>1</v>
      </c>
      <c r="R501" s="715">
        <f t="shared" si="88"/>
        <v>0</v>
      </c>
      <c r="S501" s="361">
        <f t="shared" si="89"/>
        <v>0</v>
      </c>
    </row>
    <row r="502" spans="1:19">
      <c r="A502" s="159"/>
      <c r="B502" s="59"/>
      <c r="C502" s="24">
        <f t="shared" si="80"/>
        <v>1</v>
      </c>
      <c r="D502" s="719"/>
      <c r="E502" s="24">
        <f t="shared" si="81"/>
        <v>1</v>
      </c>
      <c r="F502" s="719"/>
      <c r="G502" s="24">
        <f t="shared" si="82"/>
        <v>1</v>
      </c>
      <c r="H502" s="719"/>
      <c r="I502" s="24">
        <f t="shared" si="83"/>
        <v>1</v>
      </c>
      <c r="J502" s="719"/>
      <c r="K502" s="24">
        <f t="shared" si="84"/>
        <v>1</v>
      </c>
      <c r="L502" s="719"/>
      <c r="M502" s="24">
        <f t="shared" si="85"/>
        <v>1</v>
      </c>
      <c r="N502" s="719"/>
      <c r="O502" s="24">
        <f t="shared" si="86"/>
        <v>1</v>
      </c>
      <c r="P502" s="719"/>
      <c r="Q502" s="24">
        <f t="shared" si="87"/>
        <v>1</v>
      </c>
      <c r="R502" s="715">
        <f t="shared" si="88"/>
        <v>0</v>
      </c>
      <c r="S502" s="361">
        <f t="shared" si="89"/>
        <v>0</v>
      </c>
    </row>
    <row r="503" spans="1:19">
      <c r="A503" s="159"/>
      <c r="B503" s="59"/>
      <c r="C503" s="24">
        <f t="shared" si="80"/>
        <v>1</v>
      </c>
      <c r="D503" s="719"/>
      <c r="E503" s="24">
        <f t="shared" si="81"/>
        <v>1</v>
      </c>
      <c r="F503" s="719"/>
      <c r="G503" s="24">
        <f t="shared" si="82"/>
        <v>1</v>
      </c>
      <c r="H503" s="719"/>
      <c r="I503" s="24">
        <f t="shared" si="83"/>
        <v>1</v>
      </c>
      <c r="J503" s="719"/>
      <c r="K503" s="24">
        <f t="shared" si="84"/>
        <v>1</v>
      </c>
      <c r="L503" s="719"/>
      <c r="M503" s="24">
        <f t="shared" si="85"/>
        <v>1</v>
      </c>
      <c r="N503" s="719"/>
      <c r="O503" s="24">
        <f t="shared" si="86"/>
        <v>1</v>
      </c>
      <c r="P503" s="719"/>
      <c r="Q503" s="24">
        <f t="shared" si="87"/>
        <v>1</v>
      </c>
      <c r="R503" s="715">
        <f t="shared" si="88"/>
        <v>0</v>
      </c>
      <c r="S503" s="361">
        <f t="shared" si="89"/>
        <v>0</v>
      </c>
    </row>
    <row r="504" spans="1:19">
      <c r="A504" s="159"/>
      <c r="B504" s="59"/>
      <c r="C504" s="24">
        <f t="shared" si="80"/>
        <v>1</v>
      </c>
      <c r="D504" s="719"/>
      <c r="E504" s="24">
        <f t="shared" si="81"/>
        <v>1</v>
      </c>
      <c r="F504" s="719"/>
      <c r="G504" s="24">
        <f t="shared" si="82"/>
        <v>1</v>
      </c>
      <c r="H504" s="719"/>
      <c r="I504" s="24">
        <f t="shared" si="83"/>
        <v>1</v>
      </c>
      <c r="J504" s="719"/>
      <c r="K504" s="24">
        <f t="shared" si="84"/>
        <v>1</v>
      </c>
      <c r="L504" s="719"/>
      <c r="M504" s="24">
        <f t="shared" si="85"/>
        <v>1</v>
      </c>
      <c r="N504" s="719"/>
      <c r="O504" s="24">
        <f t="shared" si="86"/>
        <v>1</v>
      </c>
      <c r="P504" s="719"/>
      <c r="Q504" s="24">
        <f t="shared" si="87"/>
        <v>1</v>
      </c>
      <c r="R504" s="715">
        <f t="shared" si="88"/>
        <v>0</v>
      </c>
      <c r="S504" s="361">
        <f t="shared" si="89"/>
        <v>0</v>
      </c>
    </row>
    <row r="505" spans="1:19">
      <c r="A505" s="159"/>
      <c r="B505" s="59"/>
      <c r="C505" s="24">
        <f t="shared" si="80"/>
        <v>1</v>
      </c>
      <c r="D505" s="719"/>
      <c r="E505" s="24">
        <f t="shared" si="81"/>
        <v>1</v>
      </c>
      <c r="F505" s="719"/>
      <c r="G505" s="24">
        <f t="shared" si="82"/>
        <v>1</v>
      </c>
      <c r="H505" s="719"/>
      <c r="I505" s="24">
        <f t="shared" si="83"/>
        <v>1</v>
      </c>
      <c r="J505" s="719"/>
      <c r="K505" s="24">
        <f t="shared" si="84"/>
        <v>1</v>
      </c>
      <c r="L505" s="719"/>
      <c r="M505" s="24">
        <f t="shared" si="85"/>
        <v>1</v>
      </c>
      <c r="N505" s="719"/>
      <c r="O505" s="24">
        <f t="shared" si="86"/>
        <v>1</v>
      </c>
      <c r="P505" s="719"/>
      <c r="Q505" s="24">
        <f t="shared" si="87"/>
        <v>1</v>
      </c>
      <c r="R505" s="715">
        <f t="shared" si="88"/>
        <v>0</v>
      </c>
      <c r="S505" s="361">
        <f t="shared" si="89"/>
        <v>0</v>
      </c>
    </row>
    <row r="506" spans="1:19">
      <c r="A506" s="159"/>
      <c r="B506" s="59"/>
      <c r="C506" s="24">
        <f t="shared" si="80"/>
        <v>1</v>
      </c>
      <c r="D506" s="719"/>
      <c r="E506" s="24">
        <f t="shared" si="81"/>
        <v>1</v>
      </c>
      <c r="F506" s="719"/>
      <c r="G506" s="24">
        <f t="shared" si="82"/>
        <v>1</v>
      </c>
      <c r="H506" s="719"/>
      <c r="I506" s="24">
        <f t="shared" si="83"/>
        <v>1</v>
      </c>
      <c r="J506" s="719"/>
      <c r="K506" s="24">
        <f t="shared" si="84"/>
        <v>1</v>
      </c>
      <c r="L506" s="719"/>
      <c r="M506" s="24">
        <f t="shared" si="85"/>
        <v>1</v>
      </c>
      <c r="N506" s="719"/>
      <c r="O506" s="24">
        <f t="shared" si="86"/>
        <v>1</v>
      </c>
      <c r="P506" s="719"/>
      <c r="Q506" s="24">
        <f t="shared" si="87"/>
        <v>1</v>
      </c>
      <c r="R506" s="715">
        <f t="shared" si="88"/>
        <v>0</v>
      </c>
      <c r="S506" s="361">
        <f t="shared" si="89"/>
        <v>0</v>
      </c>
    </row>
    <row r="507" spans="1:19">
      <c r="A507" s="159"/>
      <c r="B507" s="59"/>
      <c r="C507" s="24">
        <f t="shared" si="80"/>
        <v>1</v>
      </c>
      <c r="D507" s="719"/>
      <c r="E507" s="24">
        <f t="shared" si="81"/>
        <v>1</v>
      </c>
      <c r="F507" s="719"/>
      <c r="G507" s="24">
        <f t="shared" si="82"/>
        <v>1</v>
      </c>
      <c r="H507" s="719"/>
      <c r="I507" s="24">
        <f t="shared" si="83"/>
        <v>1</v>
      </c>
      <c r="J507" s="719"/>
      <c r="K507" s="24">
        <f t="shared" si="84"/>
        <v>1</v>
      </c>
      <c r="L507" s="719"/>
      <c r="M507" s="24">
        <f t="shared" si="85"/>
        <v>1</v>
      </c>
      <c r="N507" s="719"/>
      <c r="O507" s="24">
        <f t="shared" si="86"/>
        <v>1</v>
      </c>
      <c r="P507" s="719"/>
      <c r="Q507" s="24">
        <f t="shared" si="87"/>
        <v>1</v>
      </c>
      <c r="R507" s="715">
        <f t="shared" si="88"/>
        <v>0</v>
      </c>
      <c r="S507" s="361">
        <f t="shared" si="89"/>
        <v>0</v>
      </c>
    </row>
    <row r="508" spans="1:19">
      <c r="A508" s="159"/>
      <c r="B508" s="59"/>
      <c r="C508" s="24">
        <f t="shared" si="80"/>
        <v>1</v>
      </c>
      <c r="D508" s="719"/>
      <c r="E508" s="24">
        <f t="shared" si="81"/>
        <v>1</v>
      </c>
      <c r="F508" s="719"/>
      <c r="G508" s="24">
        <f t="shared" si="82"/>
        <v>1</v>
      </c>
      <c r="H508" s="719"/>
      <c r="I508" s="24">
        <f t="shared" si="83"/>
        <v>1</v>
      </c>
      <c r="J508" s="719"/>
      <c r="K508" s="24">
        <f t="shared" si="84"/>
        <v>1</v>
      </c>
      <c r="L508" s="719"/>
      <c r="M508" s="24">
        <f t="shared" si="85"/>
        <v>1</v>
      </c>
      <c r="N508" s="719"/>
      <c r="O508" s="24">
        <f t="shared" si="86"/>
        <v>1</v>
      </c>
      <c r="P508" s="719"/>
      <c r="Q508" s="24">
        <f t="shared" si="87"/>
        <v>1</v>
      </c>
      <c r="R508" s="715">
        <f t="shared" si="88"/>
        <v>0</v>
      </c>
      <c r="S508" s="361">
        <f t="shared" si="89"/>
        <v>0</v>
      </c>
    </row>
    <row r="509" spans="1:19">
      <c r="A509" s="159"/>
      <c r="B509" s="59"/>
      <c r="C509" s="24">
        <f t="shared" si="80"/>
        <v>1</v>
      </c>
      <c r="D509" s="719"/>
      <c r="E509" s="24">
        <f t="shared" si="81"/>
        <v>1</v>
      </c>
      <c r="F509" s="719"/>
      <c r="G509" s="24">
        <f t="shared" si="82"/>
        <v>1</v>
      </c>
      <c r="H509" s="719"/>
      <c r="I509" s="24">
        <f t="shared" si="83"/>
        <v>1</v>
      </c>
      <c r="J509" s="719"/>
      <c r="K509" s="24">
        <f t="shared" si="84"/>
        <v>1</v>
      </c>
      <c r="L509" s="719"/>
      <c r="M509" s="24">
        <f t="shared" si="85"/>
        <v>1</v>
      </c>
      <c r="N509" s="719"/>
      <c r="O509" s="24">
        <f t="shared" si="86"/>
        <v>1</v>
      </c>
      <c r="P509" s="719"/>
      <c r="Q509" s="24">
        <f t="shared" si="87"/>
        <v>1</v>
      </c>
      <c r="R509" s="715">
        <f t="shared" si="88"/>
        <v>0</v>
      </c>
      <c r="S509" s="361">
        <f t="shared" si="89"/>
        <v>0</v>
      </c>
    </row>
    <row r="510" spans="1:19">
      <c r="A510" s="159"/>
      <c r="B510" s="59"/>
      <c r="C510" s="24">
        <f t="shared" si="80"/>
        <v>1</v>
      </c>
      <c r="D510" s="719"/>
      <c r="E510" s="24">
        <f t="shared" si="81"/>
        <v>1</v>
      </c>
      <c r="F510" s="719"/>
      <c r="G510" s="24">
        <f t="shared" si="82"/>
        <v>1</v>
      </c>
      <c r="H510" s="719"/>
      <c r="I510" s="24">
        <f t="shared" si="83"/>
        <v>1</v>
      </c>
      <c r="J510" s="719"/>
      <c r="K510" s="24">
        <f t="shared" si="84"/>
        <v>1</v>
      </c>
      <c r="L510" s="719"/>
      <c r="M510" s="24">
        <f t="shared" si="85"/>
        <v>1</v>
      </c>
      <c r="N510" s="719"/>
      <c r="O510" s="24">
        <f t="shared" si="86"/>
        <v>1</v>
      </c>
      <c r="P510" s="719"/>
      <c r="Q510" s="24">
        <f t="shared" si="87"/>
        <v>1</v>
      </c>
      <c r="R510" s="715">
        <f t="shared" si="88"/>
        <v>0</v>
      </c>
      <c r="S510" s="361">
        <f t="shared" si="89"/>
        <v>0</v>
      </c>
    </row>
    <row r="511" spans="1:19">
      <c r="A511" s="159"/>
      <c r="B511" s="59"/>
      <c r="C511" s="24">
        <f t="shared" si="80"/>
        <v>1</v>
      </c>
      <c r="D511" s="719"/>
      <c r="E511" s="24">
        <f t="shared" si="81"/>
        <v>1</v>
      </c>
      <c r="F511" s="719"/>
      <c r="G511" s="24">
        <f t="shared" si="82"/>
        <v>1</v>
      </c>
      <c r="H511" s="719"/>
      <c r="I511" s="24">
        <f t="shared" si="83"/>
        <v>1</v>
      </c>
      <c r="J511" s="719"/>
      <c r="K511" s="24">
        <f t="shared" si="84"/>
        <v>1</v>
      </c>
      <c r="L511" s="719"/>
      <c r="M511" s="24">
        <f t="shared" si="85"/>
        <v>1</v>
      </c>
      <c r="N511" s="719"/>
      <c r="O511" s="24">
        <f t="shared" si="86"/>
        <v>1</v>
      </c>
      <c r="P511" s="719"/>
      <c r="Q511" s="24">
        <f t="shared" si="87"/>
        <v>1</v>
      </c>
      <c r="R511" s="715">
        <f t="shared" si="88"/>
        <v>0</v>
      </c>
      <c r="S511" s="361">
        <f t="shared" si="89"/>
        <v>0</v>
      </c>
    </row>
    <row r="512" spans="1:19">
      <c r="A512" s="159"/>
      <c r="B512" s="59"/>
      <c r="C512" s="24">
        <f t="shared" si="80"/>
        <v>1</v>
      </c>
      <c r="D512" s="719"/>
      <c r="E512" s="24">
        <f t="shared" si="81"/>
        <v>1</v>
      </c>
      <c r="F512" s="719"/>
      <c r="G512" s="24">
        <f t="shared" si="82"/>
        <v>1</v>
      </c>
      <c r="H512" s="719"/>
      <c r="I512" s="24">
        <f t="shared" si="83"/>
        <v>1</v>
      </c>
      <c r="J512" s="719"/>
      <c r="K512" s="24">
        <f t="shared" si="84"/>
        <v>1</v>
      </c>
      <c r="L512" s="719"/>
      <c r="M512" s="24">
        <f t="shared" si="85"/>
        <v>1</v>
      </c>
      <c r="N512" s="719"/>
      <c r="O512" s="24">
        <f t="shared" si="86"/>
        <v>1</v>
      </c>
      <c r="P512" s="719"/>
      <c r="Q512" s="24">
        <f t="shared" si="87"/>
        <v>1</v>
      </c>
      <c r="R512" s="715">
        <f t="shared" si="88"/>
        <v>0</v>
      </c>
      <c r="S512" s="361">
        <f t="shared" si="89"/>
        <v>0</v>
      </c>
    </row>
    <row r="513" spans="1:19">
      <c r="A513" s="159"/>
      <c r="B513" s="59"/>
      <c r="C513" s="24">
        <f t="shared" si="80"/>
        <v>1</v>
      </c>
      <c r="D513" s="719"/>
      <c r="E513" s="24">
        <f t="shared" si="81"/>
        <v>1</v>
      </c>
      <c r="F513" s="719"/>
      <c r="G513" s="24">
        <f t="shared" si="82"/>
        <v>1</v>
      </c>
      <c r="H513" s="719"/>
      <c r="I513" s="24">
        <f t="shared" si="83"/>
        <v>1</v>
      </c>
      <c r="J513" s="719"/>
      <c r="K513" s="24">
        <f t="shared" si="84"/>
        <v>1</v>
      </c>
      <c r="L513" s="719"/>
      <c r="M513" s="24">
        <f t="shared" si="85"/>
        <v>1</v>
      </c>
      <c r="N513" s="719"/>
      <c r="O513" s="24">
        <f t="shared" si="86"/>
        <v>1</v>
      </c>
      <c r="P513" s="719"/>
      <c r="Q513" s="24">
        <f t="shared" si="87"/>
        <v>1</v>
      </c>
      <c r="R513" s="715">
        <f t="shared" si="88"/>
        <v>0</v>
      </c>
      <c r="S513" s="361">
        <f t="shared" si="89"/>
        <v>0</v>
      </c>
    </row>
    <row r="514" spans="1:19">
      <c r="A514" s="159"/>
      <c r="B514" s="59"/>
      <c r="C514" s="24">
        <f t="shared" si="80"/>
        <v>1</v>
      </c>
      <c r="D514" s="719"/>
      <c r="E514" s="24">
        <f t="shared" si="81"/>
        <v>1</v>
      </c>
      <c r="F514" s="719"/>
      <c r="G514" s="24">
        <f t="shared" si="82"/>
        <v>1</v>
      </c>
      <c r="H514" s="719"/>
      <c r="I514" s="24">
        <f t="shared" si="83"/>
        <v>1</v>
      </c>
      <c r="J514" s="719"/>
      <c r="K514" s="24">
        <f t="shared" si="84"/>
        <v>1</v>
      </c>
      <c r="L514" s="719"/>
      <c r="M514" s="24">
        <f t="shared" si="85"/>
        <v>1</v>
      </c>
      <c r="N514" s="719"/>
      <c r="O514" s="24">
        <f t="shared" si="86"/>
        <v>1</v>
      </c>
      <c r="P514" s="719"/>
      <c r="Q514" s="24">
        <f t="shared" si="87"/>
        <v>1</v>
      </c>
      <c r="R514" s="715">
        <f t="shared" si="88"/>
        <v>0</v>
      </c>
      <c r="S514" s="361">
        <f t="shared" si="89"/>
        <v>0</v>
      </c>
    </row>
    <row r="515" spans="1:19">
      <c r="A515" s="159"/>
      <c r="B515" s="59"/>
      <c r="C515" s="24">
        <f t="shared" si="80"/>
        <v>1</v>
      </c>
      <c r="D515" s="719"/>
      <c r="E515" s="24">
        <f t="shared" si="81"/>
        <v>1</v>
      </c>
      <c r="F515" s="719"/>
      <c r="G515" s="24">
        <f t="shared" si="82"/>
        <v>1</v>
      </c>
      <c r="H515" s="719"/>
      <c r="I515" s="24">
        <f t="shared" si="83"/>
        <v>1</v>
      </c>
      <c r="J515" s="719"/>
      <c r="K515" s="24">
        <f t="shared" si="84"/>
        <v>1</v>
      </c>
      <c r="L515" s="719"/>
      <c r="M515" s="24">
        <f t="shared" si="85"/>
        <v>1</v>
      </c>
      <c r="N515" s="719"/>
      <c r="O515" s="24">
        <f t="shared" si="86"/>
        <v>1</v>
      </c>
      <c r="P515" s="719"/>
      <c r="Q515" s="24">
        <f t="shared" si="87"/>
        <v>1</v>
      </c>
      <c r="R515" s="715">
        <f t="shared" si="88"/>
        <v>0</v>
      </c>
      <c r="S515" s="361">
        <f t="shared" si="89"/>
        <v>0</v>
      </c>
    </row>
    <row r="516" spans="1:19">
      <c r="A516" s="159"/>
      <c r="B516" s="59"/>
      <c r="C516" s="24">
        <f t="shared" si="80"/>
        <v>1</v>
      </c>
      <c r="D516" s="719"/>
      <c r="E516" s="24">
        <f t="shared" si="81"/>
        <v>1</v>
      </c>
      <c r="F516" s="719"/>
      <c r="G516" s="24">
        <f t="shared" si="82"/>
        <v>1</v>
      </c>
      <c r="H516" s="719"/>
      <c r="I516" s="24">
        <f t="shared" si="83"/>
        <v>1</v>
      </c>
      <c r="J516" s="719"/>
      <c r="K516" s="24">
        <f t="shared" si="84"/>
        <v>1</v>
      </c>
      <c r="L516" s="719"/>
      <c r="M516" s="24">
        <f t="shared" si="85"/>
        <v>1</v>
      </c>
      <c r="N516" s="719"/>
      <c r="O516" s="24">
        <f t="shared" si="86"/>
        <v>1</v>
      </c>
      <c r="P516" s="719"/>
      <c r="Q516" s="24">
        <f t="shared" si="87"/>
        <v>1</v>
      </c>
      <c r="R516" s="715">
        <f t="shared" si="88"/>
        <v>0</v>
      </c>
      <c r="S516" s="361">
        <f t="shared" si="89"/>
        <v>0</v>
      </c>
    </row>
    <row r="517" spans="1:19">
      <c r="A517" s="159"/>
      <c r="B517" s="59"/>
      <c r="C517" s="24">
        <f t="shared" si="80"/>
        <v>1</v>
      </c>
      <c r="D517" s="719"/>
      <c r="E517" s="24">
        <f t="shared" si="81"/>
        <v>1</v>
      </c>
      <c r="F517" s="719"/>
      <c r="G517" s="24">
        <f t="shared" si="82"/>
        <v>1</v>
      </c>
      <c r="H517" s="719"/>
      <c r="I517" s="24">
        <f t="shared" si="83"/>
        <v>1</v>
      </c>
      <c r="J517" s="719"/>
      <c r="K517" s="24">
        <f t="shared" si="84"/>
        <v>1</v>
      </c>
      <c r="L517" s="719"/>
      <c r="M517" s="24">
        <f t="shared" si="85"/>
        <v>1</v>
      </c>
      <c r="N517" s="719"/>
      <c r="O517" s="24">
        <f t="shared" si="86"/>
        <v>1</v>
      </c>
      <c r="P517" s="719"/>
      <c r="Q517" s="24">
        <f t="shared" si="87"/>
        <v>1</v>
      </c>
      <c r="R517" s="715">
        <f t="shared" si="88"/>
        <v>0</v>
      </c>
      <c r="S517" s="361">
        <f t="shared" si="89"/>
        <v>0</v>
      </c>
    </row>
    <row r="518" spans="1:19">
      <c r="A518" s="159"/>
      <c r="B518" s="59"/>
      <c r="C518" s="24">
        <f t="shared" si="80"/>
        <v>1</v>
      </c>
      <c r="D518" s="719"/>
      <c r="E518" s="24">
        <f t="shared" si="81"/>
        <v>1</v>
      </c>
      <c r="F518" s="719"/>
      <c r="G518" s="24">
        <f t="shared" si="82"/>
        <v>1</v>
      </c>
      <c r="H518" s="719"/>
      <c r="I518" s="24">
        <f t="shared" si="83"/>
        <v>1</v>
      </c>
      <c r="J518" s="719"/>
      <c r="K518" s="24">
        <f t="shared" si="84"/>
        <v>1</v>
      </c>
      <c r="L518" s="719"/>
      <c r="M518" s="24">
        <f t="shared" si="85"/>
        <v>1</v>
      </c>
      <c r="N518" s="719"/>
      <c r="O518" s="24">
        <f t="shared" si="86"/>
        <v>1</v>
      </c>
      <c r="P518" s="719"/>
      <c r="Q518" s="24">
        <f t="shared" si="87"/>
        <v>1</v>
      </c>
      <c r="R518" s="715">
        <f t="shared" si="88"/>
        <v>0</v>
      </c>
      <c r="S518" s="361">
        <f t="shared" si="89"/>
        <v>0</v>
      </c>
    </row>
    <row r="519" spans="1:19">
      <c r="A519" s="159"/>
      <c r="B519" s="59"/>
      <c r="C519" s="24">
        <f t="shared" si="80"/>
        <v>1</v>
      </c>
      <c r="D519" s="719"/>
      <c r="E519" s="24">
        <f t="shared" si="81"/>
        <v>1</v>
      </c>
      <c r="F519" s="719"/>
      <c r="G519" s="24">
        <f t="shared" si="82"/>
        <v>1</v>
      </c>
      <c r="H519" s="719"/>
      <c r="I519" s="24">
        <f t="shared" si="83"/>
        <v>1</v>
      </c>
      <c r="J519" s="719"/>
      <c r="K519" s="24">
        <f t="shared" si="84"/>
        <v>1</v>
      </c>
      <c r="L519" s="719"/>
      <c r="M519" s="24">
        <f t="shared" si="85"/>
        <v>1</v>
      </c>
      <c r="N519" s="719"/>
      <c r="O519" s="24">
        <f t="shared" si="86"/>
        <v>1</v>
      </c>
      <c r="P519" s="719"/>
      <c r="Q519" s="24">
        <f t="shared" si="87"/>
        <v>1</v>
      </c>
      <c r="R519" s="715">
        <f t="shared" si="88"/>
        <v>0</v>
      </c>
      <c r="S519" s="361">
        <f t="shared" si="89"/>
        <v>0</v>
      </c>
    </row>
    <row r="520" spans="1:19">
      <c r="A520" s="159"/>
      <c r="B520" s="59"/>
      <c r="C520" s="24">
        <f t="shared" si="80"/>
        <v>1</v>
      </c>
      <c r="D520" s="719"/>
      <c r="E520" s="24">
        <f t="shared" si="81"/>
        <v>1</v>
      </c>
      <c r="F520" s="719"/>
      <c r="G520" s="24">
        <f t="shared" si="82"/>
        <v>1</v>
      </c>
      <c r="H520" s="719"/>
      <c r="I520" s="24">
        <f t="shared" si="83"/>
        <v>1</v>
      </c>
      <c r="J520" s="719"/>
      <c r="K520" s="24">
        <f t="shared" si="84"/>
        <v>1</v>
      </c>
      <c r="L520" s="719"/>
      <c r="M520" s="24">
        <f t="shared" si="85"/>
        <v>1</v>
      </c>
      <c r="N520" s="719"/>
      <c r="O520" s="24">
        <f t="shared" si="86"/>
        <v>1</v>
      </c>
      <c r="P520" s="719"/>
      <c r="Q520" s="24">
        <f t="shared" si="87"/>
        <v>1</v>
      </c>
      <c r="R520" s="715">
        <f t="shared" si="88"/>
        <v>0</v>
      </c>
      <c r="S520" s="361">
        <f t="shared" si="89"/>
        <v>0</v>
      </c>
    </row>
    <row r="521" spans="1:19">
      <c r="A521" s="159"/>
      <c r="B521" s="59"/>
      <c r="C521" s="24">
        <f t="shared" si="80"/>
        <v>1</v>
      </c>
      <c r="D521" s="719"/>
      <c r="E521" s="24">
        <f t="shared" si="81"/>
        <v>1</v>
      </c>
      <c r="F521" s="719"/>
      <c r="G521" s="24">
        <f t="shared" si="82"/>
        <v>1</v>
      </c>
      <c r="H521" s="719"/>
      <c r="I521" s="24">
        <f t="shared" si="83"/>
        <v>1</v>
      </c>
      <c r="J521" s="719"/>
      <c r="K521" s="24">
        <f t="shared" si="84"/>
        <v>1</v>
      </c>
      <c r="L521" s="719"/>
      <c r="M521" s="24">
        <f t="shared" si="85"/>
        <v>1</v>
      </c>
      <c r="N521" s="719"/>
      <c r="O521" s="24">
        <f t="shared" si="86"/>
        <v>1</v>
      </c>
      <c r="P521" s="719"/>
      <c r="Q521" s="24">
        <f t="shared" si="87"/>
        <v>1</v>
      </c>
      <c r="R521" s="715">
        <f t="shared" si="88"/>
        <v>0</v>
      </c>
      <c r="S521" s="361">
        <f t="shared" si="89"/>
        <v>0</v>
      </c>
    </row>
    <row r="522" spans="1:19">
      <c r="A522" s="159"/>
      <c r="B522" s="59"/>
      <c r="C522" s="24">
        <f t="shared" si="80"/>
        <v>1</v>
      </c>
      <c r="D522" s="719"/>
      <c r="E522" s="24">
        <f t="shared" si="81"/>
        <v>1</v>
      </c>
      <c r="F522" s="719"/>
      <c r="G522" s="24">
        <f t="shared" si="82"/>
        <v>1</v>
      </c>
      <c r="H522" s="719"/>
      <c r="I522" s="24">
        <f t="shared" si="83"/>
        <v>1</v>
      </c>
      <c r="J522" s="719"/>
      <c r="K522" s="24">
        <f t="shared" si="84"/>
        <v>1</v>
      </c>
      <c r="L522" s="719"/>
      <c r="M522" s="24">
        <f t="shared" si="85"/>
        <v>1</v>
      </c>
      <c r="N522" s="719"/>
      <c r="O522" s="24">
        <f t="shared" si="86"/>
        <v>1</v>
      </c>
      <c r="P522" s="719"/>
      <c r="Q522" s="24">
        <f t="shared" si="87"/>
        <v>1</v>
      </c>
      <c r="R522" s="715">
        <f t="shared" si="88"/>
        <v>0</v>
      </c>
      <c r="S522" s="361">
        <f t="shared" si="89"/>
        <v>0</v>
      </c>
    </row>
    <row r="523" spans="1:19">
      <c r="A523" s="159"/>
      <c r="B523" s="59"/>
      <c r="C523" s="24">
        <f t="shared" si="80"/>
        <v>1</v>
      </c>
      <c r="D523" s="719"/>
      <c r="E523" s="24">
        <f t="shared" si="81"/>
        <v>1</v>
      </c>
      <c r="F523" s="719"/>
      <c r="G523" s="24">
        <f t="shared" si="82"/>
        <v>1</v>
      </c>
      <c r="H523" s="719"/>
      <c r="I523" s="24">
        <f t="shared" si="83"/>
        <v>1</v>
      </c>
      <c r="J523" s="719"/>
      <c r="K523" s="24">
        <f t="shared" si="84"/>
        <v>1</v>
      </c>
      <c r="L523" s="719"/>
      <c r="M523" s="24">
        <f t="shared" si="85"/>
        <v>1</v>
      </c>
      <c r="N523" s="719"/>
      <c r="O523" s="24">
        <f t="shared" si="86"/>
        <v>1</v>
      </c>
      <c r="P523" s="719"/>
      <c r="Q523" s="24">
        <f t="shared" si="87"/>
        <v>1</v>
      </c>
      <c r="R523" s="715">
        <f t="shared" si="88"/>
        <v>0</v>
      </c>
      <c r="S523" s="361">
        <f t="shared" si="89"/>
        <v>0</v>
      </c>
    </row>
    <row r="524" spans="1:19">
      <c r="A524" s="159"/>
      <c r="B524" s="59"/>
      <c r="C524" s="24">
        <f t="shared" si="80"/>
        <v>1</v>
      </c>
      <c r="D524" s="719"/>
      <c r="E524" s="24">
        <f t="shared" si="81"/>
        <v>1</v>
      </c>
      <c r="F524" s="719"/>
      <c r="G524" s="24">
        <f t="shared" si="82"/>
        <v>1</v>
      </c>
      <c r="H524" s="719"/>
      <c r="I524" s="24">
        <f t="shared" si="83"/>
        <v>1</v>
      </c>
      <c r="J524" s="719"/>
      <c r="K524" s="24">
        <f t="shared" si="84"/>
        <v>1</v>
      </c>
      <c r="L524" s="719"/>
      <c r="M524" s="24">
        <f t="shared" si="85"/>
        <v>1</v>
      </c>
      <c r="N524" s="719"/>
      <c r="O524" s="24">
        <f t="shared" si="86"/>
        <v>1</v>
      </c>
      <c r="P524" s="719"/>
      <c r="Q524" s="24">
        <f t="shared" si="87"/>
        <v>1</v>
      </c>
      <c r="R524" s="715">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9.5" thickBot="1">
      <c r="A4" s="1962"/>
      <c r="B4" s="3002" t="s">
        <v>1630</v>
      </c>
      <c r="C4" s="3002"/>
      <c r="D4" s="3002"/>
      <c r="E4" s="1962"/>
    </row>
    <row r="5" spans="1:5" ht="16.5" thickTop="1">
      <c r="A5" s="1960"/>
      <c r="B5" s="3000" t="s">
        <v>1622</v>
      </c>
      <c r="C5" s="1963" t="s">
        <v>1623</v>
      </c>
      <c r="D5" s="1042">
        <f ca="1">结果表!H101</f>
        <v>19592</v>
      </c>
      <c r="E5" s="1960"/>
    </row>
    <row r="6" spans="1:5" ht="15.75">
      <c r="A6" s="1960"/>
      <c r="B6" s="3000"/>
      <c r="C6" s="1963" t="s">
        <v>1624</v>
      </c>
      <c r="D6" s="1042" t="str">
        <f ca="1">NUMBERSTRING(INT(D5*10000),2)&amp;"元整"</f>
        <v>壹亿玖仟伍佰玖拾贰万元整</v>
      </c>
      <c r="E6" s="1960"/>
    </row>
    <row r="7" spans="1:5" ht="15.75">
      <c r="A7" s="1960"/>
      <c r="B7" s="3005"/>
      <c r="C7" s="1964" t="s">
        <v>1625</v>
      </c>
      <c r="D7" s="1043">
        <f ca="1">结果表!H102</f>
        <v>7596</v>
      </c>
      <c r="E7" s="1960"/>
    </row>
    <row r="8" spans="1:5" ht="15.75">
      <c r="A8" s="1960"/>
      <c r="B8" s="3006" t="str">
        <f>结果表!E103</f>
        <v>2.估价师知悉的法定优先受偿款</v>
      </c>
      <c r="C8" s="1965" t="s">
        <v>1626</v>
      </c>
      <c r="D8" s="1043">
        <f>结果表!H103</f>
        <v>0</v>
      </c>
      <c r="E8" s="1960"/>
    </row>
    <row r="9" spans="1:5" ht="15.75">
      <c r="A9" s="1960"/>
      <c r="B9" s="3008"/>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2999" t="str">
        <f>结果表!E107</f>
        <v>3.房地产抵押价值</v>
      </c>
      <c r="C13" s="1968" t="s">
        <v>1623</v>
      </c>
      <c r="D13" s="1045">
        <f ca="1">结果表!H107</f>
        <v>19592</v>
      </c>
      <c r="E13" s="1960"/>
    </row>
    <row r="14" spans="1:5" ht="15.75">
      <c r="A14" s="1960"/>
      <c r="B14" s="3000"/>
      <c r="C14" s="1963" t="s">
        <v>1624</v>
      </c>
      <c r="D14" s="1042" t="str">
        <f ca="1">NUMBERSTRING(INT(D13*10000),2)&amp;"元整"</f>
        <v>壹亿玖仟伍佰玖拾贰万元整</v>
      </c>
      <c r="E14" s="1960"/>
    </row>
    <row r="15" spans="1:5" ht="15">
      <c r="A15" s="1960"/>
      <c r="B15" s="3005"/>
      <c r="C15" s="1964" t="s">
        <v>1634</v>
      </c>
      <c r="D15" s="1054">
        <f ca="1">结果表!H108</f>
        <v>7596</v>
      </c>
      <c r="E15" s="1960"/>
    </row>
    <row r="16" spans="1:5" ht="15">
      <c r="A16" s="1960"/>
      <c r="B16" s="3006" t="str">
        <f>结果表!E109</f>
        <v>——</v>
      </c>
      <c r="C16" s="1968" t="s">
        <v>1635</v>
      </c>
      <c r="D16" s="1969" t="str">
        <f>结果表!H109</f>
        <v>——</v>
      </c>
      <c r="E16" s="1960"/>
    </row>
    <row r="17" spans="1:5" ht="15.75">
      <c r="A17" s="1960"/>
      <c r="B17" s="3007"/>
      <c r="C17" s="1963" t="s">
        <v>1636</v>
      </c>
      <c r="D17" s="1042" t="e">
        <f>NUMBERSTRING(INT(D16*10000),2)&amp;"元整"</f>
        <v>#VALUE!</v>
      </c>
      <c r="E17" s="1960"/>
    </row>
    <row r="18" spans="1:5" ht="15">
      <c r="A18" s="1960"/>
      <c r="B18" s="3008"/>
      <c r="C18" s="1964" t="s">
        <v>1625</v>
      </c>
      <c r="D18" s="1054" t="str">
        <f>结果表!H110</f>
        <v>——</v>
      </c>
      <c r="E18" s="1960"/>
    </row>
    <row r="19" spans="1:5" ht="15.75">
      <c r="A19" s="1960"/>
      <c r="B19" s="2999" t="str">
        <f>结果表!E111</f>
        <v>——</v>
      </c>
      <c r="C19" s="1968" t="s">
        <v>1623</v>
      </c>
      <c r="D19" s="1043" t="str">
        <f>结果表!H111</f>
        <v>——</v>
      </c>
      <c r="E19" s="1960"/>
    </row>
    <row r="20" spans="1:5" ht="15.75">
      <c r="A20" s="1960"/>
      <c r="B20" s="3000"/>
      <c r="C20" s="1963" t="s">
        <v>1636</v>
      </c>
      <c r="D20" s="1042" t="e">
        <f>NUMBERSTRING(INT(D19*10000),2)&amp;"元整"</f>
        <v>#VALUE!</v>
      </c>
      <c r="E20" s="1960"/>
    </row>
    <row r="21" spans="1:5" ht="15.75" thickBot="1">
      <c r="A21" s="1960"/>
      <c r="B21" s="3001"/>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44439</v>
      </c>
      <c r="C2" s="2" t="s">
        <v>133</v>
      </c>
      <c r="D2" s="243"/>
      <c r="E2" s="243"/>
      <c r="F2" s="243"/>
      <c r="G2" s="243"/>
    </row>
    <row r="3" spans="1:7" s="244" customFormat="1" ht="18" customHeight="1" thickBot="1">
      <c r="A3" s="247" t="s">
        <v>85</v>
      </c>
      <c r="B3" s="248">
        <f ca="1">ROUND(B2*10000/'数据-汇总表'!E3,0)</f>
        <v>17229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593</v>
      </c>
      <c r="D10" s="1034">
        <f>'数据-汇总表'!E6</f>
        <v>25792.44</v>
      </c>
      <c r="E10" s="269">
        <f>'数据-取费表'!B28</f>
        <v>230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387</v>
      </c>
      <c r="D19" s="1038">
        <f>'数据-汇总表'!E3</f>
        <v>25792.44</v>
      </c>
      <c r="E19" s="255">
        <f>'数据-取费表'!B31</f>
        <v>150</v>
      </c>
      <c r="F19" s="275"/>
      <c r="G19" s="1" t="s">
        <v>1074</v>
      </c>
    </row>
    <row r="20" spans="1:7" s="258" customFormat="1" ht="13.5" customHeight="1">
      <c r="A20" s="950" t="s">
        <v>1057</v>
      </c>
      <c r="B20" s="254" t="s">
        <v>104</v>
      </c>
      <c r="C20" s="276">
        <f>ROUND((C5+C19)*F20,0)</f>
        <v>210</v>
      </c>
      <c r="D20" s="276"/>
      <c r="E20" s="276"/>
      <c r="F20" s="277">
        <f>'数据-取费表'!B37</f>
        <v>0.01</v>
      </c>
      <c r="G20" s="1290"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5">
        <f ca="1">ROUND(SUM(C23:C25),0)</f>
        <v>2052</v>
      </c>
      <c r="D22" s="279">
        <f ca="1">C26</f>
        <v>5.0000000000000001E-4</v>
      </c>
      <c r="E22" s="280" t="s">
        <v>126</v>
      </c>
      <c r="F22" s="281">
        <f ca="1">'数据-取费表'!B40</f>
        <v>4.7500000000000001E-2</v>
      </c>
      <c r="G22" s="1290" t="str">
        <f>IF('数据-取费表'!B22&lt;=1,"单利计息","复利计息")</f>
        <v>复利计息</v>
      </c>
    </row>
    <row r="23" spans="1:7" s="258" customFormat="1" ht="13.5" customHeight="1">
      <c r="A23" s="953" t="s">
        <v>794</v>
      </c>
      <c r="B23" s="259" t="s">
        <v>1061</v>
      </c>
      <c r="C23" s="1356">
        <f ca="1">ROUND(IF('数据-取费表'!B22&lt;=1,C5*F22*'数据-取费表'!B23,C5*(POWER((1+F22),'数据-取费表'!B23)-1)),0)</f>
        <v>2004</v>
      </c>
      <c r="D23" s="282"/>
      <c r="E23" s="282"/>
      <c r="F23" s="283"/>
      <c r="G23" s="284" t="s">
        <v>108</v>
      </c>
    </row>
    <row r="24" spans="1:7" s="258" customFormat="1" ht="13.5" customHeight="1">
      <c r="A24" s="953" t="s">
        <v>792</v>
      </c>
      <c r="B24" s="259" t="s">
        <v>1056</v>
      </c>
      <c r="C24" s="1356">
        <f ca="1">ROUND(IF('数据-取费表'!B22&lt;=1,C19*F22*('数据-取费表'!B19/2+'数据-取费表'!B21),C19*(POWER((1+F22),('数据-取费表'!B19/2+'数据-取费表'!B21))-1)),0)</f>
        <v>38</v>
      </c>
      <c r="D24" s="282"/>
      <c r="E24" s="282"/>
      <c r="F24" s="283"/>
      <c r="G24" s="284" t="s">
        <v>109</v>
      </c>
    </row>
    <row r="25" spans="1:7" s="258" customFormat="1" ht="24">
      <c r="A25" s="953" t="s">
        <v>793</v>
      </c>
      <c r="B25" s="259" t="s">
        <v>1058</v>
      </c>
      <c r="C25" s="1356">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4.75">
      <c r="A27" s="950" t="s">
        <v>787</v>
      </c>
      <c r="B27" s="288" t="s">
        <v>112</v>
      </c>
      <c r="C27" s="289">
        <f>C28</f>
        <v>3181</v>
      </c>
      <c r="D27" s="279">
        <f>C29</f>
        <v>1.5E-3</v>
      </c>
      <c r="E27" s="280" t="s">
        <v>126</v>
      </c>
      <c r="F27" s="290">
        <f>'数据-取费表'!Q16</f>
        <v>0.15</v>
      </c>
      <c r="G27" s="291" t="s">
        <v>1069</v>
      </c>
    </row>
    <row r="28" spans="1:7" s="258" customFormat="1" ht="13.5" customHeight="1">
      <c r="A28" s="953" t="s">
        <v>794</v>
      </c>
      <c r="B28" s="292" t="s">
        <v>1062</v>
      </c>
      <c r="C28" s="293">
        <f>ROUND((C5+C19+C20)*F27*'数据-取费表'!B21/'数据-取费表'!B20,0)</f>
        <v>3181</v>
      </c>
      <c r="D28" s="279"/>
      <c r="E28" s="280"/>
      <c r="F28" s="290"/>
      <c r="G28" s="291"/>
    </row>
    <row r="29" spans="1:7" s="258" customFormat="1" ht="13.5" customHeight="1">
      <c r="A29" s="953" t="s">
        <v>792</v>
      </c>
      <c r="B29" s="292" t="s">
        <v>1063</v>
      </c>
      <c r="C29" s="282">
        <f>ROUND(C21*F27*'数据-取费表'!B21/'数据-取费表'!B20,4)</f>
        <v>1.5E-3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28259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12516</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11607</v>
      </c>
      <c r="D34" s="261"/>
      <c r="E34" s="264"/>
      <c r="F34" s="301">
        <f>IF('数据-取费表'!B24=0,1,'数据-取费表'!N16)</f>
        <v>1</v>
      </c>
      <c r="G34" s="263" t="s">
        <v>116</v>
      </c>
    </row>
    <row r="35" spans="1:7" ht="13.5" customHeight="1">
      <c r="A35" s="953" t="s">
        <v>796</v>
      </c>
      <c r="B35" s="259" t="s">
        <v>60</v>
      </c>
      <c r="C35" s="264">
        <f>ROUND(C34*F35,0)</f>
        <v>348</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387</v>
      </c>
      <c r="D37" s="261">
        <f>'数据-汇总表'!E3</f>
        <v>25792.44</v>
      </c>
      <c r="E37" s="293">
        <f>'数据-取费表'!B35</f>
        <v>150</v>
      </c>
      <c r="F37" s="303"/>
      <c r="G37" s="305" t="s">
        <v>119</v>
      </c>
    </row>
    <row r="38" spans="1:7" ht="13.5" customHeight="1">
      <c r="A38" s="953" t="s">
        <v>799</v>
      </c>
      <c r="B38" s="259" t="s">
        <v>63</v>
      </c>
      <c r="C38" s="264">
        <f>ROUND(C34*F38,0)</f>
        <v>174</v>
      </c>
      <c r="D38" s="264"/>
      <c r="E38" s="264"/>
      <c r="F38" s="303">
        <f>'数据-取费表'!B36</f>
        <v>1.4999999999999999E-2</v>
      </c>
      <c r="G38" s="263" t="s">
        <v>117</v>
      </c>
    </row>
    <row r="39" spans="1:7" s="258" customFormat="1" ht="13.5" customHeight="1">
      <c r="A39" s="950" t="s">
        <v>783</v>
      </c>
      <c r="B39" s="254" t="s">
        <v>104</v>
      </c>
      <c r="C39" s="276">
        <f>ROUND(C33*F20,0)</f>
        <v>125</v>
      </c>
      <c r="D39" s="276"/>
      <c r="E39" s="276"/>
      <c r="F39" s="277"/>
      <c r="G39" s="1290"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601</v>
      </c>
      <c r="D41" s="279">
        <f ca="1">C44</f>
        <v>5.0000000000000001E-4</v>
      </c>
      <c r="E41" s="280" t="s">
        <v>129</v>
      </c>
      <c r="F41" s="281"/>
      <c r="G41" s="1290" t="str">
        <f>IF('数据-取费表'!B22&lt;=1,"单利计息","复利计息")</f>
        <v>复利计息</v>
      </c>
    </row>
    <row r="42" spans="1:7" ht="13.5" customHeight="1">
      <c r="A42" s="953" t="s">
        <v>794</v>
      </c>
      <c r="B42" s="259" t="s">
        <v>1061</v>
      </c>
      <c r="C42" s="282">
        <f ca="1">ROUND(IF('数据-取费表'!B22&lt;=1,C33*F22*'数据-取费表'!B21/2,C33*(POWER((1+F22),'数据-取费表'!B21/2)-1)),0)</f>
        <v>595</v>
      </c>
      <c r="D42" s="282"/>
      <c r="E42" s="282"/>
      <c r="F42" s="283"/>
      <c r="G42" s="3227" t="s">
        <v>121</v>
      </c>
    </row>
    <row r="43" spans="1:7" ht="13.5" customHeight="1">
      <c r="A43" s="953" t="s">
        <v>792</v>
      </c>
      <c r="B43" s="259" t="s">
        <v>1064</v>
      </c>
      <c r="C43" s="282">
        <f ca="1">ROUND(IF('数据-取费表'!B22&lt;=1,C39*F22*'数据-取费表'!B21/2,C39*(POWER((1+F22),'数据-取费表'!B21/2)-1)),0)</f>
        <v>6</v>
      </c>
      <c r="D43" s="282"/>
      <c r="E43" s="282"/>
      <c r="F43" s="283"/>
      <c r="G43" s="3228"/>
    </row>
    <row r="44" spans="1:7" ht="13.5" customHeight="1">
      <c r="A44" s="953" t="s">
        <v>793</v>
      </c>
      <c r="B44" s="259" t="s">
        <v>1066</v>
      </c>
      <c r="C44" s="282">
        <f ca="1">ROUND(IF('数据-取费表'!B22&lt;=1,C40*F22*'数据-取费表'!B21/2,C40*(POWER((1+F22),'数据-取费表'!B21/2)-1)),4)</f>
        <v>5.0000000000000001E-4</v>
      </c>
      <c r="D44" s="282"/>
      <c r="E44" s="282"/>
      <c r="F44" s="283"/>
      <c r="G44" s="3229"/>
    </row>
    <row r="45" spans="1:7" s="258" customFormat="1" ht="13.5" customHeight="1">
      <c r="A45" s="950" t="s">
        <v>786</v>
      </c>
      <c r="B45" s="288" t="s">
        <v>112</v>
      </c>
      <c r="C45" s="289">
        <f>C46</f>
        <v>1896</v>
      </c>
      <c r="D45" s="279">
        <f>C47</f>
        <v>1.5E-3</v>
      </c>
      <c r="E45" s="280" t="s">
        <v>129</v>
      </c>
      <c r="F45" s="290"/>
      <c r="G45" s="291" t="s">
        <v>1072</v>
      </c>
    </row>
    <row r="46" spans="1:7" s="258" customFormat="1" ht="13.5" customHeight="1">
      <c r="A46" s="953" t="s">
        <v>794</v>
      </c>
      <c r="B46" s="292" t="s">
        <v>1065</v>
      </c>
      <c r="C46" s="293">
        <f>ROUND((C33+C39)*F27,0)</f>
        <v>1896</v>
      </c>
      <c r="D46" s="307"/>
      <c r="E46" s="280"/>
      <c r="F46" s="290"/>
      <c r="G46" s="291"/>
    </row>
    <row r="47" spans="1:7" s="258" customFormat="1" ht="13.5" customHeight="1">
      <c r="A47" s="953" t="s">
        <v>792</v>
      </c>
      <c r="B47" s="292" t="s">
        <v>1067</v>
      </c>
      <c r="C47" s="282">
        <f>ROUND(C40*F27,4)</f>
        <v>1.5E-3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16180</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16180</v>
      </c>
      <c r="D51" s="276"/>
      <c r="E51" s="276"/>
      <c r="F51" s="308"/>
      <c r="G51" s="278" t="s">
        <v>64</v>
      </c>
    </row>
    <row r="52" spans="1:7" s="252" customFormat="1" ht="16.5" thickBot="1">
      <c r="A52" s="309" t="s">
        <v>65</v>
      </c>
      <c r="B52" s="310"/>
      <c r="C52" s="311">
        <f ca="1">C31+C51</f>
        <v>44439</v>
      </c>
      <c r="D52" s="310"/>
      <c r="E52" s="310"/>
      <c r="F52" s="310"/>
      <c r="G52" s="312"/>
    </row>
    <row r="55" spans="1:7" ht="15">
      <c r="B55" s="314" t="s">
        <v>66</v>
      </c>
      <c r="C55" s="315"/>
    </row>
    <row r="56" spans="1:7">
      <c r="B56" s="317" t="s">
        <v>67</v>
      </c>
      <c r="C56" s="318">
        <f ca="1">ROUND(C51/C52,3)</f>
        <v>0.36399999999999999</v>
      </c>
    </row>
    <row r="57" spans="1:7">
      <c r="B57" s="317" t="s">
        <v>68</v>
      </c>
      <c r="C57" s="319">
        <f ca="1">1-C56</f>
        <v>0.63600000000000001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1" t="s">
        <v>156</v>
      </c>
      <c r="B1" s="3321"/>
      <c r="C1" s="3321"/>
      <c r="D1" s="3321"/>
      <c r="E1" s="3321"/>
      <c r="F1" s="33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2" t="s">
        <v>169</v>
      </c>
      <c r="B2" s="3322"/>
      <c r="C2" s="3322"/>
      <c r="D2" s="3322"/>
      <c r="E2" s="3322"/>
      <c r="F2" s="33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1" t="s">
        <v>871</v>
      </c>
      <c r="B1" s="332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43692</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B1:Q71"/>
  <sheetViews>
    <sheetView workbookViewId="0">
      <selection activeCell="P27" sqref="P27"/>
    </sheetView>
  </sheetViews>
  <sheetFormatPr defaultRowHeight="14.25"/>
  <cols>
    <col min="2" max="2" width="18.375" bestFit="1" customWidth="1"/>
    <col min="3" max="3" width="23" bestFit="1" customWidth="1"/>
    <col min="5" max="5" width="11.625" bestFit="1" customWidth="1"/>
    <col min="11" max="11" width="9" style="1946"/>
    <col min="12" max="12" width="13.375" style="1946" bestFit="1" customWidth="1"/>
    <col min="13" max="13" width="9.125" style="1946" bestFit="1" customWidth="1"/>
    <col min="14" max="14" width="11" style="1946" bestFit="1" customWidth="1"/>
    <col min="15" max="15" width="10.5" style="1946" bestFit="1" customWidth="1"/>
    <col min="17" max="17" width="10.625" customWidth="1"/>
  </cols>
  <sheetData>
    <row r="1" spans="2:17">
      <c r="B1" s="1273"/>
      <c r="C1" s="1273"/>
      <c r="D1" s="2211"/>
      <c r="E1" s="2211"/>
      <c r="F1" s="2953" t="s">
        <v>3107</v>
      </c>
      <c r="G1" s="2953" t="s">
        <v>3108</v>
      </c>
      <c r="H1" s="2211"/>
      <c r="I1" s="2211"/>
      <c r="K1" s="2958"/>
      <c r="L1" s="2958" t="s">
        <v>3170</v>
      </c>
      <c r="M1" s="2958" t="s">
        <v>3171</v>
      </c>
      <c r="N1" s="2958" t="s">
        <v>3172</v>
      </c>
      <c r="O1" s="2958" t="s">
        <v>3173</v>
      </c>
      <c r="P1" s="2960" t="s">
        <v>3174</v>
      </c>
    </row>
    <row r="2" spans="2:17">
      <c r="B2" s="1273">
        <v>1</v>
      </c>
      <c r="C2" s="1273" t="s">
        <v>3056</v>
      </c>
      <c r="D2" s="2211">
        <v>10221.700000000001</v>
      </c>
      <c r="E2" s="2211"/>
      <c r="F2" s="2211">
        <v>8500</v>
      </c>
      <c r="G2" s="2211"/>
      <c r="H2" s="2211"/>
      <c r="I2" s="2211">
        <f>D2-F2</f>
        <v>1721.7000000000007</v>
      </c>
      <c r="K2" s="2962" t="s">
        <v>3161</v>
      </c>
      <c r="L2" s="2963">
        <v>8567.6599999999944</v>
      </c>
      <c r="M2" s="2963">
        <v>548.74</v>
      </c>
      <c r="N2" s="2962"/>
      <c r="O2" s="2963">
        <v>9116.3999999999942</v>
      </c>
      <c r="P2" s="2964">
        <v>17</v>
      </c>
      <c r="Q2" s="2967">
        <f>20%+10/17*40%</f>
        <v>0.43529411764705883</v>
      </c>
    </row>
    <row r="3" spans="2:17">
      <c r="B3" s="1273">
        <v>2</v>
      </c>
      <c r="C3" s="1273" t="s">
        <v>3057</v>
      </c>
      <c r="D3" s="2211"/>
      <c r="E3" s="2211">
        <v>6883</v>
      </c>
      <c r="F3" s="2211"/>
      <c r="G3" s="2211">
        <v>4729</v>
      </c>
      <c r="H3" s="2211"/>
      <c r="I3" s="2211">
        <f>E3-G3</f>
        <v>2154</v>
      </c>
      <c r="K3" s="2958" t="s">
        <v>3162</v>
      </c>
      <c r="L3" s="2959">
        <v>3169.0800000000036</v>
      </c>
      <c r="M3" s="2959">
        <v>513.04</v>
      </c>
      <c r="N3" s="2959">
        <v>545.51</v>
      </c>
      <c r="O3" s="2959">
        <v>4227.6300000000037</v>
      </c>
      <c r="P3" s="2961">
        <v>7</v>
      </c>
      <c r="Q3" s="2967">
        <v>0.55000000000000004</v>
      </c>
    </row>
    <row r="4" spans="2:17">
      <c r="B4" s="1273">
        <v>3</v>
      </c>
      <c r="C4" s="1273" t="s">
        <v>3058</v>
      </c>
      <c r="D4" s="2211"/>
      <c r="E4" s="2211">
        <v>5901.4</v>
      </c>
      <c r="F4" s="2211"/>
      <c r="G4" s="2211">
        <v>3826</v>
      </c>
      <c r="H4" s="2211"/>
      <c r="I4" s="2211">
        <f>E4-G4</f>
        <v>2075.3999999999996</v>
      </c>
      <c r="K4" s="2958" t="s">
        <v>3163</v>
      </c>
      <c r="L4" s="2959">
        <v>2526.6400000000012</v>
      </c>
      <c r="M4" s="2959">
        <v>414.98</v>
      </c>
      <c r="N4" s="2959">
        <v>542.70000000000005</v>
      </c>
      <c r="O4" s="2959">
        <v>3484.3200000000015</v>
      </c>
      <c r="P4" s="2961">
        <v>7</v>
      </c>
      <c r="Q4" s="2967">
        <v>0.55000000000000004</v>
      </c>
    </row>
    <row r="5" spans="2:17">
      <c r="B5" s="1273">
        <v>4</v>
      </c>
      <c r="C5" s="1273" t="s">
        <v>3059</v>
      </c>
      <c r="D5" s="2211">
        <v>12515</v>
      </c>
      <c r="E5" s="2211"/>
      <c r="F5" s="2211">
        <v>10385</v>
      </c>
      <c r="G5" s="2211"/>
      <c r="H5" s="2211"/>
      <c r="I5" s="2211">
        <f>D5-F5</f>
        <v>2130</v>
      </c>
      <c r="K5" s="2958" t="s">
        <v>3164</v>
      </c>
      <c r="L5" s="2959">
        <v>4548.7300000000023</v>
      </c>
      <c r="M5" s="2958"/>
      <c r="N5" s="2959">
        <v>770.63000000000011</v>
      </c>
      <c r="O5" s="2959">
        <v>5319.3600000000024</v>
      </c>
      <c r="P5" s="2961">
        <v>7</v>
      </c>
      <c r="Q5" s="2967">
        <v>0.55000000000000004</v>
      </c>
    </row>
    <row r="6" spans="2:17">
      <c r="B6" s="1273">
        <v>5</v>
      </c>
      <c r="C6" s="1273" t="s">
        <v>3060</v>
      </c>
      <c r="D6" s="2211"/>
      <c r="E6" s="2211">
        <v>4496.1000000000004</v>
      </c>
      <c r="F6" s="2211"/>
      <c r="G6" s="2211">
        <v>3143</v>
      </c>
      <c r="H6" s="2211"/>
      <c r="I6" s="2211">
        <f>E6-G6</f>
        <v>1353.1000000000004</v>
      </c>
      <c r="K6" s="2962" t="s">
        <v>3165</v>
      </c>
      <c r="L6" s="2963">
        <v>10473.699999999986</v>
      </c>
      <c r="M6" s="2963">
        <v>700.49</v>
      </c>
      <c r="N6" s="2962"/>
      <c r="O6" s="2963">
        <v>11174.189999999986</v>
      </c>
      <c r="P6" s="2964">
        <v>17</v>
      </c>
      <c r="Q6" s="2967">
        <f>20%+10/17*40%</f>
        <v>0.43529411764705883</v>
      </c>
    </row>
    <row r="7" spans="2:17">
      <c r="B7" s="1273">
        <v>6</v>
      </c>
      <c r="C7" s="1273" t="s">
        <v>3061</v>
      </c>
      <c r="D7" s="2211"/>
      <c r="E7" s="2211">
        <v>5812</v>
      </c>
      <c r="F7" s="2211"/>
      <c r="G7" s="2211">
        <v>4051</v>
      </c>
      <c r="H7" s="2211"/>
      <c r="I7" s="2211">
        <f>E7-G7</f>
        <v>1761</v>
      </c>
      <c r="K7" s="2958" t="s">
        <v>3166</v>
      </c>
      <c r="L7" s="2959">
        <v>3622.6000000000004</v>
      </c>
      <c r="M7" s="2959">
        <v>513.04</v>
      </c>
      <c r="N7" s="2959">
        <v>591.96</v>
      </c>
      <c r="O7" s="2959">
        <v>4727.6000000000004</v>
      </c>
      <c r="P7" s="2961">
        <v>8</v>
      </c>
      <c r="Q7" s="2967">
        <v>0.55000000000000004</v>
      </c>
    </row>
    <row r="8" spans="2:17">
      <c r="B8" s="1273">
        <v>7</v>
      </c>
      <c r="C8" s="1273" t="s">
        <v>3062</v>
      </c>
      <c r="D8" s="2211"/>
      <c r="E8" s="2211">
        <v>3702.2</v>
      </c>
      <c r="F8" s="2211"/>
      <c r="G8" s="2211">
        <v>2511</v>
      </c>
      <c r="H8" s="2211"/>
      <c r="I8" s="2211">
        <f>E8-G8</f>
        <v>1191.1999999999998</v>
      </c>
      <c r="K8" s="2958" t="s">
        <v>3167</v>
      </c>
      <c r="L8" s="2959">
        <v>5444.16</v>
      </c>
      <c r="M8" s="2959">
        <v>770.6400000000001</v>
      </c>
      <c r="N8" s="2959">
        <v>888.3</v>
      </c>
      <c r="O8" s="2959">
        <v>7103.1</v>
      </c>
      <c r="P8" s="2961">
        <v>8</v>
      </c>
      <c r="Q8" s="2967">
        <v>0.55000000000000004</v>
      </c>
    </row>
    <row r="9" spans="2:17">
      <c r="B9" s="1273">
        <v>8</v>
      </c>
      <c r="C9" s="1273" t="s">
        <v>3063</v>
      </c>
      <c r="D9" s="2211"/>
      <c r="E9" s="2211">
        <v>6103.8</v>
      </c>
      <c r="F9" s="2211"/>
      <c r="G9" s="2211">
        <v>4504</v>
      </c>
      <c r="H9" s="2211"/>
      <c r="I9" s="2211">
        <f>E9-G9</f>
        <v>1599.8000000000002</v>
      </c>
      <c r="K9" s="2962" t="s">
        <v>3168</v>
      </c>
      <c r="L9" s="2963">
        <v>11644.519999999982</v>
      </c>
      <c r="M9" s="2963">
        <v>746.31</v>
      </c>
      <c r="N9" s="2962">
        <v>33.69</v>
      </c>
      <c r="O9" s="2963">
        <v>12424.519999999982</v>
      </c>
      <c r="P9" s="2964">
        <v>17</v>
      </c>
      <c r="Q9" s="2967">
        <f>20%+10/17*40%</f>
        <v>0.43529411764705883</v>
      </c>
    </row>
    <row r="10" spans="2:17">
      <c r="B10" s="1273">
        <v>9</v>
      </c>
      <c r="C10" s="1273" t="s">
        <v>3064</v>
      </c>
      <c r="D10" s="2211">
        <v>12504</v>
      </c>
      <c r="E10" s="2211"/>
      <c r="F10" s="2211">
        <v>10385</v>
      </c>
      <c r="G10" s="2211"/>
      <c r="H10" s="2211"/>
      <c r="I10" s="2211">
        <f>D10-F10</f>
        <v>2119</v>
      </c>
      <c r="K10" s="2962" t="s">
        <v>3169</v>
      </c>
      <c r="L10" s="2963">
        <v>6974.8000000000065</v>
      </c>
      <c r="M10" s="2962">
        <v>753.3</v>
      </c>
      <c r="N10" s="2962"/>
      <c r="O10" s="2963">
        <v>7728.1000000000067</v>
      </c>
      <c r="P10" s="2964">
        <v>10</v>
      </c>
      <c r="Q10" s="2967">
        <v>0.55000000000000004</v>
      </c>
    </row>
    <row r="11" spans="2:17">
      <c r="B11" s="1273">
        <v>10</v>
      </c>
      <c r="C11" s="1273" t="s">
        <v>3065</v>
      </c>
      <c r="D11" s="2211"/>
      <c r="E11" s="2211">
        <v>4784.7</v>
      </c>
      <c r="F11" s="2211"/>
      <c r="G11" s="2211">
        <v>3594</v>
      </c>
      <c r="H11" s="2211"/>
      <c r="I11" s="2211">
        <f>E11-G11</f>
        <v>1190.6999999999998</v>
      </c>
      <c r="K11" s="2958"/>
      <c r="L11" s="2958"/>
      <c r="M11" s="2958"/>
      <c r="N11" s="2958"/>
      <c r="O11" s="2959">
        <v>65305.219999999972</v>
      </c>
      <c r="Q11" s="2968">
        <f>ROUND(SUMPRODUCT(O2:O10,Q2:Q10)/SUM(O2:O10),2)</f>
        <v>0.49</v>
      </c>
    </row>
    <row r="12" spans="2:17">
      <c r="B12" s="1273">
        <v>11</v>
      </c>
      <c r="C12" s="1273" t="s">
        <v>3066</v>
      </c>
      <c r="D12" s="2211"/>
      <c r="E12" s="2211">
        <v>7181.8</v>
      </c>
      <c r="F12" s="2211"/>
      <c r="G12" s="2211">
        <v>5405</v>
      </c>
      <c r="H12" s="2211"/>
      <c r="I12" s="2211">
        <f>E12-G12</f>
        <v>1776.8000000000002</v>
      </c>
    </row>
    <row r="13" spans="2:17">
      <c r="B13" s="1273">
        <v>12</v>
      </c>
      <c r="C13" s="1273" t="s">
        <v>3067</v>
      </c>
      <c r="D13" s="2211">
        <f>E19-E16-E15-E14-E12-E11-D10-E9-E8-E7-E6-D5-E4-E3-D2</f>
        <v>5641.4999999999964</v>
      </c>
      <c r="E13" s="2211"/>
      <c r="F13" s="2211">
        <v>12024</v>
      </c>
      <c r="G13" s="2211"/>
      <c r="H13" s="2211"/>
      <c r="I13" s="2211">
        <f>D13-F13</f>
        <v>-6382.5000000000036</v>
      </c>
    </row>
    <row r="14" spans="2:17">
      <c r="B14" s="1273">
        <v>13</v>
      </c>
      <c r="C14" s="1273" t="s">
        <v>3068</v>
      </c>
      <c r="D14" s="2211"/>
      <c r="E14" s="2211">
        <v>8294.7999999999993</v>
      </c>
      <c r="F14" s="2211"/>
      <c r="G14" s="2211">
        <v>6921</v>
      </c>
      <c r="H14" s="2211"/>
      <c r="I14" s="2211">
        <f>E14-G14</f>
        <v>1373.7999999999993</v>
      </c>
    </row>
    <row r="15" spans="2:17">
      <c r="B15" s="1273"/>
      <c r="C15" s="2954" t="s">
        <v>3160</v>
      </c>
      <c r="D15" s="2211"/>
      <c r="E15" s="2211">
        <f>180+297</f>
        <v>477</v>
      </c>
      <c r="F15" s="2211"/>
      <c r="G15" s="2211"/>
      <c r="H15" s="2211"/>
      <c r="I15" s="2211"/>
    </row>
    <row r="16" spans="2:17">
      <c r="B16" s="1273"/>
      <c r="C16" s="2954" t="s">
        <v>3159</v>
      </c>
      <c r="D16" s="2211"/>
      <c r="E16" s="2211">
        <v>16210</v>
      </c>
      <c r="F16" s="2211"/>
      <c r="G16" s="2211"/>
      <c r="H16" s="2211"/>
      <c r="I16" s="2211"/>
    </row>
    <row r="17" spans="2:6">
      <c r="E17" s="2957">
        <v>80477</v>
      </c>
    </row>
    <row r="18" spans="2:6">
      <c r="E18" s="2957">
        <v>30252</v>
      </c>
    </row>
    <row r="19" spans="2:6" ht="15" thickBot="1">
      <c r="E19" s="2957">
        <f>SUM(E17:E18)</f>
        <v>110729</v>
      </c>
    </row>
    <row r="20" spans="2:6" ht="15" thickBot="1">
      <c r="B20" s="2944" t="s">
        <v>3074</v>
      </c>
      <c r="C20" s="2945" t="s">
        <v>3075</v>
      </c>
      <c r="D20" s="2945" t="s">
        <v>3076</v>
      </c>
      <c r="E20" s="2945" t="s">
        <v>3077</v>
      </c>
    </row>
    <row r="21" spans="2:6" ht="15" thickBot="1">
      <c r="B21" s="3328" t="s">
        <v>3078</v>
      </c>
      <c r="C21" s="2946" t="s">
        <v>3079</v>
      </c>
      <c r="D21" s="2946">
        <v>6</v>
      </c>
      <c r="E21" s="2946">
        <v>720.36</v>
      </c>
    </row>
    <row r="22" spans="2:6" ht="15" thickBot="1">
      <c r="B22" s="3329"/>
      <c r="C22" s="2946" t="s">
        <v>3080</v>
      </c>
      <c r="D22" s="2946">
        <v>30</v>
      </c>
      <c r="E22" s="2947">
        <v>3390.85</v>
      </c>
    </row>
    <row r="23" spans="2:6" ht="15" thickBot="1">
      <c r="B23" s="3330"/>
      <c r="C23" s="2946" t="s">
        <v>3081</v>
      </c>
      <c r="D23" s="2946">
        <v>6</v>
      </c>
      <c r="E23" s="2946">
        <v>664.26</v>
      </c>
      <c r="F23">
        <f>SUM(E21:E23)</f>
        <v>4775.47</v>
      </c>
    </row>
    <row r="24" spans="2:6" ht="15" thickBot="1">
      <c r="B24" s="3328" t="s">
        <v>3082</v>
      </c>
      <c r="C24" s="2946" t="s">
        <v>3079</v>
      </c>
      <c r="D24" s="2946">
        <v>6</v>
      </c>
      <c r="E24" s="2946">
        <v>715.89</v>
      </c>
    </row>
    <row r="25" spans="2:6" ht="15" thickBot="1">
      <c r="B25" s="3329"/>
      <c r="C25" s="2946" t="s">
        <v>3080</v>
      </c>
      <c r="D25" s="2946">
        <v>24</v>
      </c>
      <c r="E25" s="2947">
        <v>2695.13</v>
      </c>
    </row>
    <row r="26" spans="2:6" ht="15" thickBot="1">
      <c r="B26" s="3330"/>
      <c r="C26" s="2946" t="s">
        <v>3081</v>
      </c>
      <c r="D26" s="2946">
        <v>4</v>
      </c>
      <c r="E26" s="2946">
        <v>440.76</v>
      </c>
    </row>
    <row r="27" spans="2:6" ht="15" thickBot="1">
      <c r="B27" s="3325" t="s">
        <v>3083</v>
      </c>
      <c r="C27" s="2946" t="s">
        <v>3084</v>
      </c>
      <c r="D27" s="2946">
        <v>4</v>
      </c>
      <c r="E27" s="2946">
        <v>478.04</v>
      </c>
    </row>
    <row r="28" spans="2:6" ht="15" thickBot="1">
      <c r="B28" s="3326"/>
      <c r="C28" s="2946" t="s">
        <v>3080</v>
      </c>
      <c r="D28" s="2946">
        <v>20</v>
      </c>
      <c r="E28" s="2947">
        <v>2250.1999999999998</v>
      </c>
    </row>
    <row r="29" spans="2:6" ht="15" thickBot="1">
      <c r="B29" s="3327"/>
      <c r="C29" s="2946" t="s">
        <v>3081</v>
      </c>
      <c r="D29" s="2946">
        <v>4</v>
      </c>
      <c r="E29" s="2946">
        <v>440.84</v>
      </c>
    </row>
    <row r="30" spans="2:6" ht="15" thickBot="1">
      <c r="B30" s="3328" t="s">
        <v>3085</v>
      </c>
      <c r="C30" s="2946" t="s">
        <v>3079</v>
      </c>
      <c r="D30" s="2946">
        <v>6</v>
      </c>
      <c r="E30" s="2946">
        <v>719.34</v>
      </c>
    </row>
    <row r="31" spans="2:6" ht="15" thickBot="1">
      <c r="B31" s="3329"/>
      <c r="C31" s="2946" t="s">
        <v>3080</v>
      </c>
      <c r="D31" s="2946">
        <v>24</v>
      </c>
      <c r="E31" s="2947">
        <v>2708.12</v>
      </c>
    </row>
    <row r="32" spans="2:6" ht="15" thickBot="1">
      <c r="B32" s="3330"/>
      <c r="C32" s="2946" t="s">
        <v>3081</v>
      </c>
      <c r="D32" s="2946">
        <v>6</v>
      </c>
      <c r="E32" s="2946">
        <v>663.18</v>
      </c>
    </row>
    <row r="33" spans="2:6" ht="15" thickBot="1">
      <c r="B33" s="3325" t="s">
        <v>3086</v>
      </c>
      <c r="C33" s="2946" t="s">
        <v>3079</v>
      </c>
      <c r="D33" s="2946">
        <v>3</v>
      </c>
      <c r="E33" s="2946">
        <v>381.21</v>
      </c>
    </row>
    <row r="34" spans="2:6" ht="15" thickBot="1">
      <c r="B34" s="3326"/>
      <c r="C34" s="2946" t="s">
        <v>3080</v>
      </c>
      <c r="D34" s="2946">
        <v>15</v>
      </c>
      <c r="E34" s="2947">
        <v>1793.8</v>
      </c>
    </row>
    <row r="35" spans="2:6" ht="15" thickBot="1">
      <c r="B35" s="3327"/>
      <c r="C35" s="2946" t="s">
        <v>3081</v>
      </c>
      <c r="D35" s="2946">
        <v>3</v>
      </c>
      <c r="E35" s="2946">
        <v>351.63</v>
      </c>
    </row>
    <row r="36" spans="2:6" ht="15" thickBot="1">
      <c r="B36" s="3325" t="s">
        <v>3087</v>
      </c>
      <c r="C36" s="2946" t="s">
        <v>3079</v>
      </c>
      <c r="D36" s="2946">
        <v>6</v>
      </c>
      <c r="E36" s="2946">
        <v>720.3</v>
      </c>
    </row>
    <row r="37" spans="2:6" ht="15" thickBot="1">
      <c r="B37" s="3326"/>
      <c r="C37" s="2946" t="s">
        <v>3080</v>
      </c>
      <c r="D37" s="2946">
        <v>30</v>
      </c>
      <c r="E37" s="2947">
        <v>3385.63</v>
      </c>
    </row>
    <row r="38" spans="2:6" ht="15" thickBot="1">
      <c r="B38" s="3327"/>
      <c r="C38" s="2946" t="s">
        <v>3081</v>
      </c>
      <c r="D38" s="2946">
        <v>4</v>
      </c>
      <c r="E38" s="2946">
        <v>442.8</v>
      </c>
    </row>
    <row r="39" spans="2:6" ht="15" thickBot="1">
      <c r="B39" s="3325" t="s">
        <v>3088</v>
      </c>
      <c r="C39" s="2946" t="s">
        <v>3079</v>
      </c>
      <c r="D39" s="2946">
        <v>4</v>
      </c>
      <c r="E39" s="2946">
        <v>477.76</v>
      </c>
    </row>
    <row r="40" spans="2:6" ht="15" thickBot="1">
      <c r="B40" s="3326"/>
      <c r="C40" s="2946" t="s">
        <v>3080</v>
      </c>
      <c r="D40" s="2946">
        <v>24</v>
      </c>
      <c r="E40" s="2947">
        <v>2703.48</v>
      </c>
    </row>
    <row r="41" spans="2:6" ht="15" thickBot="1">
      <c r="B41" s="3327"/>
      <c r="C41" s="2946" t="s">
        <v>3081</v>
      </c>
      <c r="D41" s="2946">
        <v>4</v>
      </c>
      <c r="E41" s="2946">
        <v>441.36</v>
      </c>
    </row>
    <row r="42" spans="2:6" ht="15" thickBot="1">
      <c r="B42" s="3325" t="s">
        <v>3089</v>
      </c>
      <c r="C42" s="2946" t="s">
        <v>3079</v>
      </c>
      <c r="D42" s="2946">
        <v>6</v>
      </c>
      <c r="E42" s="2946">
        <v>719.16</v>
      </c>
    </row>
    <row r="43" spans="2:6" ht="15" thickBot="1">
      <c r="B43" s="3326"/>
      <c r="C43" s="2946" t="s">
        <v>3080</v>
      </c>
      <c r="D43" s="2946">
        <v>36</v>
      </c>
      <c r="E43" s="2947">
        <v>4061.88</v>
      </c>
    </row>
    <row r="44" spans="2:6" ht="15" thickBot="1">
      <c r="B44" s="3327"/>
      <c r="C44" s="2946" t="s">
        <v>3081</v>
      </c>
      <c r="D44" s="2946">
        <v>6</v>
      </c>
      <c r="E44" s="2946">
        <v>663.12</v>
      </c>
    </row>
    <row r="45" spans="2:6" ht="15" thickBot="1">
      <c r="B45" s="3325" t="s">
        <v>3090</v>
      </c>
      <c r="C45" s="2946" t="s">
        <v>3091</v>
      </c>
      <c r="D45" s="2946">
        <v>4</v>
      </c>
      <c r="E45" s="2946">
        <v>503.98</v>
      </c>
      <c r="F45">
        <f>SUM(E45:E47)</f>
        <v>8567.66</v>
      </c>
    </row>
    <row r="46" spans="2:6" ht="15" thickBot="1">
      <c r="B46" s="3326"/>
      <c r="C46" s="2946" t="s">
        <v>3080</v>
      </c>
      <c r="D46" s="2946">
        <v>59</v>
      </c>
      <c r="E46" s="2947">
        <v>7559.7</v>
      </c>
    </row>
    <row r="47" spans="2:6" ht="15" thickBot="1">
      <c r="B47" s="3327"/>
      <c r="C47" s="2946" t="s">
        <v>3081</v>
      </c>
      <c r="D47" s="2946">
        <v>4</v>
      </c>
      <c r="E47" s="2946">
        <v>503.98</v>
      </c>
    </row>
    <row r="48" spans="2:6" ht="15" thickBot="1">
      <c r="B48" s="3328" t="s">
        <v>3092</v>
      </c>
      <c r="C48" s="2946" t="s">
        <v>3091</v>
      </c>
      <c r="D48" s="2946">
        <v>6</v>
      </c>
      <c r="E48" s="2946">
        <v>616.1</v>
      </c>
    </row>
    <row r="49" spans="2:5" ht="15" thickBot="1">
      <c r="B49" s="3329"/>
      <c r="C49" s="2946" t="s">
        <v>3080</v>
      </c>
      <c r="D49" s="2946">
        <v>90</v>
      </c>
      <c r="E49" s="2947">
        <v>9241.5</v>
      </c>
    </row>
    <row r="50" spans="2:5" ht="15" thickBot="1">
      <c r="B50" s="3330"/>
      <c r="C50" s="2946" t="s">
        <v>3081</v>
      </c>
      <c r="D50" s="2946">
        <v>6</v>
      </c>
      <c r="E50" s="2946">
        <v>616.1</v>
      </c>
    </row>
    <row r="51" spans="2:5" ht="15" thickBot="1">
      <c r="B51" s="3325" t="s">
        <v>3093</v>
      </c>
      <c r="C51" s="2946" t="s">
        <v>3091</v>
      </c>
      <c r="D51" s="2946">
        <v>6</v>
      </c>
      <c r="E51" s="2946">
        <v>616.1</v>
      </c>
    </row>
    <row r="52" spans="2:5" ht="15" thickBot="1">
      <c r="B52" s="3326"/>
      <c r="C52" s="2946" t="s">
        <v>3080</v>
      </c>
      <c r="D52" s="2946">
        <v>90</v>
      </c>
      <c r="E52" s="2947">
        <v>9241.5</v>
      </c>
    </row>
    <row r="53" spans="2:5" ht="15" thickBot="1">
      <c r="B53" s="3327"/>
      <c r="C53" s="2946" t="s">
        <v>3081</v>
      </c>
      <c r="D53" s="2946">
        <v>6</v>
      </c>
      <c r="E53" s="2946">
        <v>616.1</v>
      </c>
    </row>
    <row r="54" spans="2:5" ht="15" thickBot="1">
      <c r="B54" s="3325" t="s">
        <v>3094</v>
      </c>
      <c r="C54" s="2946" t="s">
        <v>3091</v>
      </c>
      <c r="D54" s="2946">
        <v>2</v>
      </c>
      <c r="E54" s="2946">
        <v>252.01</v>
      </c>
    </row>
    <row r="55" spans="2:5" ht="15" thickBot="1">
      <c r="B55" s="3326"/>
      <c r="C55" s="2946" t="s">
        <v>3080</v>
      </c>
      <c r="D55" s="2946">
        <v>89</v>
      </c>
      <c r="E55" s="2947">
        <v>10681.27</v>
      </c>
    </row>
    <row r="56" spans="2:5" ht="15" thickBot="1">
      <c r="B56" s="3327"/>
      <c r="C56" s="2946" t="s">
        <v>3081</v>
      </c>
      <c r="D56" s="2946">
        <v>6</v>
      </c>
      <c r="E56" s="2946">
        <v>711.24</v>
      </c>
    </row>
    <row r="57" spans="2:5" ht="15" thickBot="1">
      <c r="B57" s="3325" t="s">
        <v>3095</v>
      </c>
      <c r="C57" s="2946" t="s">
        <v>3091</v>
      </c>
      <c r="D57" s="2946">
        <v>6</v>
      </c>
      <c r="E57" s="2946">
        <v>697.48</v>
      </c>
    </row>
    <row r="58" spans="2:5" ht="15" thickBot="1">
      <c r="B58" s="3326"/>
      <c r="C58" s="2946" t="s">
        <v>3080</v>
      </c>
      <c r="D58" s="2946">
        <v>48</v>
      </c>
      <c r="E58" s="2947">
        <v>5579.84</v>
      </c>
    </row>
    <row r="59" spans="2:5" ht="15" thickBot="1">
      <c r="B59" s="3327"/>
      <c r="C59" s="2946" t="s">
        <v>3081</v>
      </c>
      <c r="D59" s="2946">
        <v>6</v>
      </c>
      <c r="E59" s="2946">
        <v>697.48</v>
      </c>
    </row>
    <row r="60" spans="2:5" ht="15" thickBot="1">
      <c r="B60" s="2948"/>
      <c r="C60" s="2946" t="s">
        <v>3096</v>
      </c>
      <c r="D60" s="2946">
        <v>65</v>
      </c>
      <c r="E60" s="2947">
        <v>7617.73</v>
      </c>
    </row>
    <row r="61" spans="2:5" ht="15" thickBot="1">
      <c r="B61" s="2948"/>
      <c r="C61" s="2946" t="s">
        <v>3097</v>
      </c>
      <c r="D61" s="2946">
        <v>579</v>
      </c>
      <c r="E61" s="2947">
        <v>65292.9</v>
      </c>
    </row>
    <row r="62" spans="2:5" ht="15" thickBot="1">
      <c r="B62" s="2948"/>
      <c r="C62" s="2946" t="s">
        <v>3098</v>
      </c>
      <c r="D62" s="2946">
        <v>65</v>
      </c>
      <c r="E62" s="2947">
        <v>7252.85</v>
      </c>
    </row>
    <row r="63" spans="2:5" ht="15" thickBot="1">
      <c r="B63" s="2948"/>
      <c r="C63" s="2946" t="s">
        <v>3099</v>
      </c>
      <c r="D63" s="2946"/>
      <c r="E63" s="2947">
        <v>80163.48</v>
      </c>
    </row>
    <row r="64" spans="2:5" ht="15" thickBot="1">
      <c r="B64" s="2948"/>
      <c r="C64" s="2949" t="s">
        <v>3100</v>
      </c>
      <c r="D64" s="2950">
        <v>47</v>
      </c>
      <c r="E64" s="2951">
        <v>5462.14</v>
      </c>
    </row>
    <row r="65" spans="2:5" ht="15" thickBot="1">
      <c r="B65" s="2948"/>
      <c r="C65" s="2949" t="s">
        <v>3101</v>
      </c>
      <c r="D65" s="2950">
        <v>501</v>
      </c>
      <c r="E65" s="2951">
        <v>56498.8</v>
      </c>
    </row>
    <row r="66" spans="2:5" ht="15" thickBot="1">
      <c r="B66" s="2948"/>
      <c r="C66" s="2949" t="s">
        <v>3102</v>
      </c>
      <c r="D66" s="2950">
        <v>49</v>
      </c>
      <c r="E66" s="2951">
        <v>5484.65</v>
      </c>
    </row>
    <row r="67" spans="2:5" ht="15" thickBot="1">
      <c r="B67" s="2948"/>
      <c r="C67" s="2950" t="s">
        <v>3103</v>
      </c>
      <c r="D67" s="2950">
        <v>597</v>
      </c>
      <c r="E67" s="2951">
        <v>67445.59</v>
      </c>
    </row>
    <row r="68" spans="2:5" ht="15" thickBot="1">
      <c r="B68" s="2948"/>
      <c r="C68" s="2952" t="s">
        <v>3104</v>
      </c>
      <c r="D68" s="2946"/>
      <c r="E68" s="2952">
        <v>22</v>
      </c>
    </row>
    <row r="69" spans="2:5" ht="15" thickBot="1">
      <c r="B69" s="2948"/>
      <c r="C69" s="2952" t="s">
        <v>3105</v>
      </c>
      <c r="D69" s="2946"/>
      <c r="E69" s="2952">
        <v>180</v>
      </c>
    </row>
    <row r="70" spans="2:5" ht="15" thickBot="1">
      <c r="B70" s="2948"/>
      <c r="C70" s="2952" t="s">
        <v>3105</v>
      </c>
      <c r="D70" s="2946"/>
      <c r="E70" s="2952">
        <v>297</v>
      </c>
    </row>
    <row r="71" spans="2:5" ht="15" thickBot="1">
      <c r="B71" s="2948"/>
      <c r="C71" s="2952" t="s">
        <v>3106</v>
      </c>
      <c r="D71" s="2946"/>
      <c r="E71" s="2952">
        <v>499</v>
      </c>
    </row>
  </sheetData>
  <mergeCells count="13">
    <mergeCell ref="B57:B59"/>
    <mergeCell ref="B39:B41"/>
    <mergeCell ref="B42:B44"/>
    <mergeCell ref="B45:B47"/>
    <mergeCell ref="B48:B50"/>
    <mergeCell ref="B51:B53"/>
    <mergeCell ref="B54:B56"/>
    <mergeCell ref="B36:B38"/>
    <mergeCell ref="B21:B23"/>
    <mergeCell ref="B24:B26"/>
    <mergeCell ref="B27:B29"/>
    <mergeCell ref="B30:B32"/>
    <mergeCell ref="B33:B35"/>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
  <sheetViews>
    <sheetView topLeftCell="B1" workbookViewId="0">
      <selection activeCell="L8" sqref="L8"/>
    </sheetView>
  </sheetViews>
  <sheetFormatPr defaultRowHeight="13.5"/>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dimension ref="A38:H75"/>
  <sheetViews>
    <sheetView topLeftCell="A13" workbookViewId="0">
      <selection activeCell="A76" sqref="A76"/>
    </sheetView>
  </sheetViews>
  <sheetFormatPr defaultRowHeight="13.5"/>
  <cols>
    <col min="8" max="8" width="11.875" customWidth="1"/>
  </cols>
  <sheetData>
    <row r="38" spans="1:8">
      <c r="A38" s="2969" t="s">
        <v>3285</v>
      </c>
    </row>
    <row r="40" spans="1:8">
      <c r="A40" s="2987"/>
      <c r="B40" s="2988"/>
      <c r="C40" s="2988"/>
      <c r="D40" s="2989"/>
      <c r="E40" s="2990"/>
      <c r="F40" s="2991"/>
      <c r="G40" s="2988"/>
      <c r="H40" s="2988"/>
    </row>
    <row r="41" spans="1:8">
      <c r="A41" s="2992"/>
      <c r="B41" s="2993"/>
      <c r="C41" s="2993"/>
      <c r="D41" s="2993"/>
      <c r="E41" s="2993"/>
      <c r="F41" s="2993"/>
      <c r="G41" s="2993"/>
      <c r="H41" s="2994"/>
    </row>
    <row r="42" spans="1:8">
      <c r="A42" s="2992"/>
      <c r="B42" s="2993"/>
      <c r="C42" s="2993"/>
      <c r="D42" s="2993"/>
      <c r="E42" s="2993"/>
      <c r="F42" s="2993"/>
      <c r="G42" s="2993"/>
      <c r="H42" s="2994"/>
    </row>
    <row r="43" spans="1:8">
      <c r="A43" s="2992"/>
      <c r="B43" s="2993"/>
      <c r="C43" s="2993"/>
      <c r="D43" s="2993"/>
      <c r="E43" s="2993"/>
      <c r="F43" s="2993"/>
      <c r="G43" s="2993"/>
      <c r="H43" s="2994"/>
    </row>
    <row r="44" spans="1:8">
      <c r="A44" s="1636"/>
      <c r="B44" s="1636"/>
      <c r="C44" s="1636"/>
      <c r="D44" s="1636"/>
      <c r="E44" s="1636"/>
      <c r="F44" s="2995"/>
      <c r="G44" s="1636"/>
      <c r="H44" s="1636"/>
    </row>
    <row r="75" spans="1:1">
      <c r="A75" s="2969" t="s">
        <v>3286</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dimension ref="A1:AS17"/>
  <sheetViews>
    <sheetView workbookViewId="0">
      <selection activeCell="G20" sqref="G20"/>
    </sheetView>
  </sheetViews>
  <sheetFormatPr defaultRowHeight="13.5"/>
  <cols>
    <col min="2" max="2" width="15.125" bestFit="1" customWidth="1"/>
    <col min="3" max="3" width="9.5" bestFit="1" customWidth="1"/>
    <col min="12" max="12" width="9.5" bestFit="1" customWidth="1"/>
    <col min="13" max="22" width="3.625" customWidth="1"/>
    <col min="28" max="28" width="12.625" customWidth="1"/>
  </cols>
  <sheetData>
    <row r="1" spans="1:45" s="1636" customFormat="1">
      <c r="A1" s="1636" t="s">
        <v>3113</v>
      </c>
      <c r="B1" s="1636" t="s">
        <v>3114</v>
      </c>
      <c r="C1" s="1636" t="s">
        <v>3115</v>
      </c>
      <c r="D1" s="1636" t="s">
        <v>3116</v>
      </c>
      <c r="E1" s="1636" t="s">
        <v>3117</v>
      </c>
      <c r="F1" s="1636" t="s">
        <v>3118</v>
      </c>
      <c r="G1" s="1636" t="s">
        <v>3119</v>
      </c>
      <c r="H1" s="1636" t="s">
        <v>3120</v>
      </c>
      <c r="I1" s="1636" t="s">
        <v>3121</v>
      </c>
      <c r="J1" s="1636" t="s">
        <v>3122</v>
      </c>
      <c r="K1" s="1636" t="s">
        <v>3123</v>
      </c>
      <c r="L1" s="1636" t="s">
        <v>3124</v>
      </c>
      <c r="M1" s="1636" t="s">
        <v>3125</v>
      </c>
      <c r="N1" s="1636" t="s">
        <v>3126</v>
      </c>
      <c r="O1" s="1636" t="s">
        <v>3127</v>
      </c>
      <c r="P1" s="1636" t="s">
        <v>3128</v>
      </c>
      <c r="Q1" s="1636" t="s">
        <v>3129</v>
      </c>
      <c r="R1" s="1636" t="s">
        <v>3130</v>
      </c>
      <c r="S1" s="1636" t="s">
        <v>3131</v>
      </c>
      <c r="T1" s="1636" t="s">
        <v>3132</v>
      </c>
      <c r="U1" s="1636" t="s">
        <v>3133</v>
      </c>
      <c r="V1" s="1636" t="s">
        <v>3134</v>
      </c>
      <c r="W1" s="1636" t="s">
        <v>3135</v>
      </c>
      <c r="X1" s="1636" t="s">
        <v>3136</v>
      </c>
      <c r="Y1" s="1636" t="s">
        <v>3137</v>
      </c>
      <c r="Z1" s="1636" t="s">
        <v>3138</v>
      </c>
      <c r="AA1" s="1636" t="s">
        <v>3139</v>
      </c>
      <c r="AB1" s="1636" t="s">
        <v>3140</v>
      </c>
      <c r="AC1" s="1636" t="s">
        <v>3141</v>
      </c>
      <c r="AD1" s="1636" t="s">
        <v>3142</v>
      </c>
      <c r="AE1" s="1636" t="s">
        <v>3143</v>
      </c>
      <c r="AF1" s="1636" t="s">
        <v>3144</v>
      </c>
      <c r="AG1" s="1636" t="s">
        <v>3145</v>
      </c>
      <c r="AH1" s="1636" t="s">
        <v>3146</v>
      </c>
      <c r="AI1" s="1636" t="s">
        <v>3147</v>
      </c>
      <c r="AJ1" s="1636" t="s">
        <v>3148</v>
      </c>
      <c r="AK1" s="1636" t="s">
        <v>3149</v>
      </c>
      <c r="AL1" s="1636" t="s">
        <v>3150</v>
      </c>
      <c r="AM1" s="1636" t="s">
        <v>3151</v>
      </c>
      <c r="AN1" s="1636" t="s">
        <v>3152</v>
      </c>
      <c r="AO1" s="1636" t="s">
        <v>3153</v>
      </c>
      <c r="AP1" s="1636" t="s">
        <v>3154</v>
      </c>
      <c r="AQ1" s="1636" t="s">
        <v>3155</v>
      </c>
      <c r="AR1" s="1636" t="s">
        <v>3156</v>
      </c>
      <c r="AS1" s="2971" t="s">
        <v>3175</v>
      </c>
    </row>
    <row r="2" spans="1:45" s="2956" customFormat="1">
      <c r="A2" s="2956" t="s">
        <v>3176</v>
      </c>
      <c r="B2" s="2956" t="s">
        <v>3177</v>
      </c>
      <c r="C2" s="2956" t="s">
        <v>3178</v>
      </c>
      <c r="D2" s="2956" t="s">
        <v>3179</v>
      </c>
      <c r="E2" s="2956" t="s">
        <v>1331</v>
      </c>
      <c r="F2" s="2956" t="s">
        <v>3176</v>
      </c>
      <c r="G2" s="2956" t="s">
        <v>3157</v>
      </c>
      <c r="H2" s="2956" t="s">
        <v>3180</v>
      </c>
      <c r="I2" s="2956" t="s">
        <v>3181</v>
      </c>
      <c r="J2" s="2956">
        <v>2884.12</v>
      </c>
      <c r="K2" s="2956">
        <v>2884.12</v>
      </c>
      <c r="L2" s="2956" t="s">
        <v>3182</v>
      </c>
      <c r="M2" s="2956" t="s">
        <v>1331</v>
      </c>
      <c r="N2" s="2956" t="s">
        <v>3183</v>
      </c>
      <c r="O2" s="2956" t="s">
        <v>3184</v>
      </c>
      <c r="P2" s="2956" t="s">
        <v>1331</v>
      </c>
      <c r="Q2" s="2956" t="s">
        <v>1331</v>
      </c>
      <c r="R2" s="2956" t="s">
        <v>1331</v>
      </c>
      <c r="S2" s="2956" t="s">
        <v>1331</v>
      </c>
      <c r="T2" s="2956" t="s">
        <v>1331</v>
      </c>
      <c r="U2" s="2956" t="s">
        <v>1331</v>
      </c>
      <c r="V2" s="2956" t="s">
        <v>1331</v>
      </c>
      <c r="W2" s="2956" t="s">
        <v>3185</v>
      </c>
      <c r="X2" s="2956" t="s">
        <v>3186</v>
      </c>
      <c r="Y2" s="2956" t="s">
        <v>3187</v>
      </c>
      <c r="Z2" s="2956" t="s">
        <v>3188</v>
      </c>
      <c r="AA2" s="2956" t="s">
        <v>3188</v>
      </c>
      <c r="AB2" s="2956" t="s">
        <v>3189</v>
      </c>
      <c r="AC2" s="2956" t="s">
        <v>3158</v>
      </c>
      <c r="AD2" s="2956" t="s">
        <v>3190</v>
      </c>
      <c r="AE2" s="2956">
        <v>300</v>
      </c>
      <c r="AF2" s="2956">
        <v>1299</v>
      </c>
      <c r="AG2" s="2956">
        <v>1299</v>
      </c>
      <c r="AH2" s="2956">
        <v>300.26</v>
      </c>
      <c r="AI2" s="2956">
        <v>300.26</v>
      </c>
      <c r="AJ2" s="2956">
        <v>4503.97</v>
      </c>
      <c r="AK2" s="2956">
        <v>4503.97</v>
      </c>
      <c r="AL2" s="2956" t="s">
        <v>1331</v>
      </c>
      <c r="AM2" s="2956" t="s">
        <v>1331</v>
      </c>
      <c r="AN2" s="2956">
        <v>0</v>
      </c>
      <c r="AO2" s="2956" t="s">
        <v>3191</v>
      </c>
      <c r="AP2" s="2956" t="s">
        <v>1331</v>
      </c>
      <c r="AQ2" s="2956" t="s">
        <v>1331</v>
      </c>
      <c r="AR2" s="2956" t="s">
        <v>1331</v>
      </c>
      <c r="AS2" s="2956">
        <f>ROUND(AI2/666.67*10000,0)</f>
        <v>4504</v>
      </c>
    </row>
    <row r="3" spans="1:45" s="2956" customFormat="1">
      <c r="A3" s="2956" t="s">
        <v>3192</v>
      </c>
      <c r="B3" s="2956" t="s">
        <v>3177</v>
      </c>
      <c r="C3" s="2956" t="s">
        <v>3178</v>
      </c>
      <c r="D3" s="2956" t="s">
        <v>3179</v>
      </c>
      <c r="E3" s="2956" t="s">
        <v>1331</v>
      </c>
      <c r="F3" s="2956" t="s">
        <v>3192</v>
      </c>
      <c r="G3" s="2956" t="s">
        <v>3157</v>
      </c>
      <c r="H3" s="2956" t="s">
        <v>3193</v>
      </c>
      <c r="I3" s="2956" t="s">
        <v>3181</v>
      </c>
      <c r="J3" s="2956">
        <v>10217</v>
      </c>
      <c r="K3" s="2956">
        <v>10217</v>
      </c>
      <c r="L3" s="2956" t="s">
        <v>3182</v>
      </c>
      <c r="M3" s="2956" t="s">
        <v>1331</v>
      </c>
      <c r="N3" s="2956" t="s">
        <v>3183</v>
      </c>
      <c r="O3" s="2956" t="s">
        <v>3194</v>
      </c>
      <c r="P3" s="2956" t="s">
        <v>1331</v>
      </c>
      <c r="Q3" s="2956" t="s">
        <v>1331</v>
      </c>
      <c r="R3" s="2956" t="s">
        <v>1331</v>
      </c>
      <c r="S3" s="2956" t="s">
        <v>1331</v>
      </c>
      <c r="T3" s="2956" t="s">
        <v>1331</v>
      </c>
      <c r="U3" s="2956" t="s">
        <v>1331</v>
      </c>
      <c r="V3" s="2956" t="s">
        <v>1331</v>
      </c>
      <c r="W3" s="2956" t="s">
        <v>3185</v>
      </c>
      <c r="X3" s="2956" t="s">
        <v>3186</v>
      </c>
      <c r="Y3" s="2956" t="s">
        <v>3187</v>
      </c>
      <c r="Z3" s="2956" t="s">
        <v>3188</v>
      </c>
      <c r="AA3" s="2956" t="s">
        <v>3188</v>
      </c>
      <c r="AB3" s="2956" t="s">
        <v>3195</v>
      </c>
      <c r="AC3" s="2956" t="s">
        <v>3158</v>
      </c>
      <c r="AD3" s="2956" t="s">
        <v>3196</v>
      </c>
      <c r="AE3" s="2956">
        <v>800</v>
      </c>
      <c r="AF3" s="2956">
        <v>3833</v>
      </c>
      <c r="AG3" s="2956">
        <v>3833</v>
      </c>
      <c r="AH3" s="2956">
        <v>250.11</v>
      </c>
      <c r="AI3" s="2956">
        <v>250.11</v>
      </c>
      <c r="AJ3" s="2956">
        <v>3751.59</v>
      </c>
      <c r="AK3" s="2956">
        <v>3751.59</v>
      </c>
      <c r="AL3" s="2956" t="s">
        <v>1331</v>
      </c>
      <c r="AM3" s="2956" t="s">
        <v>1331</v>
      </c>
      <c r="AN3" s="2956">
        <v>0</v>
      </c>
      <c r="AO3" s="2956" t="s">
        <v>3191</v>
      </c>
      <c r="AP3" s="2956" t="s">
        <v>1331</v>
      </c>
      <c r="AQ3" s="2956" t="s">
        <v>1331</v>
      </c>
      <c r="AR3" s="2956" t="s">
        <v>1331</v>
      </c>
      <c r="AS3" s="2956">
        <f>ROUND(AI3/666.67*10000,0)</f>
        <v>3752</v>
      </c>
    </row>
    <row r="4" spans="1:45" s="2956" customFormat="1">
      <c r="A4" s="2956" t="s">
        <v>3197</v>
      </c>
      <c r="B4" s="2956" t="s">
        <v>3177</v>
      </c>
      <c r="C4" s="2956" t="s">
        <v>3178</v>
      </c>
      <c r="D4" s="2956" t="s">
        <v>3179</v>
      </c>
      <c r="E4" s="2956" t="s">
        <v>1331</v>
      </c>
      <c r="F4" s="2956" t="s">
        <v>3197</v>
      </c>
      <c r="G4" s="2956" t="s">
        <v>3157</v>
      </c>
      <c r="H4" s="2956" t="s">
        <v>3198</v>
      </c>
      <c r="I4" s="2956" t="s">
        <v>3181</v>
      </c>
      <c r="J4" s="2956">
        <v>4660</v>
      </c>
      <c r="K4" s="2956">
        <v>1398</v>
      </c>
      <c r="L4" s="2956" t="s">
        <v>3199</v>
      </c>
      <c r="M4" s="2956" t="s">
        <v>1331</v>
      </c>
      <c r="N4" s="2956" t="s">
        <v>3200</v>
      </c>
      <c r="O4" s="2956" t="s">
        <v>3201</v>
      </c>
      <c r="P4" s="2956" t="s">
        <v>1331</v>
      </c>
      <c r="Q4" s="2956" t="s">
        <v>1331</v>
      </c>
      <c r="R4" s="2956" t="s">
        <v>1331</v>
      </c>
      <c r="S4" s="2956" t="s">
        <v>1331</v>
      </c>
      <c r="T4" s="2956" t="s">
        <v>1331</v>
      </c>
      <c r="U4" s="2956" t="s">
        <v>1331</v>
      </c>
      <c r="V4" s="2956" t="s">
        <v>1331</v>
      </c>
      <c r="W4" s="2956" t="s">
        <v>3185</v>
      </c>
      <c r="X4" s="2956" t="s">
        <v>3186</v>
      </c>
      <c r="Y4" s="2956" t="s">
        <v>3187</v>
      </c>
      <c r="Z4" s="2956" t="s">
        <v>3188</v>
      </c>
      <c r="AA4" s="2956" t="s">
        <v>3188</v>
      </c>
      <c r="AB4" s="2956" t="s">
        <v>3202</v>
      </c>
      <c r="AC4" s="2956" t="s">
        <v>3158</v>
      </c>
      <c r="AD4" s="2956" t="s">
        <v>3203</v>
      </c>
      <c r="AE4" s="2956">
        <v>350</v>
      </c>
      <c r="AF4" s="2956">
        <v>1748</v>
      </c>
      <c r="AG4" s="2956">
        <v>1748</v>
      </c>
      <c r="AH4" s="2956">
        <v>250.07</v>
      </c>
      <c r="AI4" s="2956">
        <v>250.07</v>
      </c>
      <c r="AJ4" s="2956">
        <v>12503.57</v>
      </c>
      <c r="AK4" s="2956">
        <v>12503.57</v>
      </c>
      <c r="AL4" s="2956" t="s">
        <v>1331</v>
      </c>
      <c r="AM4" s="2956" t="s">
        <v>1331</v>
      </c>
      <c r="AN4" s="2956">
        <v>0</v>
      </c>
      <c r="AO4" s="2956" t="s">
        <v>3191</v>
      </c>
      <c r="AP4" s="2956" t="s">
        <v>1331</v>
      </c>
      <c r="AQ4" s="2956" t="s">
        <v>1331</v>
      </c>
      <c r="AR4" s="2956" t="s">
        <v>1331</v>
      </c>
      <c r="AS4" s="2956">
        <f>ROUND(AI4/666.67*10000,0)</f>
        <v>3751</v>
      </c>
    </row>
    <row r="9" spans="1:45">
      <c r="B9" s="2969" t="s">
        <v>3228</v>
      </c>
    </row>
    <row r="11" spans="1:45">
      <c r="B11" s="2969" t="s">
        <v>3229</v>
      </c>
      <c r="C11">
        <v>50000</v>
      </c>
    </row>
    <row r="12" spans="1:45">
      <c r="B12" s="2969" t="s">
        <v>3230</v>
      </c>
      <c r="C12">
        <v>365</v>
      </c>
    </row>
    <row r="13" spans="1:45">
      <c r="B13" s="2969" t="s">
        <v>3231</v>
      </c>
      <c r="C13" s="2979">
        <v>0.8</v>
      </c>
    </row>
    <row r="14" spans="1:45">
      <c r="B14" s="2969" t="s">
        <v>3232</v>
      </c>
      <c r="C14">
        <f>C11*C12*(1-C13)</f>
        <v>3649999.9999999991</v>
      </c>
      <c r="J14" s="2969"/>
      <c r="L14" s="2970"/>
    </row>
    <row r="15" spans="1:45">
      <c r="B15" s="2969" t="s">
        <v>3237</v>
      </c>
      <c r="C15">
        <v>8841360</v>
      </c>
      <c r="J15" s="2969"/>
      <c r="L15" s="2970"/>
    </row>
    <row r="16" spans="1:45">
      <c r="B16" s="2969" t="s">
        <v>3238</v>
      </c>
      <c r="C16">
        <v>3720435.8750000009</v>
      </c>
      <c r="J16" s="2969"/>
      <c r="L16" s="2970"/>
    </row>
    <row r="17" spans="3:12">
      <c r="C17">
        <f>SUM(C14:C16)</f>
        <v>16211795.875</v>
      </c>
      <c r="J17" s="2969"/>
      <c r="L17" s="2970"/>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L17:P28"/>
  <sheetViews>
    <sheetView workbookViewId="0">
      <selection activeCell="N31" sqref="N31"/>
    </sheetView>
  </sheetViews>
  <sheetFormatPr defaultRowHeight="13.5"/>
  <sheetData>
    <row r="17" spans="12:16">
      <c r="L17" s="3331" t="s">
        <v>3284</v>
      </c>
      <c r="M17" s="3332"/>
      <c r="N17" s="3332"/>
      <c r="O17" s="3332"/>
      <c r="P17" s="3332"/>
    </row>
    <row r="18" spans="12:16">
      <c r="L18" s="3332"/>
      <c r="M18" s="3332"/>
      <c r="N18" s="3332"/>
      <c r="O18" s="3332"/>
      <c r="P18" s="3332"/>
    </row>
    <row r="19" spans="12:16">
      <c r="L19" s="3332"/>
      <c r="M19" s="3332"/>
      <c r="N19" s="3332"/>
      <c r="O19" s="3332"/>
      <c r="P19" s="3332"/>
    </row>
    <row r="20" spans="12:16">
      <c r="L20" s="3332"/>
      <c r="M20" s="3332"/>
      <c r="N20" s="3332"/>
      <c r="O20" s="3332"/>
      <c r="P20" s="3332"/>
    </row>
    <row r="21" spans="12:16">
      <c r="L21" s="3332"/>
      <c r="M21" s="3332"/>
      <c r="N21" s="3332"/>
      <c r="O21" s="3332"/>
      <c r="P21" s="3332"/>
    </row>
    <row r="22" spans="12:16">
      <c r="L22" s="3332"/>
      <c r="M22" s="3332"/>
      <c r="N22" s="3332"/>
      <c r="O22" s="3332"/>
      <c r="P22" s="3332"/>
    </row>
    <row r="23" spans="12:16">
      <c r="L23" s="3332"/>
      <c r="M23" s="3332"/>
      <c r="N23" s="3332"/>
      <c r="O23" s="3332"/>
      <c r="P23" s="3332"/>
    </row>
    <row r="24" spans="12:16">
      <c r="L24" s="3332"/>
      <c r="M24" s="3332"/>
      <c r="N24" s="3332"/>
      <c r="O24" s="3332"/>
      <c r="P24" s="3332"/>
    </row>
    <row r="25" spans="12:16">
      <c r="L25" s="3332"/>
      <c r="M25" s="3332"/>
      <c r="N25" s="3332"/>
      <c r="O25" s="3332"/>
      <c r="P25" s="3332"/>
    </row>
    <row r="26" spans="12:16">
      <c r="L26" s="3332"/>
      <c r="M26" s="3332"/>
      <c r="N26" s="3332"/>
      <c r="O26" s="3332"/>
      <c r="P26" s="3332"/>
    </row>
    <row r="27" spans="12:16">
      <c r="L27" s="3332"/>
      <c r="M27" s="3332"/>
      <c r="N27" s="3332"/>
      <c r="O27" s="3332"/>
      <c r="P27" s="3332"/>
    </row>
    <row r="28" spans="12:16">
      <c r="L28" s="3332"/>
      <c r="M28" s="3332"/>
      <c r="N28" s="3332"/>
      <c r="O28" s="3332"/>
      <c r="P28" s="3332"/>
    </row>
  </sheetData>
  <mergeCells count="1">
    <mergeCell ref="L17:P28"/>
  </mergeCells>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1641</v>
      </c>
      <c r="B2" s="3019" t="s">
        <v>1642</v>
      </c>
      <c r="C2" s="3019" t="s">
        <v>1643</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
      <c r="A3" s="3013"/>
      <c r="B3" s="3013"/>
      <c r="C3" s="3013"/>
      <c r="D3" s="1046" t="s">
        <v>1638</v>
      </c>
      <c r="E3" s="1046" t="s">
        <v>1644</v>
      </c>
      <c r="F3" s="1046" t="s">
        <v>1638</v>
      </c>
      <c r="G3" s="1046" t="s">
        <v>1639</v>
      </c>
      <c r="H3" s="1046" t="s">
        <v>1638</v>
      </c>
      <c r="I3" s="1046" t="s">
        <v>1639</v>
      </c>
    </row>
    <row r="4" spans="1:9" ht="45">
      <c r="A4" s="1974" t="str">
        <f>项目基本情况!S2</f>
        <v>山东省山东省济南市历城区唐冶西路868号A7-1整幢办公商业及地下车位房地产</v>
      </c>
      <c r="B4" s="1046">
        <f>项目基本情况!C17</f>
        <v>25792.44</v>
      </c>
      <c r="C4" s="1046">
        <f>项目基本情况!C18</f>
        <v>0</v>
      </c>
      <c r="D4" s="1046" t="e">
        <f ca="1">结果表!D118</f>
        <v>#DIV/0!</v>
      </c>
      <c r="E4" s="1046" t="e">
        <f ca="1">结果表!E118</f>
        <v>#DIV/0!</v>
      </c>
      <c r="F4" s="1046" t="e">
        <f ca="1">结果表!F118</f>
        <v>#DIV/0!</v>
      </c>
      <c r="G4" s="1046" t="e">
        <f ca="1">结果表!G118</f>
        <v>#DIV/0!</v>
      </c>
      <c r="H4" s="1046">
        <f ca="1">结果表!H118</f>
        <v>19592</v>
      </c>
      <c r="I4" s="1046">
        <f ca="1">结果表!I118</f>
        <v>7596</v>
      </c>
    </row>
    <row r="5" spans="1:9" ht="30" customHeight="1">
      <c r="A5" s="3013" t="s">
        <v>1640</v>
      </c>
      <c r="B5" s="3013"/>
      <c r="C5" s="3013"/>
      <c r="D5" s="3014" t="e">
        <f ca="1">结果表!D119</f>
        <v>#DIV/0!</v>
      </c>
      <c r="E5" s="3014"/>
      <c r="F5" s="3014" t="e">
        <f ca="1">结果表!F119</f>
        <v>#DIV/0!</v>
      </c>
      <c r="G5" s="3014"/>
      <c r="H5" s="3014" t="str">
        <f ca="1">结果表!H119</f>
        <v>壹亿玖仟伍佰玖拾贰万元整</v>
      </c>
      <c r="I5" s="3014"/>
    </row>
    <row r="6" spans="1:9" ht="15.75">
      <c r="A6" s="3012" t="str">
        <f>结果表!A120</f>
        <v>估价师知悉的法定优先受偿款</v>
      </c>
      <c r="B6" s="3012"/>
      <c r="C6" s="3012"/>
      <c r="D6" s="3012">
        <f>结果表!D120</f>
        <v>0</v>
      </c>
      <c r="E6" s="3012"/>
      <c r="F6" s="3012"/>
      <c r="G6" s="3012"/>
      <c r="H6" s="3012"/>
      <c r="I6" s="3012"/>
    </row>
    <row r="7" spans="1:9" ht="15">
      <c r="A7" s="3013" t="s">
        <v>1640</v>
      </c>
      <c r="B7" s="3013"/>
      <c r="C7" s="3013"/>
      <c r="D7" s="3015" t="str">
        <f>结果表!D121</f>
        <v>零元整</v>
      </c>
      <c r="E7" s="3016"/>
      <c r="F7" s="3016"/>
      <c r="G7" s="3016"/>
      <c r="H7" s="3016"/>
      <c r="I7" s="3017"/>
    </row>
    <row r="8" spans="1:9" ht="15.75">
      <c r="A8" s="3012" t="str">
        <f>结果表!A122</f>
        <v>房地产抵押价值</v>
      </c>
      <c r="B8" s="3012"/>
      <c r="C8" s="3012"/>
      <c r="D8" s="3012">
        <f ca="1">结果表!D122</f>
        <v>19592</v>
      </c>
      <c r="E8" s="3012"/>
      <c r="F8" s="3012"/>
      <c r="G8" s="3012"/>
      <c r="H8" s="3012"/>
      <c r="I8" s="3012"/>
    </row>
    <row r="9" spans="1:9" ht="15">
      <c r="A9" s="3013" t="s">
        <v>1640</v>
      </c>
      <c r="B9" s="3013"/>
      <c r="C9" s="3013"/>
      <c r="D9" s="3014" t="str">
        <f ca="1">结果表!D123</f>
        <v>壹亿玖仟伍佰玖拾贰万元整</v>
      </c>
      <c r="E9" s="3014"/>
      <c r="F9" s="3014"/>
      <c r="G9" s="3014"/>
      <c r="H9" s="3014"/>
      <c r="I9" s="3014"/>
    </row>
    <row r="10" spans="1:9" ht="15.75">
      <c r="A10" s="3012" t="str">
        <f>结果表!A124</f>
        <v/>
      </c>
      <c r="B10" s="3012"/>
      <c r="C10" s="3012"/>
      <c r="D10" s="3012" t="str">
        <f>结果表!D124</f>
        <v>——</v>
      </c>
      <c r="E10" s="3012"/>
      <c r="F10" s="3012"/>
      <c r="G10" s="3012"/>
      <c r="H10" s="3012"/>
      <c r="I10" s="3012"/>
    </row>
    <row r="11" spans="1:9" ht="15">
      <c r="A11" s="3013" t="s">
        <v>1640</v>
      </c>
      <c r="B11" s="3013"/>
      <c r="C11" s="3013"/>
      <c r="D11" s="3014" t="e">
        <f>结果表!D125</f>
        <v>#VALUE!</v>
      </c>
      <c r="E11" s="3014"/>
      <c r="F11" s="3014"/>
      <c r="G11" s="3014"/>
      <c r="H11" s="3014"/>
      <c r="I11" s="3014"/>
    </row>
    <row r="12" spans="1:9" ht="15.75">
      <c r="A12" s="3012" t="str">
        <f>结果表!A126</f>
        <v/>
      </c>
      <c r="B12" s="3012"/>
      <c r="C12" s="3012"/>
      <c r="D12" s="3012" t="str">
        <f>结果表!D126</f>
        <v>——</v>
      </c>
      <c r="E12" s="3012"/>
      <c r="F12" s="3012"/>
      <c r="G12" s="3012"/>
      <c r="H12" s="3012"/>
      <c r="I12" s="3012"/>
    </row>
    <row r="13" spans="1:9" ht="15.75" thickBot="1">
      <c r="A13" s="3009" t="s">
        <v>1640</v>
      </c>
      <c r="B13" s="3009"/>
      <c r="C13" s="3009"/>
      <c r="D13" s="3010" t="e">
        <f>结果表!D127</f>
        <v>#VALUE!</v>
      </c>
      <c r="E13" s="3010"/>
      <c r="F13" s="3010"/>
      <c r="G13" s="3010"/>
      <c r="H13" s="3010"/>
      <c r="I13" s="3010"/>
    </row>
    <row r="14" spans="1:9" ht="15" thickTop="1">
      <c r="A14" s="3011" t="s">
        <v>1645</v>
      </c>
      <c r="B14" s="3011"/>
      <c r="C14" s="3011"/>
      <c r="D14" s="3011"/>
      <c r="E14" s="3011"/>
      <c r="F14" s="3011"/>
      <c r="G14" s="3011"/>
      <c r="H14" s="3011"/>
      <c r="I14" s="3011"/>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F9"/>
  <sheetViews>
    <sheetView workbookViewId="0">
      <selection activeCell="F3" sqref="F3"/>
    </sheetView>
  </sheetViews>
  <sheetFormatPr defaultRowHeight="13.5"/>
  <cols>
    <col min="1" max="1" width="5" customWidth="1"/>
    <col min="2" max="2" width="30.625" customWidth="1"/>
    <col min="3" max="3" width="14.75" customWidth="1"/>
  </cols>
  <sheetData>
    <row r="1" spans="1:6">
      <c r="A1" s="2969" t="s">
        <v>3261</v>
      </c>
      <c r="B1" s="2969" t="s">
        <v>3262</v>
      </c>
      <c r="C1" s="2969" t="s">
        <v>3264</v>
      </c>
      <c r="D1" s="2969" t="s">
        <v>3266</v>
      </c>
      <c r="E1" s="2969" t="s">
        <v>3267</v>
      </c>
      <c r="F1" s="2969" t="s">
        <v>3268</v>
      </c>
    </row>
    <row r="2" spans="1:6">
      <c r="A2">
        <v>1</v>
      </c>
      <c r="B2" s="2969" t="s">
        <v>3263</v>
      </c>
      <c r="C2" s="2969" t="s">
        <v>3265</v>
      </c>
      <c r="D2">
        <v>25792.44</v>
      </c>
      <c r="E2">
        <v>0.75</v>
      </c>
      <c r="F2">
        <f>D2*E2</f>
        <v>19344.329999999998</v>
      </c>
    </row>
    <row r="3" spans="1:6">
      <c r="B3" s="2969" t="s">
        <v>3269</v>
      </c>
      <c r="C3" s="2969" t="s">
        <v>3270</v>
      </c>
      <c r="D3">
        <v>10718.33</v>
      </c>
      <c r="E3">
        <v>1.25</v>
      </c>
      <c r="F3">
        <f>D3*E3</f>
        <v>13397.9125</v>
      </c>
    </row>
    <row r="4" spans="1:6">
      <c r="B4" s="2969" t="s">
        <v>3271</v>
      </c>
      <c r="C4" s="2969" t="s">
        <v>3272</v>
      </c>
      <c r="D4">
        <v>365</v>
      </c>
      <c r="E4">
        <v>8</v>
      </c>
      <c r="F4">
        <f>D4*E4</f>
        <v>2920</v>
      </c>
    </row>
    <row r="5" spans="1:6">
      <c r="B5" s="2969" t="s">
        <v>3275</v>
      </c>
      <c r="C5" s="2969"/>
      <c r="F5">
        <f>SUM(F2:F4)</f>
        <v>35662.2425</v>
      </c>
    </row>
    <row r="6" spans="1:6">
      <c r="A6">
        <v>2</v>
      </c>
      <c r="B6" s="2969" t="s">
        <v>3273</v>
      </c>
      <c r="C6" s="2969" t="s">
        <v>3265</v>
      </c>
      <c r="D6">
        <v>26147.46</v>
      </c>
      <c r="E6">
        <v>1.2</v>
      </c>
      <c r="F6">
        <f>D6*E6</f>
        <v>31376.951999999997</v>
      </c>
    </row>
    <row r="7" spans="1:6">
      <c r="B7" s="2969" t="s">
        <v>3274</v>
      </c>
      <c r="C7" s="2969" t="s">
        <v>3272</v>
      </c>
      <c r="D7">
        <v>300</v>
      </c>
      <c r="E7">
        <v>12</v>
      </c>
      <c r="F7">
        <f>D7*E7</f>
        <v>3600</v>
      </c>
    </row>
    <row r="8" spans="1:6">
      <c r="B8" s="2969" t="s">
        <v>3275</v>
      </c>
      <c r="C8" s="2969"/>
      <c r="F8">
        <f>SUM(F6:F7)</f>
        <v>34976.951999999997</v>
      </c>
    </row>
    <row r="9" spans="1:6">
      <c r="F9">
        <f>F5+F8</f>
        <v>70639.194499999998</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26" t="s">
        <v>1662</v>
      </c>
      <c r="B1" s="3026"/>
      <c r="C1" s="3026"/>
      <c r="D1" s="3026"/>
    </row>
    <row r="2" spans="1:4" ht="18">
      <c r="A2" s="3027" t="s">
        <v>1646</v>
      </c>
      <c r="B2" s="3027"/>
      <c r="C2" s="3027"/>
      <c r="D2" s="3027"/>
    </row>
    <row r="3" spans="1:4" ht="18.75">
      <c r="A3" s="1978" t="s">
        <v>1647</v>
      </c>
      <c r="B3" s="1978" t="s">
        <v>1648</v>
      </c>
      <c r="C3" s="1978" t="s">
        <v>1649</v>
      </c>
      <c r="D3" s="1978" t="s">
        <v>1650</v>
      </c>
    </row>
    <row r="4" spans="1:4" ht="56.25" customHeight="1">
      <c r="A4" s="1979" t="str">
        <f>项目基本情况!B4</f>
        <v>吴薇</v>
      </c>
      <c r="B4" s="1980">
        <f ca="1">项目基本情况!C4</f>
        <v>1419970001</v>
      </c>
      <c r="C4" s="1981"/>
      <c r="D4" s="1982" t="s">
        <v>1651</v>
      </c>
    </row>
    <row r="5" spans="1:4" ht="56.25" customHeight="1">
      <c r="A5" s="1979" t="str">
        <f>项目基本情况!D4</f>
        <v>崔锴</v>
      </c>
      <c r="B5" s="1980">
        <f ca="1">项目基本情况!E4</f>
        <v>0</v>
      </c>
      <c r="C5" s="1983"/>
      <c r="D5" s="1982" t="s">
        <v>1651</v>
      </c>
    </row>
    <row r="6" spans="1:4" ht="18">
      <c r="A6" s="3027" t="s">
        <v>1652</v>
      </c>
      <c r="B6" s="3027"/>
      <c r="C6" s="3027"/>
      <c r="D6" s="3027"/>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28" t="s">
        <v>1655</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0" t="str">
        <f>IF(项目基本情况!B8="抵押","4.本次评估估价师所知悉的法定优先受偿款情况说明如下：","——")</f>
        <v>4.本次评估估价师所知悉的法定优先受偿款情况说明如下：</v>
      </c>
      <c r="B14" s="3025"/>
      <c r="C14" s="3025"/>
      <c r="D14" s="3025"/>
    </row>
    <row r="15" spans="1:4" ht="42" customHeight="1">
      <c r="A15" s="30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2" t="s">
        <v>1656</v>
      </c>
      <c r="B16" s="3022"/>
      <c r="C16" s="3022"/>
      <c r="D16" s="3022"/>
    </row>
    <row r="17" spans="1:4" ht="144" customHeight="1">
      <c r="A17" s="3022" t="s">
        <v>1657</v>
      </c>
      <c r="B17" s="3022"/>
      <c r="C17" s="3022"/>
      <c r="D17" s="3022"/>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1658</v>
      </c>
      <c r="B22" s="3024"/>
      <c r="C22" s="3024"/>
      <c r="D22" s="3024"/>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21">
        <v>42551</v>
      </c>
      <c r="D31" s="30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34" t="s">
        <v>1669</v>
      </c>
      <c r="B15" s="3029" t="s">
        <v>136</v>
      </c>
      <c r="C15" s="3030"/>
    </row>
    <row r="16" spans="1:7" ht="13.5">
      <c r="A16" s="3035"/>
      <c r="B16" s="3029" t="s">
        <v>69</v>
      </c>
      <c r="C16" s="3030"/>
    </row>
    <row r="17" spans="1:3" ht="13.5">
      <c r="A17" s="3035"/>
      <c r="B17" s="3032" t="s">
        <v>1670</v>
      </c>
      <c r="C17" s="2001" t="s">
        <v>1669</v>
      </c>
    </row>
    <row r="18" spans="1:3" ht="13.5">
      <c r="A18" s="3035"/>
      <c r="B18" s="3032"/>
      <c r="C18" s="2001" t="s">
        <v>1671</v>
      </c>
    </row>
    <row r="19" spans="1:3" ht="13.5">
      <c r="A19" s="3035"/>
      <c r="B19" s="3032"/>
      <c r="C19" s="2001" t="s">
        <v>1672</v>
      </c>
    </row>
    <row r="20" spans="1:3" ht="13.5">
      <c r="A20" s="3036"/>
      <c r="B20" s="3031" t="s">
        <v>1673</v>
      </c>
      <c r="C20" s="3030"/>
    </row>
    <row r="21" spans="1:3" ht="13.5">
      <c r="A21" s="2002" t="s">
        <v>1674</v>
      </c>
      <c r="B21" s="2003"/>
      <c r="C21" s="2004"/>
    </row>
    <row r="22" spans="1:3" ht="13.5">
      <c r="A22" s="3033" t="s">
        <v>1675</v>
      </c>
      <c r="B22" s="3031" t="s">
        <v>1676</v>
      </c>
      <c r="C22" s="3030"/>
    </row>
    <row r="23" spans="1:3" ht="13.5">
      <c r="A23" s="3033"/>
      <c r="B23" s="3031" t="s">
        <v>1677</v>
      </c>
      <c r="C23" s="3030"/>
    </row>
    <row r="24" spans="1:3" ht="13.5">
      <c r="A24" s="3033"/>
      <c r="B24" s="3031" t="s">
        <v>1678</v>
      </c>
      <c r="C24" s="3030"/>
    </row>
    <row r="25" spans="1:3" ht="13.5">
      <c r="A25" s="3033"/>
      <c r="B25" s="3032" t="s">
        <v>1679</v>
      </c>
      <c r="C25" s="2001" t="s">
        <v>1680</v>
      </c>
    </row>
    <row r="26" spans="1:3" ht="13.5">
      <c r="A26" s="3033"/>
      <c r="B26" s="3032"/>
      <c r="C26" s="2001" t="s">
        <v>1681</v>
      </c>
    </row>
    <row r="27" spans="1:3" ht="13.5">
      <c r="A27" s="3033"/>
      <c r="B27" s="3032"/>
      <c r="C27" s="2001" t="s">
        <v>1682</v>
      </c>
    </row>
    <row r="28" spans="1:3" ht="13.5">
      <c r="A28" s="3033"/>
      <c r="B28" s="3032"/>
      <c r="C28" s="2001" t="s">
        <v>1683</v>
      </c>
    </row>
    <row r="29" spans="1:3" ht="13.5">
      <c r="A29" s="3033"/>
      <c r="B29" s="3032"/>
      <c r="C29" s="2001" t="s">
        <v>1684</v>
      </c>
    </row>
    <row r="30" spans="1:3" ht="13.5">
      <c r="A30" s="3033"/>
      <c r="B30" s="3032"/>
      <c r="C30" s="2001" t="s">
        <v>1685</v>
      </c>
    </row>
    <row r="31" spans="1:3" ht="13.5">
      <c r="A31" s="3033"/>
      <c r="B31" s="3032"/>
      <c r="C31" s="2001" t="s">
        <v>1686</v>
      </c>
    </row>
    <row r="32" spans="1:3" ht="13.5">
      <c r="A32" s="3033"/>
      <c r="B32" s="3032"/>
      <c r="C32" s="2001" t="s">
        <v>1687</v>
      </c>
    </row>
    <row r="33" spans="1:3" ht="13.5">
      <c r="A33" s="3033"/>
      <c r="B33" s="3032"/>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43693</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44395</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t="str">
        <f ca="1">IF(C10&lt;B2,"已过期",1120060040)</f>
        <v>已过期</v>
      </c>
      <c r="C10" s="2344">
        <v>43483</v>
      </c>
      <c r="D10" s="2347" t="s">
        <v>838</v>
      </c>
      <c r="E10" s="1024">
        <f ca="1">IF(F10&lt;B2,"已过期",2004110096)</f>
        <v>2004110096</v>
      </c>
      <c r="F10" s="1032">
        <v>47118</v>
      </c>
    </row>
    <row r="11" spans="1:6" ht="24" customHeight="1">
      <c r="A11" s="1703" t="s">
        <v>839</v>
      </c>
      <c r="B11" s="1024" t="str">
        <f ca="1">IF(C11&lt;B2,"已过期",1120100036)</f>
        <v>已过期</v>
      </c>
      <c r="C11" s="2344">
        <v>43622</v>
      </c>
      <c r="D11" s="2347" t="s">
        <v>839</v>
      </c>
      <c r="E11" s="1024">
        <f ca="1">IF(F11&lt;B2,"已过期",2010110070)</f>
        <v>2010110070</v>
      </c>
      <c r="F11" s="1032">
        <v>47907</v>
      </c>
    </row>
    <row r="12" spans="1:6" ht="24" customHeight="1">
      <c r="A12" s="1703" t="s">
        <v>3043</v>
      </c>
      <c r="B12" s="1024">
        <v>1120110054</v>
      </c>
      <c r="C12" s="2939">
        <v>43937</v>
      </c>
      <c r="D12" s="1703" t="s">
        <v>3043</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t="str">
        <f ca="1">IF(C14&lt;B2,"已过期",1120130020)</f>
        <v>已过期</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9">
        <v>44339</v>
      </c>
      <c r="D22" s="2347" t="s">
        <v>844</v>
      </c>
      <c r="E22" s="1024">
        <f ca="1">IF(F22&lt;B2,"已过期",2000110137)</f>
        <v>2000110137</v>
      </c>
      <c r="F22" s="1032">
        <v>46387</v>
      </c>
    </row>
    <row r="23" spans="1:7" ht="24" customHeight="1">
      <c r="A23" s="1703" t="s">
        <v>845</v>
      </c>
      <c r="B23" s="1024" t="str">
        <f ca="1">IF(C23&lt;B2,"已过期",1120130048)</f>
        <v>已过期</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37" t="s">
        <v>846</v>
      </c>
      <c r="B25" s="3037"/>
      <c r="C25" s="3037"/>
      <c r="D25" s="3037"/>
      <c r="E25" s="3037"/>
      <c r="F25" s="3037"/>
      <c r="G25" s="3037"/>
    </row>
    <row r="26" spans="1:7" s="1027" customFormat="1" ht="24" customHeight="1">
      <c r="A26" s="3038" t="s">
        <v>847</v>
      </c>
      <c r="B26" s="3038"/>
      <c r="C26" s="3039"/>
      <c r="D26" s="3040" t="s">
        <v>848</v>
      </c>
      <c r="E26" s="3038"/>
      <c r="F26" s="3038"/>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83" priority="66">
      <formula>AND($C28-TODAY()&lt;30,TODAY()&lt;$C28)</formula>
    </cfRule>
  </conditionalFormatting>
  <conditionalFormatting sqref="C28 F4">
    <cfRule type="cellIs" dxfId="182" priority="68" stopIfTrue="1" operator="lessThan">
      <formula>$B$2</formula>
    </cfRule>
  </conditionalFormatting>
  <conditionalFormatting sqref="C5">
    <cfRule type="expression" dxfId="181" priority="63">
      <formula>AND($C5-TODAY()&lt;30,TODAY()&lt;$C5)</formula>
    </cfRule>
  </conditionalFormatting>
  <conditionalFormatting sqref="C5 F5">
    <cfRule type="cellIs" dxfId="180" priority="64" stopIfTrue="1" operator="lessThan">
      <formula>$B$2</formula>
    </cfRule>
  </conditionalFormatting>
  <conditionalFormatting sqref="F6 F8 F10">
    <cfRule type="cellIs" dxfId="179" priority="62" stopIfTrue="1" operator="lessThan">
      <formula>$B$2</formula>
    </cfRule>
  </conditionalFormatting>
  <conditionalFormatting sqref="C4:C11 C13:C21 C23">
    <cfRule type="expression" dxfId="178" priority="60">
      <formula>AND($C4-TODAY()&lt;30,TODAY()&lt;$C4)</formula>
    </cfRule>
  </conditionalFormatting>
  <conditionalFormatting sqref="F7 F9 F11 C4:C11 C13:C21 C23">
    <cfRule type="cellIs" dxfId="177" priority="61" stopIfTrue="1" operator="lessThan">
      <formula>$B$2</formula>
    </cfRule>
  </conditionalFormatting>
  <conditionalFormatting sqref="C14">
    <cfRule type="expression" dxfId="176" priority="54">
      <formula>AND($C14-TODAY()&lt;30,TODAY()&lt;$C14)</formula>
    </cfRule>
  </conditionalFormatting>
  <conditionalFormatting sqref="C14">
    <cfRule type="cellIs" dxfId="175" priority="55" stopIfTrue="1" operator="lessThan">
      <formula>$B$2</formula>
    </cfRule>
  </conditionalFormatting>
  <conditionalFormatting sqref="C16">
    <cfRule type="expression" dxfId="174" priority="52">
      <formula>AND($C16-TODAY()&lt;30,TODAY()&lt;$C16)</formula>
    </cfRule>
  </conditionalFormatting>
  <conditionalFormatting sqref="C16">
    <cfRule type="cellIs" dxfId="173" priority="53" stopIfTrue="1" operator="lessThan">
      <formula>$B$2</formula>
    </cfRule>
  </conditionalFormatting>
  <conditionalFormatting sqref="C18">
    <cfRule type="expression" dxfId="172" priority="50">
      <formula>AND($C18-TODAY()&lt;30,TODAY()&lt;$C18)</formula>
    </cfRule>
  </conditionalFormatting>
  <conditionalFormatting sqref="C18">
    <cfRule type="cellIs" dxfId="171" priority="51" stopIfTrue="1" operator="lessThan">
      <formula>$B$2</formula>
    </cfRule>
  </conditionalFormatting>
  <conditionalFormatting sqref="C20">
    <cfRule type="expression" dxfId="170" priority="48">
      <formula>AND($C20-TODAY()&lt;30,TODAY()&lt;$C20)</formula>
    </cfRule>
  </conditionalFormatting>
  <conditionalFormatting sqref="C20">
    <cfRule type="cellIs" dxfId="169" priority="49" stopIfTrue="1" operator="lessThan">
      <formula>$B$2</formula>
    </cfRule>
  </conditionalFormatting>
  <conditionalFormatting sqref="C15">
    <cfRule type="expression" dxfId="168" priority="44">
      <formula>AND($C15-TODAY()&lt;30,TODAY()&lt;$C15)</formula>
    </cfRule>
  </conditionalFormatting>
  <conditionalFormatting sqref="C15">
    <cfRule type="cellIs" dxfId="167" priority="45" stopIfTrue="1" operator="lessThan">
      <formula>$B$2</formula>
    </cfRule>
  </conditionalFormatting>
  <conditionalFormatting sqref="C17">
    <cfRule type="expression" dxfId="166" priority="42">
      <formula>AND($C17-TODAY()&lt;30,TODAY()&lt;$C17)</formula>
    </cfRule>
  </conditionalFormatting>
  <conditionalFormatting sqref="C17">
    <cfRule type="cellIs" dxfId="165" priority="43" stopIfTrue="1" operator="lessThan">
      <formula>$B$2</formula>
    </cfRule>
  </conditionalFormatting>
  <conditionalFormatting sqref="C19">
    <cfRule type="expression" dxfId="164" priority="40">
      <formula>AND($C19-TODAY()&lt;30,TODAY()&lt;$C19)</formula>
    </cfRule>
  </conditionalFormatting>
  <conditionalFormatting sqref="C19">
    <cfRule type="cellIs" dxfId="163" priority="41" stopIfTrue="1" operator="lessThan">
      <formula>$B$2</formula>
    </cfRule>
  </conditionalFormatting>
  <conditionalFormatting sqref="C21">
    <cfRule type="expression" dxfId="162" priority="38">
      <formula>AND($C21-TODAY()&lt;30,TODAY()&lt;$C21)</formula>
    </cfRule>
  </conditionalFormatting>
  <conditionalFormatting sqref="C21">
    <cfRule type="cellIs" dxfId="161" priority="39" stopIfTrue="1" operator="lessThan">
      <formula>$B$2</formula>
    </cfRule>
  </conditionalFormatting>
  <conditionalFormatting sqref="C23">
    <cfRule type="expression" dxfId="160" priority="36">
      <formula>AND($C23-TODAY()&lt;30,TODAY()&lt;$C23)</formula>
    </cfRule>
  </conditionalFormatting>
  <conditionalFormatting sqref="C23">
    <cfRule type="cellIs" dxfId="159" priority="37" stopIfTrue="1" operator="lessThan">
      <formula>$B$2</formula>
    </cfRule>
  </conditionalFormatting>
  <conditionalFormatting sqref="F16">
    <cfRule type="cellIs" dxfId="158" priority="34" stopIfTrue="1" operator="lessThan">
      <formula>$B$2</formula>
    </cfRule>
  </conditionalFormatting>
  <conditionalFormatting sqref="F18">
    <cfRule type="cellIs" dxfId="157" priority="33" stopIfTrue="1" operator="lessThan">
      <formula>$B$2</formula>
    </cfRule>
  </conditionalFormatting>
  <conditionalFormatting sqref="F22">
    <cfRule type="cellIs" dxfId="156" priority="32" stopIfTrue="1" operator="lessThan">
      <formula>$B$2</formula>
    </cfRule>
  </conditionalFormatting>
  <conditionalFormatting sqref="F21">
    <cfRule type="cellIs" dxfId="155" priority="31" stopIfTrue="1" operator="lessThan">
      <formula>$B$2</formula>
    </cfRule>
  </conditionalFormatting>
  <conditionalFormatting sqref="F17">
    <cfRule type="cellIs" dxfId="154" priority="30" stopIfTrue="1" operator="lessThan">
      <formula>$B$2</formula>
    </cfRule>
  </conditionalFormatting>
  <conditionalFormatting sqref="B4:B11 E4:E11 B16:B23 E16:E23 B13:B14 E13:E14">
    <cfRule type="cellIs" dxfId="153" priority="29" stopIfTrue="1" operator="equal">
      <formula>"已过期"</formula>
    </cfRule>
  </conditionalFormatting>
  <conditionalFormatting sqref="A24:F24">
    <cfRule type="cellIs" dxfId="152" priority="25" stopIfTrue="1" operator="equal">
      <formula>"已过期"</formula>
    </cfRule>
  </conditionalFormatting>
  <conditionalFormatting sqref="F28">
    <cfRule type="expression" dxfId="151" priority="23">
      <formula>AND($E28-TODAY()&lt;30,TODAY()&lt;$E28)</formula>
    </cfRule>
  </conditionalFormatting>
  <conditionalFormatting sqref="F28">
    <cfRule type="cellIs" dxfId="150" priority="24" stopIfTrue="1" operator="lessThan">
      <formula>$B$2</formula>
    </cfRule>
  </conditionalFormatting>
  <conditionalFormatting sqref="F29">
    <cfRule type="expression" dxfId="149" priority="19" stopIfTrue="1">
      <formula>AND($E29-TODAY()&lt;30,TODAY()&lt;$E29)</formula>
    </cfRule>
  </conditionalFormatting>
  <conditionalFormatting sqref="F29">
    <cfRule type="cellIs" dxfId="148" priority="20" stopIfTrue="1" operator="lessThan">
      <formula>$B$2</formula>
    </cfRule>
  </conditionalFormatting>
  <conditionalFormatting sqref="B15">
    <cfRule type="cellIs" dxfId="147" priority="17" stopIfTrue="1" operator="equal">
      <formula>"已过期"</formula>
    </cfRule>
  </conditionalFormatting>
  <conditionalFormatting sqref="A15">
    <cfRule type="cellIs" dxfId="146" priority="16" stopIfTrue="1" operator="equal">
      <formula>"已过期"</formula>
    </cfRule>
  </conditionalFormatting>
  <conditionalFormatting sqref="C15">
    <cfRule type="expression" dxfId="145" priority="15">
      <formula>AND($C15-TODAY()&lt;30,TODAY()&lt;$C15)</formula>
    </cfRule>
  </conditionalFormatting>
  <conditionalFormatting sqref="E15">
    <cfRule type="cellIs" dxfId="144" priority="14" stopIfTrue="1" operator="equal">
      <formula>"已过期"</formula>
    </cfRule>
  </conditionalFormatting>
  <conditionalFormatting sqref="D15">
    <cfRule type="cellIs" dxfId="143" priority="13" stopIfTrue="1" operator="equal">
      <formula>"已过期"</formula>
    </cfRule>
  </conditionalFormatting>
  <conditionalFormatting sqref="F13">
    <cfRule type="cellIs" dxfId="142" priority="12" stopIfTrue="1" operator="lessThan">
      <formula>$B$2</formula>
    </cfRule>
  </conditionalFormatting>
  <conditionalFormatting sqref="C12">
    <cfRule type="expression" dxfId="141" priority="10">
      <formula>AND($C12-TODAY()&lt;30,TODAY()&lt;$C12)</formula>
    </cfRule>
  </conditionalFormatting>
  <conditionalFormatting sqref="C12">
    <cfRule type="cellIs" dxfId="140" priority="11" stopIfTrue="1" operator="lessThan">
      <formula>$B$2</formula>
    </cfRule>
  </conditionalFormatting>
  <conditionalFormatting sqref="C12">
    <cfRule type="expression" dxfId="139" priority="8">
      <formula>AND($C12-TODAY()&lt;30,TODAY()&lt;$C12)</formula>
    </cfRule>
  </conditionalFormatting>
  <conditionalFormatting sqref="C12">
    <cfRule type="cellIs" dxfId="138" priority="9" stopIfTrue="1" operator="lessThan">
      <formula>$B$2</formula>
    </cfRule>
  </conditionalFormatting>
  <conditionalFormatting sqref="B12">
    <cfRule type="cellIs" dxfId="137" priority="7" stopIfTrue="1" operator="equal">
      <formula>"已过期"</formula>
    </cfRule>
  </conditionalFormatting>
  <conditionalFormatting sqref="E12">
    <cfRule type="cellIs" dxfId="136" priority="6" stopIfTrue="1" operator="equal">
      <formula>"已过期"</formula>
    </cfRule>
  </conditionalFormatting>
  <conditionalFormatting sqref="F12">
    <cfRule type="cellIs" dxfId="135" priority="5" stopIfTrue="1" operator="lessThan">
      <formula>$B$2</formula>
    </cfRule>
  </conditionalFormatting>
  <conditionalFormatting sqref="C22">
    <cfRule type="expression" dxfId="134" priority="3">
      <formula>AND($C22-TODAY()&lt;30,TODAY()&lt;$C22)</formula>
    </cfRule>
  </conditionalFormatting>
  <conditionalFormatting sqref="C22">
    <cfRule type="cellIs" dxfId="133" priority="4" stopIfTrue="1" operator="lessThan">
      <formula>$B$2</formula>
    </cfRule>
  </conditionalFormatting>
  <conditionalFormatting sqref="C22">
    <cfRule type="expression" dxfId="132" priority="1">
      <formula>AND($C22-TODAY()&lt;30,TODAY()&lt;$C22)</formula>
    </cfRule>
  </conditionalFormatting>
  <conditionalFormatting sqref="C22">
    <cfRule type="cellIs" dxfId="13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比较法-办公</vt:lpstr>
      <vt:lpstr>收益法</vt:lpstr>
      <vt:lpstr>成本法 (元)</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办公比较法案例</vt:lpstr>
      <vt:lpstr>租金案例</vt:lpstr>
      <vt:lpstr>Sheet2</vt:lpstr>
      <vt:lpstr>车位测算</vt:lpstr>
      <vt:lpstr>汇总</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徐升山</cp:lastModifiedBy>
  <cp:lastPrinted>2017-03-01T09:15:43Z</cp:lastPrinted>
  <dcterms:created xsi:type="dcterms:W3CDTF">2015-07-13T07:17:23Z</dcterms:created>
  <dcterms:modified xsi:type="dcterms:W3CDTF">2019-08-16T01:34:22Z</dcterms:modified>
</cp:coreProperties>
</file>